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3.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6.xml" ContentType="application/vnd.openxmlformats-officedocument.spreadsheetml.comments+xml"/>
  <Override PartName="/xl/threadedComments/threadedComment4.xml" ContentType="application/vnd.ms-excel.threaded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omments7.xml" ContentType="application/vnd.openxmlformats-officedocument.spreadsheetml.comments+xml"/>
  <Override PartName="/xl/threadedComments/threadedComment5.xml" ContentType="application/vnd.ms-excel.threaded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BriggE01\Downloads\"/>
    </mc:Choice>
  </mc:AlternateContent>
  <xr:revisionPtr revIDLastSave="0" documentId="8_{C788C80F-AB14-4982-832D-EB908B91E64E}" xr6:coauthVersionLast="47" xr6:coauthVersionMax="47" xr10:uidLastSave="{00000000-0000-0000-0000-000000000000}"/>
  <workbookProtection workbookAlgorithmName="SHA-512" workbookHashValue="SdfxJ4UKkNSfKKhVj01wSAkD9i1SDtUiJRo7csALQPxpIR50AxN4cQ1tDZDCem7NpK4QE3xxkHPW+N04XougOw==" workbookSaltValue="kjvKD+A0jdIn1g74CZN9pA==" workbookSpinCount="100000" lockStructure="1"/>
  <bookViews>
    <workbookView xWindow="-108" yWindow="-108" windowWidth="23256" windowHeight="12456" tabRatio="737" firstSheet="3" activeTab="7" xr2:uid="{B36B6803-1653-4DC9-8F7D-9B4B64E2CA12}"/>
  </bookViews>
  <sheets>
    <sheet name="Cover" sheetId="5" r:id="rId1"/>
    <sheet name="Home" sheetId="4" r:id="rId2"/>
    <sheet name="Contents" sheetId="11" r:id="rId3"/>
    <sheet name="Material Topics" sheetId="20" r:id="rId4"/>
    <sheet name="GRI Content index in accordance" sheetId="15" r:id="rId5"/>
    <sheet name="SASB Index" sheetId="13" r:id="rId6"/>
    <sheet name="TCFD Compliance Table" sheetId="12" r:id="rId7"/>
    <sheet name="PAI statement" sheetId="2" r:id="rId8"/>
    <sheet name="UK SECR" sheetId="28" r:id="rId9"/>
    <sheet name="ERM CVS assured metrics" sheetId="18" r:id="rId10"/>
    <sheet name="2030 targets" sheetId="19" r:id="rId11"/>
    <sheet name="Environment (pre-divest Data)" sheetId="3" state="hidden" r:id="rId12"/>
    <sheet name="Environment" sheetId="21" r:id="rId13"/>
    <sheet name="People" sheetId="23" r:id="rId14"/>
    <sheet name="Health and Safety" sheetId="6" r:id="rId15"/>
    <sheet name="Ethics and Compliance" sheetId="10" r:id="rId16"/>
    <sheet name="Community Investment" sheetId="8" r:id="rId17"/>
    <sheet name="Responsible Sourcing" sheetId="16" r:id="rId18"/>
    <sheet name="Environment (original)" sheetId="14" state="hidden" r:id="rId19"/>
    <sheet name="People (Internal)" sheetId="22" state="hidden" r:id="rId20"/>
  </sheets>
  <definedNames>
    <definedName name="_xlnm.Print_Area" localSheetId="10">'2030 targets'!$B$2:$N$32</definedName>
    <definedName name="_xlnm.Print_Area" localSheetId="16">'Community Investment'!$B$1:$I$22</definedName>
    <definedName name="_xlnm.Print_Area" localSheetId="2">Contents!$A$1:$E$18</definedName>
    <definedName name="_xlnm.Print_Area" localSheetId="0">Cover!$A$1:$P$34</definedName>
    <definedName name="_xlnm.Print_Area" localSheetId="12">Environment!$B$2:$J$158</definedName>
    <definedName name="_xlnm.Print_Area" localSheetId="9">'ERM CVS assured metrics'!$A$2:$D$53</definedName>
    <definedName name="_xlnm.Print_Area" localSheetId="15">'Ethics and Compliance'!$B$1:$M$33</definedName>
    <definedName name="_xlnm.Print_Area" localSheetId="4">'GRI Content index in accordance'!$B$2:$I$208</definedName>
    <definedName name="_xlnm.Print_Area" localSheetId="14">'Health and Safety'!$B$2:$T$40</definedName>
    <definedName name="_xlnm.Print_Area" localSheetId="1">Home!$A$2:$K$23</definedName>
    <definedName name="_xlnm.Print_Area" localSheetId="3">'Material Topics'!$B$1:$Q$18</definedName>
    <definedName name="_xlnm.Print_Area" localSheetId="7">'PAI statement'!$B$2:$H$27</definedName>
    <definedName name="_xlnm.Print_Area" localSheetId="13">People!$B$1:$X$162</definedName>
    <definedName name="_xlnm.Print_Area" localSheetId="17">'Responsible Sourcing'!$B$1:$K$21</definedName>
    <definedName name="_xlnm.Print_Area" localSheetId="5">'SASB Index'!$A$1:$E$35</definedName>
    <definedName name="_xlnm.Print_Area" localSheetId="6">'TCFD Compliance Table'!$B$2:$D$21</definedName>
    <definedName name="_xlnm.Print_Area" localSheetId="8">'UK SECR'!$A$1:$E$32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8" l="1"/>
  <c r="J7" i="8"/>
  <c r="J23" i="19" l="1"/>
  <c r="J24" i="19"/>
  <c r="H27" i="19"/>
  <c r="J27" i="19"/>
  <c r="J26" i="19"/>
  <c r="J25" i="19"/>
  <c r="H25" i="19"/>
  <c r="D42" i="21"/>
  <c r="F16" i="28"/>
  <c r="F12" i="28"/>
  <c r="F14" i="28"/>
  <c r="F112" i="23" l="1"/>
  <c r="C112" i="23"/>
  <c r="E112" i="23" s="1"/>
  <c r="E113" i="23"/>
  <c r="J23" i="6" l="1"/>
  <c r="D37" i="21"/>
  <c r="E83" i="23"/>
  <c r="H75" i="23"/>
  <c r="G75" i="23"/>
  <c r="F75" i="23"/>
  <c r="E75" i="23"/>
  <c r="C75" i="23"/>
  <c r="D75" i="23"/>
  <c r="D83" i="23"/>
  <c r="F83" i="23"/>
  <c r="C83" i="23"/>
  <c r="D69" i="23"/>
  <c r="E69" i="23"/>
  <c r="F69" i="23"/>
  <c r="G69" i="23"/>
  <c r="H69" i="23"/>
  <c r="C69" i="23"/>
  <c r="E64" i="23"/>
  <c r="F64" i="23"/>
  <c r="G64" i="23"/>
  <c r="H64" i="23"/>
  <c r="C64" i="23"/>
  <c r="D64" i="23"/>
  <c r="J39" i="18" l="1"/>
  <c r="J47" i="18"/>
  <c r="D33" i="21"/>
  <c r="D38" i="21"/>
  <c r="D40" i="18" l="1"/>
  <c r="J40" i="18" s="1"/>
  <c r="H10" i="2" l="1"/>
  <c r="H9" i="2"/>
  <c r="J30" i="19" l="1"/>
  <c r="J18" i="21"/>
  <c r="H113" i="23"/>
  <c r="D36" i="21" l="1"/>
  <c r="I108" i="21"/>
  <c r="G99" i="21"/>
  <c r="H99" i="21"/>
  <c r="J9" i="8"/>
  <c r="J8" i="8"/>
  <c r="I52" i="21"/>
  <c r="D38" i="18"/>
  <c r="J38" i="18" s="1"/>
  <c r="D37" i="18"/>
  <c r="J37" i="18" s="1"/>
  <c r="D36" i="18"/>
  <c r="J36" i="18" s="1"/>
  <c r="D34" i="18"/>
  <c r="J34" i="18" s="1"/>
  <c r="D33" i="18"/>
  <c r="J33" i="18" s="1"/>
  <c r="D32" i="18"/>
  <c r="J32" i="18" s="1"/>
  <c r="D31" i="18"/>
  <c r="J31" i="18" s="1"/>
  <c r="L31" i="19"/>
  <c r="L30" i="19"/>
  <c r="L25" i="19"/>
  <c r="H31" i="19"/>
  <c r="H30" i="19"/>
  <c r="K23" i="19"/>
  <c r="K22" i="19"/>
  <c r="K24" i="19"/>
  <c r="K26" i="19"/>
  <c r="K27" i="19"/>
  <c r="K28" i="19"/>
  <c r="K29" i="19"/>
  <c r="I13" i="21"/>
  <c r="E91" i="23"/>
  <c r="E89" i="23"/>
  <c r="F21" i="28"/>
  <c r="I15" i="21"/>
  <c r="I10" i="21"/>
  <c r="E33" i="21"/>
  <c r="D39" i="21"/>
  <c r="D116" i="21"/>
  <c r="E36" i="21"/>
  <c r="I45" i="21"/>
  <c r="J45" i="21"/>
  <c r="F29" i="19"/>
  <c r="H29" i="19" s="1"/>
  <c r="F28" i="19"/>
  <c r="D40" i="21" l="1"/>
  <c r="H11" i="2"/>
  <c r="L29" i="19"/>
  <c r="H28" i="19"/>
  <c r="L28" i="19"/>
  <c r="I36" i="21"/>
  <c r="I18" i="21"/>
  <c r="K23" i="6"/>
  <c r="K27" i="6"/>
  <c r="J20" i="6"/>
  <c r="J21" i="6"/>
  <c r="J22" i="6"/>
  <c r="J24" i="6"/>
  <c r="J25" i="6"/>
  <c r="J26" i="6"/>
  <c r="J27" i="6"/>
  <c r="J29" i="6"/>
  <c r="J30" i="6"/>
  <c r="J32" i="21"/>
  <c r="I19" i="21"/>
  <c r="I20" i="21"/>
  <c r="I21" i="21"/>
  <c r="I22" i="21"/>
  <c r="I23" i="21"/>
  <c r="I24" i="21"/>
  <c r="I25" i="21"/>
  <c r="I27" i="21"/>
  <c r="I29" i="21"/>
  <c r="I32" i="21"/>
  <c r="I150" i="21"/>
  <c r="I149" i="21"/>
  <c r="I148" i="21"/>
  <c r="I147" i="21"/>
  <c r="I146" i="21"/>
  <c r="I145" i="21"/>
  <c r="J111" i="21"/>
  <c r="I115" i="21"/>
  <c r="I114" i="21"/>
  <c r="I111" i="21"/>
  <c r="J104" i="21"/>
  <c r="J103" i="21"/>
  <c r="I107" i="21"/>
  <c r="I103" i="21"/>
  <c r="J90" i="21"/>
  <c r="J98" i="21"/>
  <c r="I98" i="21"/>
  <c r="J97" i="21"/>
  <c r="I97" i="21"/>
  <c r="J88" i="21"/>
  <c r="I88" i="21"/>
  <c r="I85" i="21"/>
  <c r="I90" i="21"/>
  <c r="I89" i="21"/>
  <c r="J89" i="21"/>
  <c r="I68" i="21"/>
  <c r="J76" i="21"/>
  <c r="J75" i="21"/>
  <c r="J68" i="21"/>
  <c r="I51" i="21"/>
  <c r="J11" i="21"/>
  <c r="J10" i="21"/>
  <c r="H12" i="2" l="1"/>
  <c r="D41" i="21"/>
  <c r="H13" i="2" s="1"/>
  <c r="J19" i="21"/>
  <c r="J20" i="21"/>
  <c r="J21" i="21"/>
  <c r="J22" i="21"/>
  <c r="J23" i="21"/>
  <c r="J24" i="21"/>
  <c r="J25" i="21"/>
  <c r="J27" i="21"/>
  <c r="J29" i="21"/>
  <c r="D46" i="18"/>
  <c r="J46" i="18" s="1"/>
  <c r="D29" i="18"/>
  <c r="J29" i="18" s="1"/>
  <c r="D28" i="18"/>
  <c r="J28" i="18" s="1"/>
  <c r="D26" i="18"/>
  <c r="J26" i="18" s="1"/>
  <c r="D53" i="18"/>
  <c r="J53" i="18" s="1"/>
  <c r="D52" i="18"/>
  <c r="J52" i="18" s="1"/>
  <c r="D51" i="18"/>
  <c r="J51" i="18" s="1"/>
  <c r="D50" i="18"/>
  <c r="J50" i="18" s="1"/>
  <c r="D49" i="18"/>
  <c r="J49" i="18" s="1"/>
  <c r="D48" i="18"/>
  <c r="J48" i="18" s="1"/>
  <c r="D45" i="18"/>
  <c r="J45" i="18" s="1"/>
  <c r="D44" i="18"/>
  <c r="J44" i="18" s="1"/>
  <c r="D43" i="18"/>
  <c r="J43" i="18" s="1"/>
  <c r="D42" i="18"/>
  <c r="J42" i="18" s="1"/>
  <c r="D41" i="18"/>
  <c r="J41" i="18" s="1"/>
  <c r="D35" i="18"/>
  <c r="J35" i="18" s="1"/>
  <c r="D27" i="18" l="1"/>
  <c r="J27" i="18" s="1"/>
  <c r="D30" i="18"/>
  <c r="J30" i="18" s="1"/>
  <c r="D23" i="18"/>
  <c r="J23" i="18" s="1"/>
  <c r="D25" i="18"/>
  <c r="J25" i="18" s="1"/>
  <c r="D24" i="18"/>
  <c r="J24" i="18" s="1"/>
  <c r="D22" i="18"/>
  <c r="J22" i="18" s="1"/>
  <c r="D21" i="18"/>
  <c r="J21" i="18" s="1"/>
  <c r="D17" i="18"/>
  <c r="J17" i="18" s="1"/>
  <c r="D16" i="18"/>
  <c r="J16" i="18" s="1"/>
  <c r="D15" i="18"/>
  <c r="J15" i="18" s="1"/>
  <c r="D14" i="18"/>
  <c r="J14" i="18" s="1"/>
  <c r="D13" i="18"/>
  <c r="J13" i="18" s="1"/>
  <c r="D18" i="18"/>
  <c r="J18" i="18" s="1"/>
  <c r="D12" i="18"/>
  <c r="J12" i="18" s="1"/>
  <c r="D11" i="18"/>
  <c r="J11" i="18" s="1"/>
  <c r="D10" i="18"/>
  <c r="J10" i="18" s="1"/>
  <c r="D9" i="18"/>
  <c r="J9" i="18" s="1"/>
  <c r="D8" i="18"/>
  <c r="J8" i="18" s="1"/>
  <c r="D7" i="18"/>
  <c r="J7" i="18" s="1"/>
  <c r="J12" i="21" l="1"/>
  <c r="I104" i="21" l="1"/>
  <c r="E115" i="23" l="1"/>
  <c r="E109" i="23"/>
  <c r="D105" i="23" l="1"/>
  <c r="E105" i="23" s="1"/>
  <c r="V32" i="23"/>
  <c r="V33" i="23"/>
  <c r="V34" i="23"/>
  <c r="V35" i="23"/>
  <c r="V31" i="23"/>
  <c r="E22" i="28"/>
  <c r="R21" i="28"/>
  <c r="O21" i="28"/>
  <c r="L21" i="28"/>
  <c r="I21" i="28"/>
  <c r="F22" i="28"/>
  <c r="R13" i="28"/>
  <c r="R14" i="28"/>
  <c r="R15" i="28"/>
  <c r="R16" i="28"/>
  <c r="O13" i="28"/>
  <c r="O14" i="28"/>
  <c r="O15" i="28"/>
  <c r="O16" i="28"/>
  <c r="L13" i="28"/>
  <c r="L14" i="28"/>
  <c r="L15" i="28"/>
  <c r="L16" i="28"/>
  <c r="I13" i="28"/>
  <c r="I14" i="28"/>
  <c r="I15" i="28"/>
  <c r="I16" i="28"/>
  <c r="F15" i="28"/>
  <c r="F13" i="28"/>
  <c r="R12" i="28"/>
  <c r="O12" i="28"/>
  <c r="L12" i="28"/>
  <c r="I12" i="28"/>
  <c r="G115" i="23"/>
  <c r="H114" i="23"/>
  <c r="E114" i="23"/>
  <c r="H112" i="23"/>
  <c r="H111" i="23"/>
  <c r="E111" i="23"/>
  <c r="H110" i="23"/>
  <c r="E110" i="23"/>
  <c r="H109" i="23"/>
  <c r="E100" i="23"/>
  <c r="H100" i="23"/>
  <c r="E101" i="23"/>
  <c r="H101" i="23"/>
  <c r="E102" i="23"/>
  <c r="H102" i="23"/>
  <c r="E103" i="23"/>
  <c r="H103" i="23"/>
  <c r="E104" i="23"/>
  <c r="H104" i="23"/>
  <c r="F105" i="23"/>
  <c r="G105" i="23"/>
  <c r="H105" i="23" l="1"/>
  <c r="H115" i="23"/>
  <c r="R32" i="23"/>
  <c r="R33" i="23"/>
  <c r="R36" i="23"/>
  <c r="R31" i="23"/>
  <c r="E42" i="23" l="1"/>
  <c r="O42" i="23" s="1"/>
  <c r="E116" i="21" l="1"/>
  <c r="I116" i="21" s="1"/>
  <c r="F116" i="21"/>
  <c r="G116" i="21"/>
  <c r="H116" i="21"/>
  <c r="I12" i="21"/>
  <c r="I14" i="21"/>
  <c r="I11" i="21"/>
  <c r="F22" i="19"/>
  <c r="H129" i="23"/>
  <c r="E129" i="23"/>
  <c r="H128" i="23"/>
  <c r="E128" i="23"/>
  <c r="I22" i="19"/>
  <c r="F27" i="19"/>
  <c r="F26" i="19"/>
  <c r="F24" i="19"/>
  <c r="F23" i="19"/>
  <c r="J22" i="19" l="1"/>
  <c r="L27" i="19"/>
  <c r="L24" i="19"/>
  <c r="L26" i="19"/>
  <c r="L23" i="19"/>
  <c r="H22" i="19"/>
  <c r="L22" i="19"/>
  <c r="G23" i="19"/>
  <c r="H23" i="19" s="1"/>
  <c r="G24" i="19"/>
  <c r="H24" i="19" s="1"/>
  <c r="I69" i="21"/>
  <c r="J69" i="21"/>
  <c r="I70" i="21"/>
  <c r="J70" i="21"/>
  <c r="I71" i="21"/>
  <c r="J71" i="21"/>
  <c r="I72" i="21"/>
  <c r="J72" i="21"/>
  <c r="I73" i="21"/>
  <c r="J73" i="21"/>
  <c r="I74" i="21"/>
  <c r="I75" i="21"/>
  <c r="I76" i="21"/>
  <c r="I112" i="21"/>
  <c r="J112" i="21"/>
  <c r="I113" i="21"/>
  <c r="J113" i="21"/>
  <c r="J114" i="21"/>
  <c r="J115" i="21"/>
  <c r="J116" i="21"/>
  <c r="I105" i="21"/>
  <c r="J105" i="21"/>
  <c r="I106" i="21"/>
  <c r="J106" i="21"/>
  <c r="J107" i="21"/>
  <c r="J108" i="21"/>
  <c r="D99" i="21"/>
  <c r="D19" i="18" l="1"/>
  <c r="J19" i="18" s="1"/>
  <c r="J85" i="21"/>
  <c r="J83" i="21"/>
  <c r="I83" i="21"/>
  <c r="D86" i="21"/>
  <c r="I53" i="21"/>
  <c r="I54" i="21"/>
  <c r="J13" i="21"/>
  <c r="J14" i="21"/>
  <c r="J15" i="21"/>
  <c r="H14" i="2" l="1"/>
  <c r="D20" i="18"/>
  <c r="J20" i="18" s="1"/>
  <c r="T27" i="6"/>
  <c r="S27" i="6"/>
  <c r="T23" i="6"/>
  <c r="S23" i="6"/>
  <c r="T20" i="6"/>
  <c r="P20" i="6"/>
  <c r="Q20" i="6"/>
  <c r="R20" i="6"/>
  <c r="S20" i="6"/>
  <c r="T19" i="6"/>
  <c r="S19" i="6"/>
  <c r="E135" i="23" l="1"/>
  <c r="E136" i="23"/>
  <c r="G8" i="6" l="1"/>
  <c r="D137" i="23" l="1"/>
  <c r="E137" i="23"/>
  <c r="C137" i="23"/>
  <c r="I29" i="19"/>
  <c r="J29" i="19" s="1"/>
  <c r="I28" i="19"/>
  <c r="J28" i="19" s="1"/>
  <c r="I27" i="19"/>
  <c r="I26" i="19"/>
  <c r="I24" i="19"/>
  <c r="I23" i="19"/>
  <c r="E120" i="23" l="1"/>
  <c r="E121" i="23"/>
  <c r="E122" i="23"/>
  <c r="E123" i="23"/>
  <c r="E124" i="23"/>
  <c r="E119" i="23"/>
  <c r="C94" i="23"/>
  <c r="D94" i="23"/>
  <c r="E94" i="23"/>
  <c r="E87" i="23"/>
  <c r="E88" i="23"/>
  <c r="E90" i="23"/>
  <c r="D56" i="23"/>
  <c r="C56" i="23"/>
  <c r="E52" i="23"/>
  <c r="O52" i="23" s="1"/>
  <c r="E53" i="23"/>
  <c r="O53" i="23" s="1"/>
  <c r="E54" i="23"/>
  <c r="O54" i="23" s="1"/>
  <c r="E55" i="23"/>
  <c r="O55" i="23" s="1"/>
  <c r="D51" i="23"/>
  <c r="C51" i="23"/>
  <c r="E47" i="23"/>
  <c r="E48" i="23"/>
  <c r="E49" i="23"/>
  <c r="E50" i="23"/>
  <c r="E37" i="23"/>
  <c r="O37" i="23" s="1"/>
  <c r="E38" i="23"/>
  <c r="O38" i="23" s="1"/>
  <c r="E39" i="23"/>
  <c r="O39" i="23" s="1"/>
  <c r="E40" i="23"/>
  <c r="O40" i="23" s="1"/>
  <c r="E32" i="23"/>
  <c r="O32" i="23" s="1"/>
  <c r="E33" i="23"/>
  <c r="E34" i="23"/>
  <c r="E35" i="23"/>
  <c r="E31" i="23"/>
  <c r="D36" i="23"/>
  <c r="C36" i="23"/>
  <c r="E41" i="23"/>
  <c r="C7" i="23"/>
  <c r="O31" i="23" l="1"/>
  <c r="O41" i="23"/>
  <c r="F119" i="23"/>
  <c r="D54" i="18"/>
  <c r="J54" i="18" s="1"/>
  <c r="S33" i="23"/>
  <c r="S36" i="23"/>
  <c r="S31" i="23"/>
  <c r="S32" i="23"/>
  <c r="O35" i="23"/>
  <c r="O34" i="23"/>
  <c r="O33" i="23"/>
  <c r="E51" i="23"/>
  <c r="O51" i="23" s="1"/>
  <c r="E56" i="23"/>
  <c r="O56" i="23" s="1"/>
  <c r="F121" i="23"/>
  <c r="E36" i="23"/>
  <c r="T32" i="23" s="1"/>
  <c r="F123" i="23"/>
  <c r="F122" i="23"/>
  <c r="F120" i="23"/>
  <c r="O36" i="23" l="1"/>
  <c r="W34" i="23"/>
  <c r="W32" i="23"/>
  <c r="W31" i="23"/>
  <c r="W35" i="23"/>
  <c r="W33" i="23"/>
  <c r="S37" i="23"/>
  <c r="F124" i="23"/>
  <c r="T34" i="23"/>
  <c r="T35" i="23"/>
  <c r="T31" i="23"/>
  <c r="T33" i="23"/>
  <c r="T36" i="23"/>
  <c r="C21" i="10"/>
  <c r="W36" i="23" l="1"/>
  <c r="T37" i="23"/>
  <c r="R13" i="10"/>
  <c r="F65" i="21" l="1"/>
  <c r="G65" i="21"/>
  <c r="H65" i="21"/>
  <c r="E65" i="21"/>
  <c r="J67" i="21"/>
  <c r="I67" i="21"/>
  <c r="G124" i="23"/>
  <c r="H124" i="23"/>
  <c r="I124" i="23"/>
  <c r="H87" i="23"/>
  <c r="K87" i="23"/>
  <c r="N87" i="23"/>
  <c r="H88" i="23"/>
  <c r="K88" i="23"/>
  <c r="N88" i="23"/>
  <c r="H90" i="23"/>
  <c r="K90" i="23"/>
  <c r="N90" i="23"/>
  <c r="F94" i="23"/>
  <c r="G94" i="23"/>
  <c r="H94" i="23"/>
  <c r="I94" i="23"/>
  <c r="L94" i="23"/>
  <c r="H52" i="23"/>
  <c r="K52" i="23"/>
  <c r="N52" i="23"/>
  <c r="H53" i="23"/>
  <c r="K53" i="23"/>
  <c r="N53" i="23"/>
  <c r="H54" i="23"/>
  <c r="H55" i="23"/>
  <c r="K55" i="23"/>
  <c r="N55" i="23"/>
  <c r="F56" i="23"/>
  <c r="G56" i="23"/>
  <c r="I56" i="23"/>
  <c r="J56" i="23"/>
  <c r="L56" i="23"/>
  <c r="M56" i="23"/>
  <c r="H47" i="23"/>
  <c r="K47" i="23"/>
  <c r="H48" i="23"/>
  <c r="K48" i="23"/>
  <c r="H49" i="23"/>
  <c r="K49" i="23"/>
  <c r="H50" i="23"/>
  <c r="K50" i="23"/>
  <c r="F51" i="23"/>
  <c r="G51" i="23"/>
  <c r="I51" i="23"/>
  <c r="J51" i="23"/>
  <c r="L51" i="23"/>
  <c r="M51" i="23"/>
  <c r="H37" i="23"/>
  <c r="K37" i="23"/>
  <c r="N37" i="23"/>
  <c r="H38" i="23"/>
  <c r="K38" i="23"/>
  <c r="N38" i="23"/>
  <c r="H39" i="23"/>
  <c r="K39" i="23"/>
  <c r="N39" i="23"/>
  <c r="H40" i="23"/>
  <c r="K40" i="23"/>
  <c r="N40" i="23"/>
  <c r="H41" i="23"/>
  <c r="K41" i="23"/>
  <c r="N41" i="23"/>
  <c r="H42" i="23"/>
  <c r="K42" i="23"/>
  <c r="N42" i="23"/>
  <c r="H17" i="23"/>
  <c r="O17" i="23" s="1"/>
  <c r="K17" i="23"/>
  <c r="N17" i="23"/>
  <c r="R17" i="23"/>
  <c r="H18" i="23"/>
  <c r="O18" i="23" s="1"/>
  <c r="R18" i="23"/>
  <c r="H19" i="23"/>
  <c r="K19" i="23"/>
  <c r="N19" i="23"/>
  <c r="R19" i="23"/>
  <c r="H20" i="23"/>
  <c r="O20" i="23" s="1"/>
  <c r="K20" i="23"/>
  <c r="N20" i="23"/>
  <c r="R20" i="23"/>
  <c r="H21" i="23"/>
  <c r="O21" i="23" s="1"/>
  <c r="K21" i="23"/>
  <c r="N21" i="23"/>
  <c r="R21" i="23"/>
  <c r="F22" i="23"/>
  <c r="G22" i="23"/>
  <c r="I22" i="23"/>
  <c r="J22" i="23"/>
  <c r="L22" i="23"/>
  <c r="M22" i="23"/>
  <c r="H24" i="23"/>
  <c r="O24" i="23" s="1"/>
  <c r="K24" i="23"/>
  <c r="N24" i="23"/>
  <c r="H25" i="23"/>
  <c r="O25" i="23" s="1"/>
  <c r="H26" i="23"/>
  <c r="O26" i="23" s="1"/>
  <c r="K26" i="23"/>
  <c r="N26" i="23"/>
  <c r="H27" i="23"/>
  <c r="O27" i="23" s="1"/>
  <c r="K27" i="23"/>
  <c r="N27" i="23"/>
  <c r="H28" i="23"/>
  <c r="O28" i="23" s="1"/>
  <c r="K28" i="23"/>
  <c r="N28" i="23"/>
  <c r="F29" i="23"/>
  <c r="G29" i="23"/>
  <c r="I29" i="23"/>
  <c r="J29" i="23"/>
  <c r="L29" i="23"/>
  <c r="M29" i="23"/>
  <c r="S29" i="23"/>
  <c r="T29" i="23"/>
  <c r="F31" i="23"/>
  <c r="G31" i="23"/>
  <c r="I31" i="23"/>
  <c r="J31" i="23"/>
  <c r="L31" i="23"/>
  <c r="M31" i="23"/>
  <c r="F32" i="23"/>
  <c r="G32" i="23"/>
  <c r="F33" i="23"/>
  <c r="G33" i="23"/>
  <c r="I33" i="23"/>
  <c r="J33" i="23"/>
  <c r="L33" i="23"/>
  <c r="M33" i="23"/>
  <c r="F34" i="23"/>
  <c r="G34" i="23"/>
  <c r="I34" i="23"/>
  <c r="J34" i="23"/>
  <c r="L34" i="23"/>
  <c r="M34" i="23"/>
  <c r="F35" i="23"/>
  <c r="G35" i="23"/>
  <c r="I35" i="23"/>
  <c r="J35" i="23"/>
  <c r="L35" i="23"/>
  <c r="M35" i="23"/>
  <c r="H152" i="22"/>
  <c r="H153" i="22"/>
  <c r="H154" i="22"/>
  <c r="H155" i="22"/>
  <c r="H156" i="22"/>
  <c r="H157" i="22"/>
  <c r="H158" i="22"/>
  <c r="G159" i="22"/>
  <c r="H159" i="22"/>
  <c r="G160" i="22"/>
  <c r="G161" i="22"/>
  <c r="G162" i="22"/>
  <c r="G163" i="22"/>
  <c r="G164" i="22"/>
  <c r="G165" i="22"/>
  <c r="G166" i="22"/>
  <c r="G167" i="22"/>
  <c r="G168" i="22"/>
  <c r="G169" i="22"/>
  <c r="G170" i="22"/>
  <c r="G171" i="22"/>
  <c r="H171" i="22"/>
  <c r="G172" i="22"/>
  <c r="G173" i="22"/>
  <c r="G174" i="22"/>
  <c r="G175" i="22"/>
  <c r="G176" i="22"/>
  <c r="G177" i="22"/>
  <c r="G178" i="22"/>
  <c r="G179" i="22"/>
  <c r="G180" i="22"/>
  <c r="G181" i="22"/>
  <c r="G117" i="22"/>
  <c r="G118" i="22"/>
  <c r="G119" i="22"/>
  <c r="G120" i="22"/>
  <c r="D122" i="22"/>
  <c r="E122" i="22"/>
  <c r="F122" i="22"/>
  <c r="F108" i="22"/>
  <c r="F109" i="22"/>
  <c r="F110" i="22"/>
  <c r="F111" i="22"/>
  <c r="F112" i="22"/>
  <c r="D113" i="22"/>
  <c r="E113" i="22"/>
  <c r="F113" i="22"/>
  <c r="G113" i="22"/>
  <c r="I113" i="22"/>
  <c r="F99" i="22"/>
  <c r="I99" i="22"/>
  <c r="F101" i="22"/>
  <c r="I101" i="22"/>
  <c r="F102" i="22"/>
  <c r="I102" i="22"/>
  <c r="F103" i="22"/>
  <c r="I103" i="22"/>
  <c r="D104" i="22"/>
  <c r="E104" i="22"/>
  <c r="F104" i="22"/>
  <c r="G104" i="22"/>
  <c r="H104" i="22"/>
  <c r="I104" i="22"/>
  <c r="J104" i="22"/>
  <c r="K104" i="22"/>
  <c r="L104" i="22"/>
  <c r="F92" i="22"/>
  <c r="D67" i="22"/>
  <c r="E67" i="22"/>
  <c r="F67" i="22"/>
  <c r="D74" i="22"/>
  <c r="E74" i="22"/>
  <c r="F74" i="22"/>
  <c r="D81" i="22"/>
  <c r="E81" i="22"/>
  <c r="F81" i="22"/>
  <c r="D82" i="22"/>
  <c r="E82" i="22"/>
  <c r="F82" i="22"/>
  <c r="D89" i="22"/>
  <c r="E89" i="22"/>
  <c r="F89" i="22"/>
  <c r="F49" i="22"/>
  <c r="I49" i="22"/>
  <c r="L49" i="22"/>
  <c r="F50" i="22"/>
  <c r="I50" i="22"/>
  <c r="L50" i="22"/>
  <c r="F51" i="22"/>
  <c r="I51" i="22"/>
  <c r="L51" i="22"/>
  <c r="F52" i="22"/>
  <c r="D56" i="22"/>
  <c r="E56" i="22"/>
  <c r="F56" i="22"/>
  <c r="G56" i="22"/>
  <c r="J56" i="22"/>
  <c r="D57" i="22"/>
  <c r="E57" i="22"/>
  <c r="F57" i="22"/>
  <c r="G57" i="22"/>
  <c r="J57" i="22"/>
  <c r="F43" i="22"/>
  <c r="I43" i="22"/>
  <c r="L43" i="22"/>
  <c r="M43" i="22"/>
  <c r="F44" i="22"/>
  <c r="I44" i="22"/>
  <c r="L44" i="22"/>
  <c r="M44" i="22"/>
  <c r="F45" i="22"/>
  <c r="M45" i="22"/>
  <c r="F46" i="22"/>
  <c r="I46" i="22"/>
  <c r="L46" i="22"/>
  <c r="M46" i="22"/>
  <c r="D47" i="22"/>
  <c r="E47" i="22"/>
  <c r="F47" i="22"/>
  <c r="G47" i="22"/>
  <c r="H47" i="22"/>
  <c r="I47" i="22"/>
  <c r="J47" i="22"/>
  <c r="K47" i="22"/>
  <c r="L47" i="22"/>
  <c r="M47" i="22"/>
  <c r="F37" i="22"/>
  <c r="I37" i="22"/>
  <c r="F38" i="22"/>
  <c r="I38" i="22"/>
  <c r="F39" i="22"/>
  <c r="I39" i="22"/>
  <c r="F40" i="22"/>
  <c r="I40" i="22"/>
  <c r="D41" i="22"/>
  <c r="E41" i="22"/>
  <c r="F41" i="22"/>
  <c r="M41" i="22" s="1"/>
  <c r="G41" i="22"/>
  <c r="H41" i="22"/>
  <c r="I41" i="22"/>
  <c r="J41" i="22"/>
  <c r="K41" i="22"/>
  <c r="F30" i="22"/>
  <c r="I30" i="22"/>
  <c r="L30" i="22"/>
  <c r="M30" i="22"/>
  <c r="F31" i="22"/>
  <c r="I31" i="22"/>
  <c r="L31" i="22"/>
  <c r="M31" i="22"/>
  <c r="F32" i="22"/>
  <c r="I32" i="22"/>
  <c r="L32" i="22"/>
  <c r="M32" i="22"/>
  <c r="F33" i="22"/>
  <c r="I33" i="22"/>
  <c r="L33" i="22"/>
  <c r="M33" i="22"/>
  <c r="F34" i="22"/>
  <c r="I34" i="22"/>
  <c r="L34" i="22"/>
  <c r="M34" i="22"/>
  <c r="N34" i="22"/>
  <c r="F35" i="22"/>
  <c r="I35" i="22"/>
  <c r="L35" i="22"/>
  <c r="M35" i="22"/>
  <c r="F9" i="22"/>
  <c r="I9" i="22"/>
  <c r="L9" i="22"/>
  <c r="M9" i="22"/>
  <c r="P9" i="22"/>
  <c r="Q9" i="22"/>
  <c r="F10" i="22"/>
  <c r="M10" i="22"/>
  <c r="P10" i="22"/>
  <c r="Q10" i="22"/>
  <c r="F11" i="22"/>
  <c r="I11" i="22"/>
  <c r="L11" i="22"/>
  <c r="M11" i="22"/>
  <c r="P11" i="22"/>
  <c r="Q11" i="22"/>
  <c r="F12" i="22"/>
  <c r="I12" i="22"/>
  <c r="L12" i="22"/>
  <c r="M12" i="22"/>
  <c r="P12" i="22"/>
  <c r="Q12" i="22"/>
  <c r="F13" i="22"/>
  <c r="I13" i="22"/>
  <c r="L13" i="22"/>
  <c r="M13" i="22"/>
  <c r="P13" i="22"/>
  <c r="Q13" i="22"/>
  <c r="D14" i="22"/>
  <c r="E14" i="22"/>
  <c r="F14" i="22"/>
  <c r="G14" i="22"/>
  <c r="H14" i="22"/>
  <c r="I14" i="22"/>
  <c r="J14" i="22"/>
  <c r="K14" i="22"/>
  <c r="L14" i="22"/>
  <c r="M14" i="22"/>
  <c r="F16" i="22"/>
  <c r="I16" i="22"/>
  <c r="L16" i="22"/>
  <c r="M16" i="22"/>
  <c r="F17" i="22"/>
  <c r="M17" i="22"/>
  <c r="F18" i="22"/>
  <c r="I18" i="22"/>
  <c r="L18" i="22"/>
  <c r="M18" i="22"/>
  <c r="F19" i="22"/>
  <c r="I19" i="22"/>
  <c r="L19" i="22"/>
  <c r="M19" i="22"/>
  <c r="F20" i="22"/>
  <c r="I20" i="22"/>
  <c r="L20" i="22"/>
  <c r="M20" i="22"/>
  <c r="D21" i="22"/>
  <c r="E21" i="22"/>
  <c r="F21" i="22"/>
  <c r="M21" i="22" s="1"/>
  <c r="G21" i="22"/>
  <c r="H21" i="22"/>
  <c r="I21" i="22"/>
  <c r="J21" i="22"/>
  <c r="K21" i="22"/>
  <c r="L21" i="22"/>
  <c r="Q21" i="22"/>
  <c r="R21" i="22"/>
  <c r="D23" i="22"/>
  <c r="E23" i="22"/>
  <c r="F23" i="22"/>
  <c r="G23" i="22"/>
  <c r="H23" i="22"/>
  <c r="I23" i="22"/>
  <c r="J23" i="22"/>
  <c r="K23" i="22"/>
  <c r="L23" i="22"/>
  <c r="M23" i="22"/>
  <c r="D24" i="22"/>
  <c r="E24" i="22"/>
  <c r="F24" i="22"/>
  <c r="M24" i="22" s="1"/>
  <c r="D25" i="22"/>
  <c r="E25" i="22"/>
  <c r="F25" i="22"/>
  <c r="G25" i="22"/>
  <c r="H25" i="22"/>
  <c r="I25" i="22"/>
  <c r="J25" i="22"/>
  <c r="K25" i="22"/>
  <c r="L25" i="22"/>
  <c r="M25" i="22"/>
  <c r="D26" i="22"/>
  <c r="E26" i="22"/>
  <c r="F26" i="22"/>
  <c r="G26" i="22"/>
  <c r="H26" i="22"/>
  <c r="I26" i="22"/>
  <c r="J26" i="22"/>
  <c r="K26" i="22"/>
  <c r="L26" i="22"/>
  <c r="M26" i="22"/>
  <c r="D27" i="22"/>
  <c r="E27" i="22"/>
  <c r="F27" i="22"/>
  <c r="M27" i="22" s="1"/>
  <c r="G27" i="22"/>
  <c r="H27" i="22"/>
  <c r="I27" i="22"/>
  <c r="J27" i="22"/>
  <c r="K27" i="22"/>
  <c r="L27" i="22"/>
  <c r="D28" i="22"/>
  <c r="E28" i="22"/>
  <c r="F28" i="22"/>
  <c r="D140" i="22" s="1"/>
  <c r="G28" i="22"/>
  <c r="H28" i="22"/>
  <c r="I28" i="22"/>
  <c r="E92" i="22" s="1"/>
  <c r="J28" i="22"/>
  <c r="K28" i="22"/>
  <c r="L28" i="22"/>
  <c r="F33" i="21"/>
  <c r="F39" i="21" s="1"/>
  <c r="F35" i="21"/>
  <c r="F152" i="21" s="1"/>
  <c r="F36" i="21"/>
  <c r="F37" i="21"/>
  <c r="F38" i="21"/>
  <c r="F86" i="21"/>
  <c r="G64" i="21"/>
  <c r="F64" i="21"/>
  <c r="E64" i="21"/>
  <c r="J64" i="21" s="1"/>
  <c r="H63" i="21"/>
  <c r="G63" i="21"/>
  <c r="F63" i="21"/>
  <c r="E63" i="21"/>
  <c r="H62" i="21"/>
  <c r="G62" i="21"/>
  <c r="F62" i="21"/>
  <c r="E62" i="21"/>
  <c r="H61" i="21"/>
  <c r="G61" i="21"/>
  <c r="F61" i="21"/>
  <c r="E61" i="21"/>
  <c r="H60" i="21"/>
  <c r="G60" i="21"/>
  <c r="F60" i="21"/>
  <c r="E60" i="21"/>
  <c r="H59" i="21"/>
  <c r="G59" i="21"/>
  <c r="F59" i="21"/>
  <c r="E59" i="21"/>
  <c r="H58" i="21"/>
  <c r="G58" i="21"/>
  <c r="F58" i="21"/>
  <c r="E58" i="21"/>
  <c r="H57" i="21"/>
  <c r="G57" i="21"/>
  <c r="F57" i="21"/>
  <c r="E57" i="21"/>
  <c r="H86" i="21"/>
  <c r="J86" i="21" s="1"/>
  <c r="G86" i="21"/>
  <c r="E86" i="21"/>
  <c r="I86" i="21" s="1"/>
  <c r="B39" i="21"/>
  <c r="H38" i="21"/>
  <c r="J38" i="21" s="1"/>
  <c r="G38" i="21"/>
  <c r="E38" i="21"/>
  <c r="I38" i="21" s="1"/>
  <c r="B38" i="21"/>
  <c r="H37" i="21"/>
  <c r="J37" i="21" s="1"/>
  <c r="G37" i="21"/>
  <c r="E37" i="21"/>
  <c r="I37" i="21" s="1"/>
  <c r="B37" i="21"/>
  <c r="H36" i="21"/>
  <c r="J36" i="21" s="1"/>
  <c r="G36" i="21"/>
  <c r="B36" i="21"/>
  <c r="H35" i="21"/>
  <c r="H152" i="21" s="1"/>
  <c r="G35" i="21"/>
  <c r="G152" i="21" s="1"/>
  <c r="E35" i="21"/>
  <c r="E152" i="21" s="1"/>
  <c r="H33" i="21"/>
  <c r="G33" i="21"/>
  <c r="G39" i="21" s="1"/>
  <c r="J81" i="21"/>
  <c r="J101" i="21" s="1"/>
  <c r="I81" i="21"/>
  <c r="E39" i="21" l="1"/>
  <c r="E40" i="21" s="1"/>
  <c r="I33" i="21"/>
  <c r="H39" i="21"/>
  <c r="J39" i="21" s="1"/>
  <c r="J33" i="21"/>
  <c r="I101" i="21"/>
  <c r="I49" i="21" s="1"/>
  <c r="I144" i="21"/>
  <c r="J60" i="21"/>
  <c r="I58" i="21"/>
  <c r="I62" i="21"/>
  <c r="I63" i="21"/>
  <c r="J59" i="21"/>
  <c r="J61" i="21"/>
  <c r="J57" i="21"/>
  <c r="I59" i="21"/>
  <c r="I65" i="21"/>
  <c r="J58" i="21"/>
  <c r="I60" i="21"/>
  <c r="I57" i="21"/>
  <c r="I61" i="21"/>
  <c r="I64" i="21"/>
  <c r="J63" i="21"/>
  <c r="J62" i="21"/>
  <c r="J65" i="21"/>
  <c r="E99" i="21"/>
  <c r="F99" i="21"/>
  <c r="N29" i="23"/>
  <c r="F36" i="23"/>
  <c r="M36" i="23"/>
  <c r="G36" i="23"/>
  <c r="H35" i="23"/>
  <c r="N56" i="23"/>
  <c r="K22" i="23"/>
  <c r="K34" i="23"/>
  <c r="N33" i="23"/>
  <c r="K33" i="23"/>
  <c r="K31" i="23"/>
  <c r="H33" i="23"/>
  <c r="K56" i="23"/>
  <c r="H29" i="23"/>
  <c r="O29" i="23" s="1"/>
  <c r="N34" i="23"/>
  <c r="K51" i="23"/>
  <c r="K29" i="23"/>
  <c r="N22" i="23"/>
  <c r="L36" i="23"/>
  <c r="N35" i="23"/>
  <c r="K35" i="23"/>
  <c r="H51" i="23"/>
  <c r="J36" i="23"/>
  <c r="S21" i="23"/>
  <c r="I36" i="23"/>
  <c r="S18" i="23"/>
  <c r="S19" i="23"/>
  <c r="H34" i="23"/>
  <c r="H31" i="23"/>
  <c r="H22" i="23"/>
  <c r="O22" i="23" s="1"/>
  <c r="H56" i="23"/>
  <c r="S20" i="23"/>
  <c r="O19" i="23"/>
  <c r="S17" i="23"/>
  <c r="H32" i="23"/>
  <c r="N31" i="23"/>
  <c r="M28" i="22"/>
  <c r="D92" i="22"/>
  <c r="G121" i="22"/>
  <c r="G122" i="22"/>
  <c r="F40" i="21"/>
  <c r="F42" i="21" s="1"/>
  <c r="G40" i="21"/>
  <c r="G42" i="21" s="1"/>
  <c r="H40" i="21" l="1"/>
  <c r="J40" i="21" s="1"/>
  <c r="I39" i="21"/>
  <c r="H42" i="21"/>
  <c r="J42" i="21" s="1"/>
  <c r="I31" i="19"/>
  <c r="J31" i="19" s="1"/>
  <c r="J119" i="23"/>
  <c r="J122" i="23"/>
  <c r="J121" i="23"/>
  <c r="J123" i="23"/>
  <c r="G41" i="21"/>
  <c r="F41" i="21"/>
  <c r="H41" i="21"/>
  <c r="J41" i="21" s="1"/>
  <c r="H36" i="23"/>
  <c r="D8" i="23" s="1"/>
  <c r="N36" i="23"/>
  <c r="F8" i="23" s="1"/>
  <c r="F7" i="23" s="1"/>
  <c r="K36" i="23"/>
  <c r="E8" i="23" s="1"/>
  <c r="E7" i="23" s="1"/>
  <c r="J120" i="23"/>
  <c r="E42" i="21" l="1"/>
  <c r="I42" i="21" s="1"/>
  <c r="E41" i="21"/>
  <c r="I41" i="21" s="1"/>
  <c r="I40" i="21"/>
  <c r="D7" i="23"/>
  <c r="J124" i="23"/>
  <c r="E40" i="14" l="1"/>
  <c r="H42" i="14" l="1"/>
  <c r="G42" i="14"/>
  <c r="F42" i="14"/>
  <c r="E42" i="14"/>
  <c r="N41" i="14"/>
  <c r="R137" i="14"/>
  <c r="E72" i="14" l="1"/>
  <c r="E94" i="14"/>
  <c r="E71" i="14"/>
  <c r="E73" i="14"/>
  <c r="N125" i="3" l="1"/>
  <c r="N120" i="3"/>
  <c r="N121" i="3"/>
  <c r="N122" i="3"/>
  <c r="N123" i="3"/>
  <c r="K120" i="3"/>
  <c r="K121" i="3"/>
  <c r="K122" i="3"/>
  <c r="K123" i="3"/>
  <c r="K124" i="3"/>
  <c r="K125" i="3"/>
  <c r="H120" i="3"/>
  <c r="H121" i="3"/>
  <c r="H122" i="3"/>
  <c r="H123" i="3"/>
  <c r="H124" i="3"/>
  <c r="H125" i="3"/>
  <c r="N119" i="3"/>
  <c r="K119" i="3"/>
  <c r="H119" i="3"/>
  <c r="N118" i="3"/>
  <c r="K118" i="3"/>
  <c r="H118" i="3"/>
  <c r="N117" i="3"/>
  <c r="K117" i="3"/>
  <c r="H117" i="3"/>
  <c r="E42" i="3"/>
  <c r="E52" i="3"/>
  <c r="O15" i="14"/>
  <c r="I13" i="14"/>
  <c r="J13" i="14" s="1"/>
  <c r="N134" i="14"/>
  <c r="G134" i="14"/>
  <c r="Q129" i="14"/>
  <c r="Q127" i="14"/>
  <c r="G58" i="14"/>
  <c r="F58" i="14"/>
  <c r="B42" i="3"/>
  <c r="B41" i="3"/>
  <c r="B40" i="3"/>
  <c r="B39" i="3"/>
  <c r="M134" i="3"/>
  <c r="L124" i="3"/>
  <c r="M124" i="3" s="1"/>
  <c r="J134" i="3"/>
  <c r="I124" i="3"/>
  <c r="G134" i="3"/>
  <c r="F124" i="3"/>
  <c r="E124" i="3"/>
  <c r="E71" i="3"/>
  <c r="E33" i="14"/>
  <c r="N76" i="14"/>
  <c r="Q133" i="14"/>
  <c r="Q132" i="14"/>
  <c r="Q131" i="14"/>
  <c r="Q130" i="14"/>
  <c r="Q128" i="14"/>
  <c r="Q135" i="14" l="1"/>
  <c r="R128" i="14" s="1"/>
  <c r="E39" i="14"/>
  <c r="R127" i="14"/>
  <c r="G124" i="3"/>
  <c r="J124" i="3"/>
  <c r="R131" i="14" l="1"/>
  <c r="R129" i="14"/>
  <c r="R130" i="14"/>
  <c r="R133" i="14"/>
  <c r="R132" i="14"/>
  <c r="R135" i="14" l="1"/>
  <c r="K18" i="14" l="1"/>
  <c r="Q13" i="14"/>
  <c r="P13" i="14" l="1"/>
  <c r="J18" i="14"/>
  <c r="I18" i="14"/>
  <c r="F54" i="18" l="1"/>
  <c r="J49" i="14"/>
  <c r="H124" i="14" l="1"/>
  <c r="I124" i="14"/>
  <c r="K124" i="14"/>
  <c r="L124" i="14"/>
  <c r="F124" i="14"/>
  <c r="E124" i="14"/>
  <c r="M134" i="14"/>
  <c r="M124" i="14" s="1"/>
  <c r="J134" i="14"/>
  <c r="J124" i="14" s="1"/>
  <c r="G124" i="14"/>
  <c r="I49" i="14"/>
  <c r="I51" i="14"/>
  <c r="J51" i="14"/>
  <c r="I54" i="14"/>
  <c r="J54" i="14"/>
  <c r="P12" i="14"/>
  <c r="K17" i="14"/>
  <c r="J17" i="14"/>
  <c r="J47" i="14" s="1"/>
  <c r="J65" i="14" s="1"/>
  <c r="I17" i="14"/>
  <c r="I47" i="14" s="1"/>
  <c r="I65" i="14" s="1"/>
  <c r="O109" i="14" s="1"/>
  <c r="H123" i="14"/>
  <c r="K47" i="14" l="1"/>
  <c r="K65" i="14" s="1"/>
  <c r="P15" i="14"/>
  <c r="P14" i="14"/>
  <c r="P10" i="14"/>
  <c r="J67" i="14"/>
  <c r="I67" i="14"/>
  <c r="J70" i="14"/>
  <c r="J69" i="14"/>
  <c r="J68" i="14"/>
  <c r="B38" i="14"/>
  <c r="O13" i="14"/>
  <c r="G130" i="14"/>
  <c r="E120" i="14"/>
  <c r="E83" i="14"/>
  <c r="E77" i="14"/>
  <c r="E81" i="14"/>
  <c r="E58" i="14"/>
  <c r="F9" i="8"/>
  <c r="G9" i="8"/>
  <c r="I9" i="8"/>
  <c r="H9" i="8"/>
  <c r="E28" i="6"/>
  <c r="J28" i="6" s="1"/>
  <c r="F28" i="6"/>
  <c r="G28" i="6"/>
  <c r="H28" i="6"/>
  <c r="I28" i="6"/>
  <c r="I69" i="14"/>
  <c r="I68" i="14"/>
  <c r="I70" i="14"/>
  <c r="O10" i="14"/>
  <c r="O76" i="14"/>
  <c r="P76" i="14"/>
  <c r="Q76" i="14"/>
  <c r="O77" i="14"/>
  <c r="P77" i="14"/>
  <c r="Q77" i="14"/>
  <c r="O78" i="14"/>
  <c r="P78" i="14"/>
  <c r="Q78" i="14"/>
  <c r="O79" i="14"/>
  <c r="P79" i="14"/>
  <c r="Q79" i="14"/>
  <c r="N79" i="14"/>
  <c r="N78" i="14"/>
  <c r="N77" i="14"/>
  <c r="E82" i="14" l="1"/>
  <c r="H94" i="14"/>
  <c r="H97" i="14" s="1"/>
  <c r="H89" i="3"/>
  <c r="G89" i="3"/>
  <c r="E38" i="14"/>
  <c r="F89" i="3"/>
  <c r="O112" i="14"/>
  <c r="G71" i="3"/>
  <c r="H71" i="3"/>
  <c r="F71" i="3"/>
  <c r="G89" i="14"/>
  <c r="H89" i="14"/>
  <c r="F89" i="14"/>
  <c r="E89" i="14"/>
  <c r="F71" i="14"/>
  <c r="G71" i="14"/>
  <c r="H71" i="14"/>
  <c r="F94" i="14"/>
  <c r="F97" i="14" s="1"/>
  <c r="G94" i="14"/>
  <c r="G97" i="14" s="1"/>
  <c r="F97" i="3"/>
  <c r="G97" i="3"/>
  <c r="H97" i="3"/>
  <c r="E97" i="14"/>
  <c r="E97" i="3"/>
  <c r="G26" i="19" l="1"/>
  <c r="H26" i="19" s="1"/>
  <c r="J71" i="14"/>
  <c r="K71" i="14"/>
  <c r="I71" i="14"/>
  <c r="F111" i="3"/>
  <c r="E111" i="3"/>
  <c r="F8" i="6"/>
  <c r="G11" i="6"/>
  <c r="L111" i="14"/>
  <c r="F111" i="14"/>
  <c r="E111" i="14"/>
  <c r="H81" i="14"/>
  <c r="F137" i="14" l="1"/>
  <c r="G127" i="14"/>
  <c r="O11" i="14"/>
  <c r="E39" i="3" l="1"/>
  <c r="E40" i="3"/>
  <c r="E41" i="3"/>
  <c r="H39" i="3"/>
  <c r="H40" i="3"/>
  <c r="H41" i="3"/>
  <c r="G39" i="3"/>
  <c r="G40" i="3"/>
  <c r="G41" i="3"/>
  <c r="F39" i="3"/>
  <c r="F40" i="3"/>
  <c r="F41" i="3"/>
  <c r="H38" i="3"/>
  <c r="G38" i="3"/>
  <c r="F38" i="3"/>
  <c r="E38" i="3"/>
  <c r="E37" i="14"/>
  <c r="E36" i="14"/>
  <c r="F36" i="14"/>
  <c r="F37" i="14"/>
  <c r="F38" i="14"/>
  <c r="F33" i="14"/>
  <c r="F39" i="14" s="1"/>
  <c r="G36" i="14"/>
  <c r="G37" i="14"/>
  <c r="G38" i="14"/>
  <c r="G33" i="14"/>
  <c r="G39" i="14" s="1"/>
  <c r="H36" i="14"/>
  <c r="H37" i="14"/>
  <c r="H38" i="14"/>
  <c r="H33" i="14"/>
  <c r="H39" i="14" s="1"/>
  <c r="H35" i="14"/>
  <c r="G35" i="14"/>
  <c r="F35" i="14"/>
  <c r="E35" i="14"/>
  <c r="B39" i="14"/>
  <c r="B37" i="14"/>
  <c r="B36" i="14"/>
  <c r="I19" i="14"/>
  <c r="J19" i="14"/>
  <c r="I20" i="14"/>
  <c r="J20" i="14"/>
  <c r="I21" i="14"/>
  <c r="J21" i="14"/>
  <c r="I22" i="14"/>
  <c r="J22" i="14"/>
  <c r="I23" i="14"/>
  <c r="J23" i="14"/>
  <c r="I24" i="14"/>
  <c r="J24" i="14"/>
  <c r="I25" i="14"/>
  <c r="J25" i="14"/>
  <c r="I32" i="14"/>
  <c r="J32" i="14"/>
  <c r="O12" i="14"/>
  <c r="O14" i="14"/>
  <c r="G111" i="14"/>
  <c r="H111" i="14"/>
  <c r="O111" i="14" s="1"/>
  <c r="I111" i="14"/>
  <c r="J127" i="14"/>
  <c r="J111" i="14" s="1"/>
  <c r="K111" i="14"/>
  <c r="M127" i="14"/>
  <c r="M111" i="14" s="1"/>
  <c r="N111" i="14"/>
  <c r="P11" i="14"/>
  <c r="E83" i="3"/>
  <c r="F137" i="3"/>
  <c r="E137" i="3"/>
  <c r="G135" i="3"/>
  <c r="G128" i="3"/>
  <c r="G127" i="3"/>
  <c r="G111" i="3" s="1"/>
  <c r="G129" i="3"/>
  <c r="G130" i="3"/>
  <c r="E121" i="3"/>
  <c r="F121" i="3"/>
  <c r="G131" i="3"/>
  <c r="G132" i="3"/>
  <c r="G133" i="3"/>
  <c r="E125" i="3"/>
  <c r="F125" i="3"/>
  <c r="E123" i="3"/>
  <c r="F123" i="3"/>
  <c r="E122" i="3"/>
  <c r="F122" i="3"/>
  <c r="E120" i="3"/>
  <c r="F120" i="3"/>
  <c r="E119" i="3"/>
  <c r="F119" i="3"/>
  <c r="E118" i="3"/>
  <c r="F118" i="3"/>
  <c r="E117" i="3"/>
  <c r="F117" i="3"/>
  <c r="E90" i="3"/>
  <c r="E91" i="3"/>
  <c r="E92" i="3"/>
  <c r="E81" i="3"/>
  <c r="E82" i="3" s="1"/>
  <c r="M11" i="3"/>
  <c r="E137" i="14"/>
  <c r="E125" i="14"/>
  <c r="F125" i="14"/>
  <c r="E123" i="14"/>
  <c r="F123" i="14"/>
  <c r="E122" i="14"/>
  <c r="F122" i="14"/>
  <c r="E121" i="14"/>
  <c r="F121" i="14"/>
  <c r="F120" i="14"/>
  <c r="E119" i="14"/>
  <c r="F119" i="14"/>
  <c r="E118" i="14"/>
  <c r="F118" i="14"/>
  <c r="F117" i="14"/>
  <c r="G128" i="14"/>
  <c r="G129" i="14"/>
  <c r="G131" i="14"/>
  <c r="G132" i="14"/>
  <c r="G133" i="14"/>
  <c r="G135" i="14"/>
  <c r="E117" i="14"/>
  <c r="N23" i="6"/>
  <c r="N20" i="6"/>
  <c r="O20" i="6"/>
  <c r="H77" i="14"/>
  <c r="H82" i="14" s="1"/>
  <c r="H72" i="14"/>
  <c r="G11" i="14"/>
  <c r="G12" i="14"/>
  <c r="G13" i="14"/>
  <c r="G14" i="14"/>
  <c r="G10" i="14"/>
  <c r="J10" i="14"/>
  <c r="J11" i="14"/>
  <c r="J12" i="14"/>
  <c r="M10" i="14"/>
  <c r="M11" i="14"/>
  <c r="M12" i="14"/>
  <c r="M13" i="14"/>
  <c r="J14" i="14"/>
  <c r="G11" i="3"/>
  <c r="G12" i="3"/>
  <c r="G13" i="3"/>
  <c r="G14" i="3"/>
  <c r="G10" i="3"/>
  <c r="J11" i="3"/>
  <c r="J12" i="3"/>
  <c r="J10" i="3"/>
  <c r="M12" i="3"/>
  <c r="M10" i="3"/>
  <c r="O24" i="10"/>
  <c r="V13" i="10" s="1"/>
  <c r="L24" i="10"/>
  <c r="U13" i="10" s="1"/>
  <c r="I26" i="10"/>
  <c r="T13" i="10" s="1"/>
  <c r="J128" i="14"/>
  <c r="J118" i="14" s="1"/>
  <c r="L125" i="14"/>
  <c r="L123" i="14"/>
  <c r="L122" i="14"/>
  <c r="L121" i="14"/>
  <c r="L120" i="14"/>
  <c r="L119" i="14"/>
  <c r="L118" i="14"/>
  <c r="L117" i="14"/>
  <c r="M135" i="14"/>
  <c r="M125" i="14" s="1"/>
  <c r="M133" i="14"/>
  <c r="M123" i="14" s="1"/>
  <c r="M132" i="14"/>
  <c r="M122" i="14" s="1"/>
  <c r="M131" i="14"/>
  <c r="M121" i="14" s="1"/>
  <c r="M130" i="14"/>
  <c r="M120" i="14" s="1"/>
  <c r="M129" i="14"/>
  <c r="M119" i="14" s="1"/>
  <c r="M128" i="14"/>
  <c r="M118" i="14" s="1"/>
  <c r="L137" i="14"/>
  <c r="I137" i="14"/>
  <c r="I125" i="14"/>
  <c r="I123" i="14"/>
  <c r="I122" i="14"/>
  <c r="I121" i="14"/>
  <c r="I120" i="14"/>
  <c r="I119" i="14"/>
  <c r="I118" i="14"/>
  <c r="I117" i="14"/>
  <c r="J135" i="14"/>
  <c r="J125" i="14" s="1"/>
  <c r="J133" i="14"/>
  <c r="J123" i="14" s="1"/>
  <c r="J132" i="14"/>
  <c r="J122" i="14" s="1"/>
  <c r="J131" i="14"/>
  <c r="J121" i="14" s="1"/>
  <c r="J130" i="14"/>
  <c r="J120" i="14" s="1"/>
  <c r="J129" i="14"/>
  <c r="J119" i="14" s="1"/>
  <c r="H125" i="14"/>
  <c r="H122" i="14"/>
  <c r="H121" i="14"/>
  <c r="H120" i="14"/>
  <c r="H119" i="14"/>
  <c r="H118" i="14"/>
  <c r="N118" i="14"/>
  <c r="N119" i="14"/>
  <c r="N120" i="14"/>
  <c r="N121" i="14"/>
  <c r="N122" i="14"/>
  <c r="N123" i="14"/>
  <c r="N125" i="14"/>
  <c r="K125" i="14"/>
  <c r="K123" i="14"/>
  <c r="K122" i="14"/>
  <c r="K121" i="14"/>
  <c r="K120" i="14"/>
  <c r="K119" i="14"/>
  <c r="K118" i="14"/>
  <c r="N117" i="14"/>
  <c r="K117" i="14"/>
  <c r="H117" i="14"/>
  <c r="L137" i="3"/>
  <c r="M135" i="3"/>
  <c r="M133" i="3"/>
  <c r="M132" i="3"/>
  <c r="M131" i="3"/>
  <c r="M130" i="3"/>
  <c r="M129" i="3"/>
  <c r="L125" i="3"/>
  <c r="M125" i="3" s="1"/>
  <c r="L123" i="3"/>
  <c r="M123" i="3" s="1"/>
  <c r="L122" i="3"/>
  <c r="M122" i="3" s="1"/>
  <c r="L121" i="3"/>
  <c r="M121" i="3" s="1"/>
  <c r="L120" i="3"/>
  <c r="M120" i="3" s="1"/>
  <c r="L119" i="3"/>
  <c r="M119" i="3" s="1"/>
  <c r="J135" i="3"/>
  <c r="J133" i="3"/>
  <c r="J132" i="3"/>
  <c r="J131" i="3"/>
  <c r="J130" i="3"/>
  <c r="J129" i="3"/>
  <c r="I125" i="3"/>
  <c r="J125" i="3" s="1"/>
  <c r="I123" i="3"/>
  <c r="J123" i="3" s="1"/>
  <c r="I122" i="3"/>
  <c r="J122" i="3" s="1"/>
  <c r="I121" i="3"/>
  <c r="J121" i="3" s="1"/>
  <c r="I120" i="3"/>
  <c r="J120" i="3" s="1"/>
  <c r="I119" i="3"/>
  <c r="J119" i="3" s="1"/>
  <c r="I137" i="3"/>
  <c r="M128" i="3"/>
  <c r="L118" i="3"/>
  <c r="M118" i="3" s="1"/>
  <c r="L117" i="3"/>
  <c r="M117" i="3" s="1"/>
  <c r="I118" i="3"/>
  <c r="J118" i="3" s="1"/>
  <c r="J128" i="3"/>
  <c r="I117" i="3"/>
  <c r="J117" i="3" s="1"/>
  <c r="M127" i="3"/>
  <c r="J127" i="3"/>
  <c r="F83" i="14"/>
  <c r="O80" i="14" s="1"/>
  <c r="G83" i="14"/>
  <c r="P80" i="14" s="1"/>
  <c r="H83" i="14"/>
  <c r="Q80" i="14" s="1"/>
  <c r="F81" i="14"/>
  <c r="G81" i="14"/>
  <c r="F77" i="14"/>
  <c r="G77" i="14"/>
  <c r="R27" i="6"/>
  <c r="Q27" i="6"/>
  <c r="P27" i="6"/>
  <c r="O27" i="6"/>
  <c r="N27" i="6"/>
  <c r="O23" i="6"/>
  <c r="P23" i="6"/>
  <c r="Q23" i="6"/>
  <c r="R23" i="6"/>
  <c r="R19" i="6"/>
  <c r="Q19" i="6"/>
  <c r="P19" i="6"/>
  <c r="O19" i="6"/>
  <c r="F92" i="3"/>
  <c r="F83" i="3"/>
  <c r="F81" i="3"/>
  <c r="G92" i="3"/>
  <c r="G83" i="3"/>
  <c r="G81" i="3"/>
  <c r="H92" i="3"/>
  <c r="H83" i="3"/>
  <c r="H77" i="3"/>
  <c r="H81" i="3"/>
  <c r="F77" i="3"/>
  <c r="G77" i="3"/>
  <c r="F72" i="14"/>
  <c r="G72" i="14"/>
  <c r="E52" i="14"/>
  <c r="E56" i="14" s="1"/>
  <c r="F52" i="14"/>
  <c r="G52" i="14"/>
  <c r="H52" i="14"/>
  <c r="M14" i="14"/>
  <c r="F21" i="10"/>
  <c r="S13" i="10" s="1"/>
  <c r="H102" i="3"/>
  <c r="H101" i="3"/>
  <c r="G102" i="3"/>
  <c r="G101" i="3"/>
  <c r="F102" i="3"/>
  <c r="F101" i="3"/>
  <c r="G52" i="3"/>
  <c r="G56" i="3" s="1"/>
  <c r="H52" i="3"/>
  <c r="H56" i="3" s="1"/>
  <c r="F52" i="3"/>
  <c r="F56" i="3" s="1"/>
  <c r="E56" i="3"/>
  <c r="E33" i="3"/>
  <c r="H33" i="3"/>
  <c r="H42" i="3" s="1"/>
  <c r="G33" i="3"/>
  <c r="G42" i="3" s="1"/>
  <c r="F33" i="3"/>
  <c r="F42" i="3" s="1"/>
  <c r="H14" i="3"/>
  <c r="J14" i="3" s="1"/>
  <c r="I13" i="3"/>
  <c r="H13" i="3"/>
  <c r="L14" i="3"/>
  <c r="K14" i="3"/>
  <c r="M13" i="3"/>
  <c r="G90" i="3"/>
  <c r="G91" i="3"/>
  <c r="F90" i="3"/>
  <c r="F91" i="3"/>
  <c r="H91" i="3"/>
  <c r="H90" i="3"/>
  <c r="F82" i="3" l="1"/>
  <c r="G137" i="3"/>
  <c r="I52" i="14"/>
  <c r="J52" i="14"/>
  <c r="J72" i="14"/>
  <c r="G90" i="14"/>
  <c r="P81" i="14"/>
  <c r="N80" i="14"/>
  <c r="H91" i="14"/>
  <c r="Q81" i="14"/>
  <c r="F91" i="14"/>
  <c r="O81" i="14"/>
  <c r="E90" i="14"/>
  <c r="N81" i="14"/>
  <c r="I72" i="14"/>
  <c r="G122" i="3"/>
  <c r="G117" i="14"/>
  <c r="G119" i="14"/>
  <c r="G123" i="14"/>
  <c r="F90" i="14"/>
  <c r="H90" i="14"/>
  <c r="J137" i="3"/>
  <c r="H82" i="3"/>
  <c r="M14" i="3"/>
  <c r="G91" i="14"/>
  <c r="H92" i="14"/>
  <c r="G82" i="14"/>
  <c r="F82" i="14"/>
  <c r="E43" i="3"/>
  <c r="G120" i="3"/>
  <c r="G123" i="3"/>
  <c r="G125" i="3"/>
  <c r="M137" i="3"/>
  <c r="F43" i="3"/>
  <c r="G121" i="3"/>
  <c r="J13" i="3"/>
  <c r="G117" i="3"/>
  <c r="G82" i="3"/>
  <c r="H43" i="3"/>
  <c r="G119" i="3"/>
  <c r="G56" i="14"/>
  <c r="M117" i="14"/>
  <c r="F56" i="14"/>
  <c r="J117" i="14"/>
  <c r="I33" i="14"/>
  <c r="G118" i="3"/>
  <c r="G122" i="14"/>
  <c r="J137" i="14"/>
  <c r="G92" i="14"/>
  <c r="F92" i="14"/>
  <c r="G137" i="14"/>
  <c r="G125" i="14"/>
  <c r="H56" i="14"/>
  <c r="G121" i="14"/>
  <c r="G118" i="14"/>
  <c r="H40" i="14"/>
  <c r="G120" i="14"/>
  <c r="F40" i="14"/>
  <c r="M137" i="14"/>
  <c r="J33" i="14"/>
  <c r="G40" i="14"/>
  <c r="E92" i="14"/>
  <c r="G43" i="3"/>
  <c r="E91" i="14"/>
  <c r="G27" i="19" l="1"/>
  <c r="N36" i="14"/>
  <c r="N39" i="14"/>
  <c r="N37" i="14"/>
  <c r="K56" i="14"/>
  <c r="J56" i="14"/>
  <c r="I56" i="14"/>
  <c r="N40" i="14"/>
  <c r="N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2" authorId="0" shapeId="0" xr:uid="{8666A49C-821A-4BA8-ACD5-059BF6F66435}">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3" authorId="0" shapeId="0" xr:uid="{A1B4E1F2-BF85-4FCF-8EF8-3F1351495022}">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4" authorId="0" shapeId="0" xr:uid="{0E167E7A-78AE-4E01-92B9-F2F9DC06A4E9}">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5" authorId="0" shapeId="0" xr:uid="{BB15AA27-163E-4173-9A0C-ED199EDE971A}">
      <text>
        <r>
          <rPr>
            <sz val="10"/>
            <color indexed="81"/>
            <rFont val="Verdana"/>
            <family val="2"/>
          </rPr>
          <t xml:space="preserve">
This is our operational GHG footprint using the Scope 1 emissions and the market based Scope 2 emissions as stated above.</t>
        </r>
      </text>
    </comment>
    <comment ref="B16" authorId="0" shapeId="0" xr:uid="{C5CFD619-63CF-4C03-A663-A62299BB8E4F}">
      <text>
        <r>
          <rPr>
            <sz val="10"/>
            <color indexed="81"/>
            <rFont val="Verdana"/>
            <family val="2"/>
          </rPr>
          <t xml:space="preserve">
This is our operational GHG footprint using the Scope 1 emissions and the location based Scope 2 emissions as stated above.</t>
        </r>
      </text>
    </comment>
    <comment ref="B17" authorId="0" shapeId="0" xr:uid="{3D39FBB3-BB97-4466-AB8F-81FAFE2A7B63}">
      <text>
        <r>
          <rPr>
            <sz val="10"/>
            <color indexed="81"/>
            <rFont val="Verdana"/>
            <family val="2"/>
          </rPr>
          <t xml:space="preserve">
This is the total scope 1 GHG emissions and  Scope 2 GHG emissions based on the market values factored against the weight of product sold. </t>
        </r>
      </text>
    </comment>
    <comment ref="B21" authorId="0" shapeId="0" xr:uid="{5137AD46-C394-43D4-ABAE-2A9AB9C684D0}">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22" authorId="0" shapeId="0" xr:uid="{DCE85ACF-B12D-449F-932C-C499FA7E9B3C}">
      <text>
        <r>
          <rPr>
            <sz val="10"/>
            <color indexed="81"/>
            <rFont val="Verdana"/>
            <family val="2"/>
          </rPr>
          <t>This is the total energy used by the business divided by amount of materials sold to customers.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tc={045CEAD6-44D5-4DE1-AE3A-0499C42C9616}</author>
    <author>tc={D8177E34-4D20-4233-952E-063C50A69C81}</author>
    <author>tc={EB1C496A-7E95-46CD-B1C4-2C14A77160C9}</author>
    <author>tc={31588365-2E37-48C3-A341-F195A3CC917D}</author>
    <author>tc={6DE5A362-2CB6-4CAE-918A-B45D7D1B215B}</author>
    <author>tc={66A0C1D0-063F-46BA-B2B7-35584E49DB76}</author>
    <author>tc={7395D06B-4809-436C-8613-C7B8EA4843EA}</author>
    <author>tc={E2DACDBD-2CE9-404F-9CD1-EA1926F7E895}</author>
    <author>tc={5BBA88AF-99A1-4EE5-A219-EE93D2238B34}</author>
    <author>tc={2C43F909-8CE6-44CD-A9BD-F2A9F2136806}</author>
    <author>tc={DCA6DCC2-4F95-4441-8A02-030ECD0194BB}</author>
    <author>tc={E5EF1409-32A3-47D2-95CD-E380E26A28E5}</author>
    <author>tc={B6AECDD5-0693-4415-B7BC-DF4F010AB5EF}</author>
    <author>tc={FD31075B-9724-4D99-9246-CAB9D9771295}</author>
    <author>tc={2D5D4FAA-F4DC-4012-BB10-693DB2B05DC8}</author>
    <author>tc={05FA9193-32F8-40FA-BE15-690D7028CBCC}</author>
    <author>tc={F313A705-16E2-42CA-911B-106A4110655C}</author>
    <author>tc={0218E8B7-C208-4FBE-8BF2-6D8FB15A903F}</author>
    <author>tc={1E44BA25-80ED-4FB3-9E92-571D4DF6C243}</author>
    <author>tc={4B56B321-22A0-41E6-BEBD-72F8A1AB0AB7}</author>
    <author>tc={C8765530-3B60-4CEF-A961-F5F29077E42B}</author>
    <author>tc={56C32388-E193-46ED-9ACA-92FB0958F5BB}</author>
    <author>tc={E99AD1A7-DF42-4DF8-BA52-F02DF784972E}</author>
    <author>tc={1E0FCF4C-9EEA-4D19-B7A5-51AF4D59D8FE}</author>
    <author>tc={ABC36D99-FAA2-463C-B701-6B82A6B210FA}</author>
    <author>tc={07B07872-8C1B-4596-8DAE-D7873EADC94A}</author>
    <author>tc={29719286-53A7-48C2-8938-DF1D49675701}</author>
    <author>tc={1A878988-3E19-4FE6-A6B1-9181675A35CC}</author>
    <author>tc={3E34FCC1-B6DB-4896-A1B4-C063FABAF873}</author>
    <author>tc={E2276F93-69E3-4439-8844-5EA8EE80479C}</author>
  </authors>
  <commentList>
    <comment ref="H10" authorId="0" shapeId="0" xr:uid="{045CEAD6-44D5-4DE1-AE3A-0499C42C961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0" authorId="1" shapeId="0" xr:uid="{D8177E34-4D20-4233-952E-063C50A69C81}">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0" authorId="2" shapeId="0" xr:uid="{EB1C496A-7E95-46CD-B1C4-2C14A77160C9}">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0" authorId="3" shapeId="0" xr:uid="{31588365-2E37-48C3-A341-F195A3CC917D}">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0" authorId="4" shapeId="0" xr:uid="{6DE5A362-2CB6-4CAE-918A-B45D7D1B215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0" authorId="5" shapeId="0" xr:uid="{66A0C1D0-063F-46BA-B2B7-35584E49DB7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0" authorId="6" shapeId="0" xr:uid="{7395D06B-4809-436C-8613-C7B8EA4843EA}">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3" authorId="7" shapeId="0" xr:uid="{E2DACDBD-2CE9-404F-9CD1-EA1926F7E8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3" authorId="8" shapeId="0" xr:uid="{5BBA88AF-99A1-4EE5-A219-EE93D2238B34}">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3" authorId="9" shapeId="0" xr:uid="{2C43F909-8CE6-44CD-A9BD-F2A9F2136806}">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3" authorId="10" shapeId="0" xr:uid="{DCA6DCC2-4F95-4441-8A02-030ECD0194B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3" authorId="11" shapeId="0" xr:uid="{E5EF1409-32A3-47D2-95CD-E380E26A28E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3" authorId="12" shapeId="0" xr:uid="{B6AECDD5-0693-4415-B7BC-DF4F010AB5E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3" authorId="13" shapeId="0" xr:uid="{FD31075B-9724-4D99-9246-CAB9D9771295}">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H14" authorId="14" shapeId="0" xr:uid="{2D5D4FAA-F4DC-4012-BB10-693DB2B05DC8}">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I14" authorId="15" shapeId="0" xr:uid="{05FA9193-32F8-40FA-BE15-690D7028CBC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J14" authorId="16" shapeId="0" xr:uid="{F313A705-16E2-42CA-911B-106A4110655C}">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K14" authorId="17" shapeId="0" xr:uid="{0218E8B7-C208-4FBE-8BF2-6D8FB15A903F}">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L14" authorId="18" shapeId="0" xr:uid="{1E44BA25-80ED-4FB3-9E92-571D4DF6C243}">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M14" authorId="19" shapeId="0" xr:uid="{4B56B321-22A0-41E6-BEBD-72F8A1AB0AB7}">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N14" authorId="20" shapeId="0" xr:uid="{C8765530-3B60-4CEF-A961-F5F29077E42B}">
      <text>
        <t>[Threaded comment]
Your version of Excel allows you to read this threaded comment; however, any edits to it will get removed if the file is opened in a newer version of Excel. Learn more: https://go.microsoft.com/fwlink/?linkid=870924
Comment:
    Scope 1 value restated due to improbved accuracy in N2O reporting.</t>
      </text>
    </comment>
    <comment ref="G100" authorId="21" shapeId="0" xr:uid="{56C32388-E193-46ED-9ACA-92FB0958F5BB}">
      <text>
        <t>[Threaded comment]
Your version of Excel allows you to read this threaded comment; however, any edits to it will get removed if the file is opened in a newer version of Excel. Learn more: https://go.microsoft.com/fwlink/?linkid=870924
Comment:
    Original data was 298,955 kg</t>
      </text>
    </comment>
    <comment ref="H100" authorId="22" shapeId="0" xr:uid="{E99AD1A7-DF42-4DF8-BA52-F02DF784972E}">
      <text>
        <t>[Threaded comment]
Your version of Excel allows you to read this threaded comment; however, any edits to it will get removed if the file is opened in a newer version of Excel. Learn more: https://go.microsoft.com/fwlink/?linkid=870924
Comment:
    Original value was 301,869</t>
      </text>
    </comment>
    <comment ref="K120" authorId="23" shapeId="0" xr:uid="{1E0FCF4C-9EEA-4D19-B7A5-51AF4D59D8FE}">
      <text>
        <t>[Threaded comment]
Your version of Excel allows you to read this threaded comment; however, any edits to it will get removed if the file is opened in a newer version of Excel. Learn more: https://go.microsoft.com/fwlink/?linkid=870924
Comment:
    Original value before rstatement was 4107694</t>
      </text>
    </comment>
    <comment ref="K122" authorId="24" shapeId="0" xr:uid="{ABC36D99-FAA2-463C-B701-6B82A6B210FA}">
      <text>
        <t>[Threaded comment]
Your version of Excel allows you to read this threaded comment; however, any edits to it will get removed if the file is opened in a newer version of Excel. Learn more: https://go.microsoft.com/fwlink/?linkid=870924
Comment:
    Original value before restatement was 1224735</t>
      </text>
    </comment>
    <comment ref="K125" authorId="25" shapeId="0" xr:uid="{07B07872-8C1B-4596-8DAE-D7873EADC94A}">
      <text>
        <t>[Threaded comment]
Your version of Excel allows you to read this threaded comment; however, any edits to it will get removed if the file is opened in a newer version of Excel. Learn more: https://go.microsoft.com/fwlink/?linkid=870924
Comment:
    Original value before restatement was 615809</t>
      </text>
    </comment>
    <comment ref="K130" authorId="26" shapeId="0" xr:uid="{29719286-53A7-48C2-8938-DF1D49675701}">
      <text>
        <t>[Threaded comment]
Your version of Excel allows you to read this threaded comment; however, any edits to it will get removed if the file is opened in a newer version of Excel. Learn more: https://go.microsoft.com/fwlink/?linkid=870924
Comment:
    Original value last year of 141026138 changed after energy restatements for renewable energy</t>
      </text>
    </comment>
    <comment ref="K132" authorId="27" shapeId="0" xr:uid="{1A878988-3E19-4FE6-A6B1-9181675A35CC}">
      <text>
        <t>[Threaded comment]
Your version of Excel allows you to read this threaded comment; however, any edits to it will get removed if the file is opened in a newer version of Excel. Learn more: https://go.microsoft.com/fwlink/?linkid=870924
Comment:
    Original value from last year reported was 340204183 Following restatement has altered</t>
      </text>
    </comment>
    <comment ref="K135" authorId="28" shapeId="0" xr:uid="{3E34FCC1-B6DB-4896-A1B4-C063FABAF873}">
      <text>
        <t>[Threaded comment]
Your version of Excel allows you to read this threaded comment; however, any edits to it will get removed if the file is opened in a newer version of Excel. Learn more: https://go.microsoft.com/fwlink/?linkid=870924
Comment:
    Original value before correction was 171,057,996</t>
      </text>
    </comment>
    <comment ref="K137" authorId="29" shapeId="0" xr:uid="{E2276F93-69E3-4439-8844-5EA8EE80479C}">
      <text>
        <t>[Threaded comment]
Your version of Excel allows you to read this threaded comment; however, any edits to it will get removed if the file is opened in a newer version of Excel. Learn more: https://go.microsoft.com/fwlink/?linkid=870924
Comment:
    Original value was 30.9% before restatement of renewable electricity</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Xin Ngfat</author>
  </authors>
  <commentList>
    <comment ref="B10" authorId="0" shapeId="0" xr:uid="{FFA28DE6-B952-4767-8054-EBBD987AF037}">
      <text>
        <r>
          <rPr>
            <sz val="10"/>
            <color indexed="81"/>
            <rFont val="Verdana"/>
            <family val="2"/>
          </rPr>
          <t xml:space="preserve">
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CO2 or CO2 equivalents that we directly emit. The GHG that we consider are those mentioned in the Kyoto Protocol and cover CH4, N2O and refrigerant gases in addition to CO2.  Scope 1 emissions also include emissions from fuel used in JM owned vehicles.
Scope 1 emissions from fuel use are calculated by applying calorific values and emission factors sourced from DEFRA </t>
        </r>
      </text>
    </comment>
    <comment ref="B11" authorId="0" shapeId="0" xr:uid="{35C2FE94-E483-4F99-87D8-6DE614D9580A}">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r>
      </text>
    </comment>
    <comment ref="B12" authorId="0" shapeId="0" xr:uid="{DD79B860-0DCD-422B-8660-D0551A05A190}">
      <text>
        <r>
          <rPr>
            <sz val="10"/>
            <color indexed="81"/>
            <rFont val="Verdana"/>
            <family val="2"/>
          </rPr>
          <t xml:space="preserve">
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r>
      </text>
    </comment>
    <comment ref="B13" authorId="0" shapeId="0" xr:uid="{EFF25D66-9714-4E11-8335-0296651C5CD8}">
      <text>
        <r>
          <rPr>
            <sz val="10"/>
            <color indexed="81"/>
            <rFont val="Verdana"/>
            <family val="2"/>
          </rPr>
          <t xml:space="preserve">
This is our operational GHG footprint using the Scope 1 emissions and the market based Scope 2 emissions as stated above.</t>
        </r>
      </text>
    </comment>
    <comment ref="B14" authorId="0" shapeId="0" xr:uid="{5E54F472-C26B-449C-9D33-BB06DFF00875}">
      <text>
        <r>
          <rPr>
            <sz val="10"/>
            <color indexed="81"/>
            <rFont val="Verdana"/>
            <family val="2"/>
          </rPr>
          <t xml:space="preserve">
This is our operational GHG footprint using the Scope 1 emissions and the location based Scope 2 emissions as stated above.</t>
        </r>
      </text>
    </comment>
    <comment ref="B15" authorId="0" shapeId="0" xr:uid="{E6AA52E8-08AB-42D0-B11F-DDDC7BF95C72}">
      <text>
        <r>
          <rPr>
            <sz val="10"/>
            <color indexed="81"/>
            <rFont val="Verdana"/>
            <family val="2"/>
          </rPr>
          <t xml:space="preserve">
This is the total scope 1 GHG emissions and  Scope 2 GHG emissions based on the market values factored against the weight of product sold. </t>
        </r>
      </text>
    </comment>
    <comment ref="B18" authorId="0" shapeId="0" xr:uid="{5978D33D-096F-49CD-8A6D-BE20D20BACEC}">
      <text>
        <r>
          <rPr>
            <sz val="10"/>
            <color indexed="81"/>
            <rFont val="Verdana"/>
            <family val="2"/>
          </rPr>
          <t>Where mass of purchased goods was available, this was used in combination with GHG intensity factors obtained either from suppliers or EcoInvent. For the remaining goods and for purchased services a financial allocation (EEIO model) was used</t>
        </r>
      </text>
    </comment>
    <comment ref="B19" authorId="0" shapeId="0" xr:uid="{AF932271-CF3C-462C-97F8-44E05C7A5C38}">
      <text>
        <r>
          <rPr>
            <sz val="10"/>
            <color indexed="81"/>
            <rFont val="Verdana"/>
            <family val="2"/>
          </rPr>
          <t>Financial allocation (EEIO model) using geographical breakdown of data shown in Accounting note 12 “Property, plant &amp; equipment” on page 174</t>
        </r>
      </text>
    </comment>
    <comment ref="B20" authorId="0" shapeId="0" xr:uid="{A861B69E-B1B7-4093-BDF3-282AC0DE3DBB}">
      <text>
        <r>
          <rPr>
            <sz val="10"/>
            <color indexed="81"/>
            <rFont val="Verdana"/>
            <family val="2"/>
          </rPr>
          <t>Defra’s GHG reporting conversion factors 2022 were used to calculate well-to-tank GHG emissions from fuel usage, transmission and distribution losses from purchased electricity, and well-to-tank and transmission and distribution losses of energy from steam</t>
        </r>
      </text>
    </comment>
    <comment ref="B21" authorId="0" shapeId="0" xr:uid="{492BD891-C208-4854-9834-1229CDC5A01D}">
      <text>
        <r>
          <rPr>
            <sz val="10"/>
            <color indexed="81"/>
            <rFont val="Verdana"/>
            <family val="2"/>
          </rPr>
          <t>Emissions data was provided by our suppliers where available. Otherwise, a financial allocation was made based on spend and intensity factors from the EEIO mode</t>
        </r>
      </text>
    </comment>
    <comment ref="B22" authorId="0" shapeId="0" xr:uid="{B8DE6842-7FE2-4C54-A119-E2889F832AF3}">
      <text>
        <r>
          <rPr>
            <sz val="10"/>
            <color indexed="81"/>
            <rFont val="Verdana"/>
            <family val="2"/>
          </rPr>
          <t>Where GHG footprints were available from waste service providers they were used, otherwise Defra’s GHG reporting conversion factors 2022 were used according to mass of waste disposal by destination see page 46</t>
        </r>
      </text>
    </comment>
    <comment ref="B23" authorId="0" shapeId="0" xr:uid="{8808F123-FE98-4AB5-BEF4-71F90D457F2B}">
      <text>
        <r>
          <rPr>
            <sz val="10"/>
            <color indexed="81"/>
            <rFont val="Verdana"/>
            <family val="2"/>
          </rPr>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r>
      </text>
    </comment>
    <comment ref="B24" authorId="0" shapeId="0" xr:uid="{54C4A068-F891-4B70-B88D-C7DB21B285E5}">
      <text>
        <r>
          <rPr>
            <sz val="10"/>
            <color indexed="81"/>
            <rFont val="Verdana"/>
            <family val="2"/>
          </rPr>
          <t>Data is obtained by employee survey of miles travelled per week by modes of transport. Defra’s GHG reporting conversion factors 2022 are used to calculate the GHG intensity of each transport type</t>
        </r>
      </text>
    </comment>
    <comment ref="B25" authorId="0" shapeId="0" xr:uid="{56E19751-9707-4C55-AAD6-2FC528D87C73}">
      <text>
        <r>
          <rPr>
            <sz val="10"/>
            <color indexed="81"/>
            <rFont val="Verdana"/>
            <family val="2"/>
          </rPr>
          <t>Financial allocation (EEIO model) using floor space and geographical location</t>
        </r>
      </text>
    </comment>
    <comment ref="B26" authorId="0" shapeId="0" xr:uid="{3CD3E72C-DF34-4CF8-B7C2-CC2279A05826}">
      <text>
        <r>
          <rPr>
            <sz val="10"/>
            <color indexed="81"/>
            <rFont val="Verdana"/>
            <family val="2"/>
          </rPr>
          <t>Where JM takes responsibility for the downstream distribution of goods, it was included in the upstream category calculation. Where our customers takes responsibility, no data is available</t>
        </r>
      </text>
    </comment>
    <comment ref="B27" authorId="0" shapeId="0" xr:uid="{12942587-7E06-49E8-9272-E8228D1DC6DA}">
      <text>
        <r>
          <rPr>
            <sz val="10"/>
            <color indexed="81"/>
            <rFont val="Verdana"/>
            <family val="2"/>
          </rPr>
          <t>No quantitative data available, but not expected to be material based on our knowledge of how our customers use our products</t>
        </r>
      </text>
    </comment>
    <comment ref="B28" authorId="0" shapeId="0" xr:uid="{E9379C54-8129-48B7-8488-4FFF6766FFCD}">
      <text>
        <r>
          <rPr>
            <sz val="10"/>
            <color indexed="81"/>
            <rFont val="Verdana"/>
            <family val="2"/>
          </rPr>
          <t>We have removed Use of sold products from our footprint by agreement with SBTi, as it determined that the emissions we reported in this category were ‘indirect’ and should not, therefore, be included.</t>
        </r>
      </text>
    </comment>
    <comment ref="B29" authorId="0" shapeId="0" xr:uid="{00F03746-1F38-4E52-AD4F-F849A766073A}">
      <text>
        <r>
          <rPr>
            <sz val="10"/>
            <color indexed="81"/>
            <rFont val="Verdana"/>
            <family val="2"/>
          </rPr>
          <t>Many of JM’s products are returned to the company for recovery of the precious metals and thus end of life treatment is included in our Scope 1 and Scope 2 footprint. JM does not have visibility of other end of life treatments</t>
        </r>
      </text>
    </comment>
    <comment ref="B30" authorId="0" shapeId="0" xr:uid="{89E84C11-90F2-4DB5-AB4E-6388496D05EE}">
      <text>
        <r>
          <rPr>
            <sz val="10"/>
            <color indexed="81"/>
            <rFont val="Verdana"/>
            <family val="2"/>
          </rPr>
          <t>Included in Upstream leased assets category</t>
        </r>
      </text>
    </comment>
    <comment ref="B31" authorId="0" shapeId="0" xr:uid="{EC213310-037E-4E43-8391-EE0337747D11}">
      <text>
        <r>
          <rPr>
            <sz val="10"/>
            <color indexed="81"/>
            <rFont val="Verdana"/>
            <family val="2"/>
          </rPr>
          <t>JM does not have any franchises</t>
        </r>
      </text>
    </comment>
    <comment ref="B32" authorId="0" shapeId="0" xr:uid="{4484E058-6722-4374-B03D-160635F70A29}">
      <text>
        <r>
          <rPr>
            <sz val="10"/>
            <color indexed="81"/>
            <rFont val="Verdana"/>
            <family val="2"/>
          </rPr>
          <t>GHG footprints from our Pensions trustee providers were used, where available, and scaled to represent JM's global employee count. Financial allocation (EEIO model) using geographical breakdown of investment revenues from each entity</t>
        </r>
      </text>
    </comment>
    <comment ref="B51" authorId="0" shapeId="0" xr:uid="{175B0089-8403-40F9-B80E-6CEDA1992BFA}">
      <text>
        <r>
          <rPr>
            <sz val="10"/>
            <color indexed="81"/>
            <rFont val="Verdana"/>
            <family val="2"/>
          </rPr>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r>
      </text>
    </comment>
    <comment ref="B52" authorId="0" shapeId="0" xr:uid="{2A23E601-09FE-4E99-902D-E1D17CBD8BE7}">
      <text>
        <r>
          <rPr>
            <sz val="10"/>
            <color indexed="81"/>
            <rFont val="Verdana"/>
            <family val="2"/>
          </rPr>
          <t>This is the total energy used by the business divided by amount of materials sold to customers.</t>
        </r>
      </text>
    </comment>
    <comment ref="B53" authorId="0" shapeId="0" xr:uid="{10055198-DB26-4D53-BC3B-07066B6C1D0F}">
      <text>
        <r>
          <rPr>
            <sz val="10"/>
            <color indexed="81"/>
            <rFont val="Verdana"/>
            <family val="2"/>
          </rPr>
          <t>This is the total amount of renewable electricity supplied to site or generated on site as a percentage of the total electricity used by JM. The total amount includes non renewable electricity generated by JM on our own sites as well as all electricity supplied to JM through grid or direct connection.</t>
        </r>
      </text>
    </comment>
    <comment ref="B68" authorId="0" shapeId="0" xr:uid="{F2893684-7383-4FFC-9BD1-06617548BE76}">
      <text>
        <r>
          <rPr>
            <sz val="10"/>
            <color indexed="81"/>
            <rFont val="Verdana"/>
            <family val="2"/>
          </rPr>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r>
      </text>
    </comment>
    <comment ref="B69" authorId="0" shapeId="0" xr:uid="{AE1422BE-87C9-4B3C-8992-E96012D145A2}">
      <text>
        <r>
          <rPr>
            <sz val="10"/>
            <color indexed="81"/>
            <rFont val="Verdana"/>
            <family val="2"/>
          </rPr>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r>
      </text>
    </comment>
    <comment ref="B70" authorId="0" shapeId="0" xr:uid="{687246BD-CC2B-469D-9A66-79A37FE084F5}">
      <text>
        <r>
          <rPr>
            <sz val="10"/>
            <color indexed="81"/>
            <rFont val="Verdana"/>
            <family val="2"/>
          </rPr>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r>
      </text>
    </comment>
    <comment ref="B71" authorId="0" shapeId="0" xr:uid="{E8422A88-33D1-4043-8DB3-0961CBFD049E}">
      <text>
        <r>
          <rPr>
            <sz val="10"/>
            <color indexed="81"/>
            <rFont val="Verdana"/>
            <family val="2"/>
          </rPr>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r>
      </text>
    </comment>
    <comment ref="B72" authorId="0" shapeId="0" xr:uid="{D4F95AA3-266D-41D2-BEA7-C366D3EBA784}">
      <text>
        <r>
          <rPr>
            <sz val="10"/>
            <color indexed="81"/>
            <rFont val="Verdana"/>
            <family val="2"/>
          </rPr>
          <t>This is the total of non renewable electrical energy (expressed as kWh) purchased from a grid that is consumed for site operations. Values are taken from supplier invoices that cover the time period in question.</t>
        </r>
      </text>
    </comment>
    <comment ref="B73" authorId="0" shapeId="0" xr:uid="{9FEB0B2C-A7BB-49A9-A449-2C4D7ED9695A}">
      <text>
        <r>
          <rPr>
            <sz val="10"/>
            <color indexed="81"/>
            <rFont val="Verdana"/>
            <family val="2"/>
          </rPr>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r>
      </text>
    </comment>
    <comment ref="B74" authorId="0" shapeId="0" xr:uid="{18A2FBEE-CB58-44A5-8775-BBCBC7C2FB37}">
      <text>
        <r>
          <rPr>
            <sz val="10"/>
            <color indexed="81"/>
            <rFont val="Verdana"/>
            <family val="2"/>
          </rPr>
          <t xml:space="preserve">This is the energy used from either the direct fuel used or mileage traveled by JM vehicles or JM employees in road vehicles when on company business. </t>
        </r>
      </text>
    </comment>
    <comment ref="B75" authorId="0" shapeId="0" xr:uid="{065C91CC-65CB-42B7-9625-F1C4B7BA3D40}">
      <text>
        <r>
          <rPr>
            <sz val="10"/>
            <color indexed="81"/>
            <rFont val=" verdana"/>
          </rPr>
          <t>This is the total amount of renewable energy (expressed as GJ) supplied to site or generated on site for use in our operations. The energy is certified renewable or is purchased as a renewable supply.</t>
        </r>
      </text>
    </comment>
    <comment ref="B83" authorId="0" shapeId="0" xr:uid="{B78E1880-0FE3-4FC5-B0DC-D1A2AAAA14AD}">
      <text>
        <r>
          <rPr>
            <sz val="10"/>
            <color indexed="81"/>
            <rFont val="Verdana"/>
            <family val="2"/>
          </rPr>
          <t>This is fresh water that is supplied to site via mains pipework.</t>
        </r>
      </text>
    </comment>
    <comment ref="B84" authorId="0" shapeId="0" xr:uid="{5A9B5874-4EC5-4110-A0AA-E0A4471A8B9B}">
      <text>
        <r>
          <rPr>
            <sz val="10"/>
            <color indexed="81"/>
            <rFont val="Verdana"/>
            <family val="2"/>
          </rPr>
          <t>This is water that is extracted from fresh surface water</t>
        </r>
      </text>
    </comment>
    <comment ref="B85" authorId="0" shapeId="0" xr:uid="{42F94C63-7CE7-4FC3-A520-D9108C5D1CD2}">
      <text>
        <r>
          <rPr>
            <sz val="10"/>
            <color indexed="81"/>
            <rFont val="Verdana"/>
            <family val="2"/>
          </rPr>
          <t xml:space="preserve">Water in soil beneath the soil surface, usually under conditions where the pressure in the water is greater than the atmospheric pressure, and the soil voids are substantially filled with the water. </t>
        </r>
      </text>
    </comment>
    <comment ref="B86" authorId="0" shapeId="0" xr:uid="{01AB2AF8-5C8D-40D9-80C5-C5A76FBBEDDB}">
      <text>
        <r>
          <rPr>
            <sz val="10"/>
            <color indexed="81"/>
            <rFont val="Verdana"/>
            <family val="2"/>
          </rPr>
          <t xml:space="preserve">This is the total fresh mains water, water extracted from the surface of the earth and water extracted from beneath the ground. </t>
        </r>
      </text>
    </comment>
    <comment ref="B88" authorId="0" shapeId="0" xr:uid="{0C4F0592-3303-418E-9DAF-A4451157E774}">
      <text>
        <r>
          <rPr>
            <sz val="10"/>
            <color indexed="81"/>
            <rFont val="Verdana"/>
            <family val="2"/>
          </rPr>
          <t>This is wastewater that is returned to its original source and is of equal or higher quality than the water that was originally extracted. In JM we only consider water returned to fresh surface water (lakes, rivers etc) or fresh ground water for this indicator.</t>
        </r>
      </text>
    </comment>
    <comment ref="B90" authorId="0" shapeId="0" xr:uid="{398A002F-B38D-49A2-83D6-CDA930EBC196}">
      <text>
        <r>
          <rPr>
            <sz val="10"/>
            <color indexed="81"/>
            <rFont val="Tahoma"/>
            <family val="2"/>
          </rPr>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r>
      </text>
    </comment>
    <comment ref="B93" authorId="0" shapeId="0" xr:uid="{A9631693-9675-44F2-8BAC-5F1BB05C5A4E}">
      <text>
        <r>
          <rPr>
            <sz val="10"/>
            <color indexed="81"/>
            <rFont val="Verdana"/>
            <family val="2"/>
          </rPr>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r>
      </text>
    </comment>
    <comment ref="B94" authorId="0" shapeId="0" xr:uid="{1D2AE209-BACE-41BF-AA77-788F74423ED0}">
      <text>
        <r>
          <rPr>
            <sz val="10"/>
            <color indexed="81"/>
            <rFont val="Verdana"/>
            <family val="2"/>
          </rPr>
          <t>This represents the amount of wastewater at JM where COD is routinely measured.</t>
        </r>
      </text>
    </comment>
    <comment ref="B97" authorId="0" shapeId="0" xr:uid="{54613D08-4F79-4EEE-8E84-416221D70952}">
      <text>
        <r>
          <rPr>
            <sz val="10"/>
            <color indexed="81"/>
            <rFont val="Verdana"/>
            <family val="2"/>
          </rPr>
          <t>This indicator equates the net fresh waterusage indicator as per the DJSI reporting criteria. This equates to the fresh water takn into site from mains, surface and groundwater which is adjusted for any water that is returned to fresh surface or groundwater.</t>
        </r>
      </text>
    </comment>
    <comment ref="B98" authorId="0" shapeId="0" xr:uid="{EF6F40EA-2902-427C-AFED-445775950EC2}">
      <text>
        <r>
          <rPr>
            <sz val="10"/>
            <color indexed="81"/>
            <rFont val="Verdana"/>
            <family val="2"/>
          </rPr>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r>
      </text>
    </comment>
    <comment ref="B103" authorId="0" shapeId="0" xr:uid="{FA2F564E-B36B-4578-99F7-959530EEBDC9}">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04" authorId="0" shapeId="0" xr:uid="{D05EF9B7-5C0D-4D73-B64F-D2D74859B98D}">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05" authorId="0" shapeId="0" xr:uid="{A604139C-0B5E-4EBF-A6FF-B39F92979AC3}">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06" authorId="0" shapeId="0" xr:uid="{33B8DA16-C17E-46E0-8D31-BCD65959C278}">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07" authorId="0" shapeId="0" xr:uid="{51AA756E-DA99-4D12-9202-FDDA60F2DE93}">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08" authorId="0" shapeId="0" xr:uid="{A1391F9E-44AE-4C09-A027-248DF015583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11" authorId="0" shapeId="0" xr:uid="{86218217-3B07-497E-AFF1-2A842D99E105}">
      <text>
        <r>
          <rPr>
            <sz val="10"/>
            <color indexed="81"/>
            <rFont val="Verdana"/>
            <family val="2"/>
          </rPr>
          <t>Hazardous waste is material deemed hazardous under the terms of the Basel Convention Annex I, II, III, 179 and VIII.  A solid waste is any item that is transported in a skip or similar container that cannot be poured</t>
        </r>
      </text>
    </comment>
    <comment ref="B112" authorId="0" shapeId="0" xr:uid="{787AAE8A-F516-4D8F-ABFA-588D4A58489C}">
      <text>
        <r>
          <rPr>
            <sz val="10"/>
            <color indexed="81"/>
            <rFont val="Verdana"/>
            <family val="2"/>
          </rPr>
          <t>Hazardous waste is material deemed hazardous under the terms of the Basel Convention Annex I, II, III, 179 and VIII.  A liquid waste is any item that can be poured and is transported in IBC, tanker or sealed container</t>
        </r>
      </text>
    </comment>
    <comment ref="B113" authorId="0" shapeId="0" xr:uid="{FA78FCB2-6FC7-4F94-AD33-DD16054892E2}">
      <text>
        <r>
          <rPr>
            <sz val="10"/>
            <color indexed="81"/>
            <rFont val="Verdana"/>
            <family val="2"/>
          </rPr>
          <t>Non Hazardous waste is material that is not deemed hazardous under the terms of the Basel Convention Annex I, II, III, 179 and VIII.  A solid waste is any item that is transported in a skip or similar container that cannot be poured</t>
        </r>
      </text>
    </comment>
    <comment ref="B114" authorId="0" shapeId="0" xr:uid="{624B0787-01F9-4EE1-BC47-DEA00D71F57C}">
      <text>
        <r>
          <rPr>
            <sz val="10"/>
            <color indexed="81"/>
            <rFont val="Verdana"/>
            <family val="2"/>
          </rPr>
          <t>Non Hazardous waste is material not deemed hazardous under the terms of the Basel Convention Annex I, II, III, 179 and VIII.  A liquid waste is any item that can be poured and is transported in IBC, tanker or sealed container</t>
        </r>
      </text>
    </comment>
    <comment ref="B115" authorId="0" shapeId="0" xr:uid="{DB4F006C-14FC-421D-9907-E7B52146202F}">
      <text>
        <r>
          <rPr>
            <sz val="10"/>
            <color indexed="81"/>
            <rFont val="Verdana"/>
            <family val="2"/>
          </rPr>
          <t xml:space="preserve">This represents all hazardous waste that is generated and then sent offsite for treatment. Hazardous waste is material deemed hazardous under the terms of the Basel Convention Annex I, II, III, 179 and VIII.  </t>
        </r>
      </text>
    </comment>
    <comment ref="B116" authorId="0" shapeId="0" xr:uid="{85EC312B-D643-459C-A885-94943F2FCA8B}">
      <text>
        <r>
          <rPr>
            <sz val="10"/>
            <color indexed="81"/>
            <rFont val="Verdana"/>
            <family val="2"/>
          </rPr>
          <t>Waste is recorded under various classifications across JM as either hazardous or non hazardous. The total waste represents all the waste that is generated by JM operations and that is sent outside of JM for treatment or disposal.</t>
        </r>
      </text>
    </comment>
    <comment ref="B145" authorId="0" shapeId="0" xr:uid="{1DE4A1BE-2CBA-4585-8876-93D558C2F5FF}">
      <text>
        <r>
          <rPr>
            <sz val="10"/>
            <color indexed="81"/>
            <rFont val="Verdana"/>
            <family val="2"/>
          </rPr>
          <t xml:space="preserve">This is the generation of nitric oxides either through high temperature combustion processes or by the use of concentrated nitric acid in production processes. Including Nitric Oxide (NO), Nitrogen Dioxide (NO2) Dinitrogen Dioxide (N2O2) and Dinitrogen Trioxide (N2O3). </t>
        </r>
      </text>
    </comment>
    <comment ref="B146" authorId="0" shapeId="0" xr:uid="{103A23A1-B76A-4CFF-AC90-DDE2A14EE0D0}">
      <text>
        <r>
          <rPr>
            <sz val="10"/>
            <color indexed="81"/>
            <rFont val="Verdana"/>
            <family val="2"/>
          </rPr>
          <t>Usually generated from high temperature combustion involving contaminants in the fuel source. Sulphur Dioxide (SO2) is one of a group of gases called sulphur oxides (SOx). The other gases in the group are much less common in the atmosphere  e.g. SO3 and SO (Sulphur Trioxide and Sulphur Monoxide).</t>
        </r>
      </text>
    </comment>
    <comment ref="B147" authorId="0" shapeId="0" xr:uid="{92F0347C-D34D-4268-9F6F-DBE08E9994F8}">
      <text>
        <r>
          <rPr>
            <sz val="10"/>
            <color indexed="81"/>
            <rFont val="Tahoma"/>
            <family val="2"/>
          </rPr>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r>
      </text>
    </comment>
    <comment ref="B148" authorId="0" shapeId="0" xr:uid="{29FE0B95-2A28-47E1-8E25-FBC5E12774DE}">
      <text>
        <r>
          <rPr>
            <sz val="10"/>
            <color indexed="81"/>
            <rFont val="Verdana"/>
            <family val="2"/>
          </rPr>
          <t>This represents the percentage of JM operational sites reporting NOx values.</t>
        </r>
      </text>
    </comment>
    <comment ref="B149" authorId="0" shapeId="0" xr:uid="{1036AD0F-FD46-48E7-AAE0-094325A388D6}">
      <text>
        <r>
          <rPr>
            <sz val="10"/>
            <color indexed="81"/>
            <rFont val="Verdana"/>
            <family val="2"/>
          </rPr>
          <t>This represents the percentage of JM operational sites reporting SOx values.</t>
        </r>
      </text>
    </comment>
    <comment ref="B150" authorId="0" shapeId="0" xr:uid="{CE5B0161-FA42-418B-A9CC-7FE82ED10256}">
      <text>
        <r>
          <rPr>
            <sz val="10"/>
            <color indexed="81"/>
            <rFont val="Verdana"/>
            <family val="2"/>
          </rPr>
          <t>This represents the percentage of JM operational sites reporting VOCs values.</t>
        </r>
      </text>
    </comment>
    <comment ref="B153" authorId="0" shapeId="0" xr:uid="{86A61306-4B5B-4F55-AB5C-F224BB40BF33}">
      <text>
        <r>
          <rPr>
            <sz val="10"/>
            <color indexed="81"/>
            <rFont val="Verdana"/>
            <family val="2"/>
          </rPr>
          <t xml:space="preserve">Global Weight of product sold. </t>
        </r>
      </text>
    </comment>
    <comment ref="B158" authorId="0" shapeId="0" xr:uid="{7FD64105-B10E-497E-AC80-41557A67E890}">
      <text>
        <r>
          <rPr>
            <sz val="10"/>
            <color indexed="81"/>
            <rFont val="Verdana"/>
            <family val="2"/>
          </rPr>
          <t>Significant fines during the year.
Fines reported here if the individual fine was over $10,000 USD (or equivalent in converted currency)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Xin Ngfat</author>
    <author>tc={F092CB2E-4203-42F2-BD2F-74C6245C12F3}</author>
  </authors>
  <commentList>
    <comment ref="B7" authorId="0" shapeId="0" xr:uid="{1C39D8EE-32E2-4A23-91CC-65A6E657D2FF}">
      <text>
        <r>
          <rPr>
            <sz val="10"/>
            <color indexed="81"/>
            <rFont val="Verdana"/>
            <family val="2"/>
          </rPr>
          <t>Total number of employees, contractors and agency staff - does not include Non Executive Board members</t>
        </r>
      </text>
    </comment>
    <comment ref="B8" authorId="0" shapeId="0" xr:uid="{19033548-F4E3-4225-B9F5-63738352521C}">
      <text>
        <r>
          <rPr>
            <sz val="10"/>
            <color indexed="81"/>
            <rFont val="Verdana"/>
            <family val="2"/>
          </rPr>
          <t xml:space="preserve">
Defined as an individual who is paid on a Johnson Matthey’s payroll and have a contract of employment
They can be further classified under the employee types of Regular, Fixed-term, Graduate, Intern, Apprentice
Permanent headcount = regular
Non permanent = Fixed term, graduate, intern and apprentice
Work is directly supervised by JM - paid via payroll</t>
        </r>
      </text>
    </comment>
    <comment ref="B11" authorId="0" shapeId="0" xr:uid="{CD1C03F4-DDC1-40EE-9EBE-5A16F4391609}">
      <text>
        <r>
          <rPr>
            <sz val="10"/>
            <color indexed="81"/>
            <rFont val="Verdana"/>
            <family val="2"/>
          </rPr>
          <t>An individual who is not on Johnson Matthey’s payroll, but performs tasks on Johnson Matthey's behalf. 
They are hired for a specific purpose and usually for a certain period of time e.g. Consultant,  Contractor, Vendor</t>
        </r>
      </text>
    </comment>
    <comment ref="B12" authorId="0" shapeId="0" xr:uid="{DBEE2674-F3EC-4941-BDAC-5B27A1518796}">
      <text>
        <r>
          <rPr>
            <sz val="10"/>
            <color indexed="81"/>
            <rFont val="Verdana"/>
            <family val="2"/>
          </rPr>
          <t>Continuously site based
Person employed by an agency performing tasks that would normally be expected to be undertaken by a JM employee.
Work is directly supervised by JM - paid directly via invoices</t>
        </r>
      </text>
    </comment>
    <comment ref="B15" authorId="0" shapeId="0" xr:uid="{09C9F832-F087-46FB-B15B-468316F2DFA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6" authorId="0" shapeId="0" xr:uid="{ECBEE0F3-106D-418A-AC78-CC4335FC837B}">
      <text>
        <r>
          <rPr>
            <b/>
            <sz val="9"/>
            <color indexed="81"/>
            <rFont val="Tahoma"/>
            <family val="2"/>
          </rPr>
          <t xml:space="preserve">Definition:
</t>
        </r>
        <r>
          <rPr>
            <sz val="9"/>
            <color indexed="81"/>
            <rFont val="Tahoma"/>
            <family val="2"/>
          </rPr>
          <t xml:space="preserve">
Continuously site based
Contract signed directly between JM and individual and paid regular salary and other benefits by JM
Work is directly supervised by JM - paid via payroll</t>
        </r>
      </text>
    </comment>
    <comment ref="B23" authorId="0" shapeId="0" xr:uid="{E960AC9C-F5D8-42CF-A2A6-AE5A354C1F02}">
      <text>
        <r>
          <rPr>
            <b/>
            <sz val="9"/>
            <color indexed="81"/>
            <rFont val="Tahoma"/>
            <family val="2"/>
          </rPr>
          <t xml:space="preserve">Definition:
</t>
        </r>
        <r>
          <rPr>
            <sz val="9"/>
            <color indexed="81"/>
            <rFont val="Tahoma"/>
            <family val="2"/>
          </rPr>
          <t xml:space="preserve">
Continuously site based
Fixed term contract signed directly between JM and individual and paid regular salary and other benefits by JM
Work is directly supervised by JM - paid via payroll</t>
        </r>
      </text>
    </comment>
    <comment ref="B30" authorId="0" shapeId="0" xr:uid="{C5267F5F-B570-4F0B-B2CA-D9ADC294173E}">
      <text>
        <r>
          <rPr>
            <sz val="10"/>
            <color indexed="81"/>
            <rFont val="Tahoma"/>
            <family val="2"/>
          </rPr>
          <t>Excludes Non Executive Board members, Agency Staff and contractors</t>
        </r>
      </text>
    </comment>
    <comment ref="R34" authorId="1" shapeId="0" xr:uid="{F092CB2E-4203-42F2-BD2F-74C6245C12F3}">
      <text>
        <t>[Threaded comment]
Your version of Excel allows you to read this threaded comment; however, any edits to it will get removed if the file is opened in a newer version of Excel. Learn more: https://go.microsoft.com/fwlink/?linkid=870924
Comment:
    @Trevor Rouse are you able to carve out China?</t>
      </text>
    </comment>
    <comment ref="B37" authorId="0" shapeId="0" xr:uid="{37EC3CD6-79F9-449F-B74A-F90F8E102988}">
      <text>
        <r>
          <rPr>
            <sz val="9"/>
            <color indexed="81"/>
            <rFont val="Tahoma"/>
            <family val="2"/>
          </rPr>
          <t>Members of the Board</t>
        </r>
      </text>
    </comment>
    <comment ref="B38" authorId="0" shapeId="0" xr:uid="{E6069AC9-90E6-497E-A96E-7C535BFD9111}">
      <text>
        <r>
          <rPr>
            <sz val="9"/>
            <color indexed="81"/>
            <rFont val="Tahoma"/>
            <family val="2"/>
          </rPr>
          <t>JM's Group Leadership Team (GLT)</t>
        </r>
      </text>
    </comment>
    <comment ref="B39" authorId="0" shapeId="0" xr:uid="{9075B179-8EB2-4E5D-B47C-4E7D8C6761F9}">
      <text>
        <r>
          <rPr>
            <sz val="10"/>
            <color indexed="81"/>
            <rFont val="Verdana"/>
            <family val="2"/>
          </rPr>
          <t xml:space="preserve">
Individuals appointed to the boards of JM's other legal entities, other than JMPLC</t>
        </r>
      </text>
    </comment>
    <comment ref="B40" authorId="0" shapeId="0" xr:uid="{FB2439D4-B373-478F-BE78-E9783EEF6A96}">
      <text>
        <r>
          <rPr>
            <sz val="10"/>
            <color indexed="81"/>
            <rFont val="Verdana"/>
            <family val="2"/>
          </rPr>
          <t xml:space="preserve">
Within JM our senior managers are defined as direct reports of the GLT. </t>
        </r>
      </text>
    </comment>
    <comment ref="B41" authorId="0" shapeId="0" xr:uid="{AF736BFE-4BC4-451E-BE35-BF079FCA0470}">
      <text>
        <r>
          <rPr>
            <sz val="10"/>
            <color indexed="81"/>
            <rFont val="Verdana"/>
            <family val="2"/>
          </rPr>
          <t xml:space="preserve">
All employees whether they are a People manager or not at a minimum compensation grade</t>
        </r>
      </text>
    </comment>
    <comment ref="B45" authorId="0" shapeId="0" xr:uid="{40928D8B-82EC-4B86-849D-F9D89BB186E2}">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56" authorId="0" shapeId="0" xr:uid="{4B22B3E1-F7ED-41E6-B686-7B89C0C1024C}">
      <text>
        <r>
          <rPr>
            <sz val="10"/>
            <color indexed="81"/>
            <rFont val="Verdana"/>
            <family val="2"/>
          </rPr>
          <t>Excludes Board members
2022 and 2021 categories different
employees under 30 years of age
employees aged between 30-50 
employees aged over 50
Age disclosure is voluntary</t>
        </r>
      </text>
    </comment>
    <comment ref="B86" authorId="0" shapeId="0" xr:uid="{2F3F2D6C-B0E2-40BB-8A24-8D6DEF5B1CD9}">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87" authorId="0" shapeId="0" xr:uid="{F0DF1482-982C-4497-AC21-5524FD1A86B4}">
      <text>
        <r>
          <rPr>
            <sz val="9"/>
            <color indexed="81"/>
            <rFont val="Tahoma"/>
            <family val="2"/>
          </rPr>
          <t xml:space="preserve">
</t>
        </r>
        <r>
          <rPr>
            <sz val="10"/>
            <color indexed="81"/>
            <rFont val="Verdana"/>
            <family val="2"/>
          </rPr>
          <t>External joiners</t>
        </r>
      </text>
    </comment>
    <comment ref="B88" authorId="0" shapeId="0" xr:uid="{B4B175C2-EF9A-4695-8F7E-D2A05E0EDA4A}">
      <text>
        <r>
          <rPr>
            <sz val="9"/>
            <color indexed="81"/>
            <rFont val="Tahoma"/>
            <family val="2"/>
          </rPr>
          <t xml:space="preserve">
</t>
        </r>
        <r>
          <rPr>
            <sz val="10"/>
            <color indexed="81"/>
            <rFont val="Verdana"/>
            <family val="2"/>
          </rPr>
          <t>Resignation only</t>
        </r>
      </text>
    </comment>
    <comment ref="B90" authorId="0" shapeId="0" xr:uid="{ADAE08CA-D61F-4918-9BF3-57153CB3434C}">
      <text>
        <r>
          <rPr>
            <sz val="10"/>
            <color indexed="81"/>
            <rFont val="Verdana"/>
            <family val="2"/>
          </rPr>
          <t xml:space="preserve">
Employee turnover rate initiated by employer </t>
        </r>
      </text>
    </comment>
    <comment ref="B92" authorId="0" shapeId="0" xr:uid="{31F4A19E-CA43-4764-B655-5A2622A34485}">
      <text>
        <r>
          <rPr>
            <sz val="10"/>
            <color indexed="81"/>
            <rFont val="Verdana"/>
            <family val="2"/>
          </rPr>
          <t xml:space="preserve">
Resignation only
Number of leavers over last 12 months divided by average headcount as at data points 1 April and the following 31 March</t>
        </r>
      </text>
    </comment>
    <comment ref="B93" authorId="0" shapeId="0" xr:uid="{190A87D6-8777-40E3-9830-477228A78CC0}">
      <text>
        <r>
          <rPr>
            <sz val="10"/>
            <color indexed="81"/>
            <rFont val="Verdana"/>
            <family val="2"/>
          </rPr>
          <t xml:space="preserve">
Employee turnover rate initiated by employer 
Number of leavers over last 12 months divided by average headcount as at data points 1 April and the following 31 March</t>
        </r>
      </text>
    </comment>
    <comment ref="B94" authorId="0" shapeId="0" xr:uid="{6F461C54-22DE-498B-A618-76D518B80E66}">
      <text>
        <r>
          <rPr>
            <sz val="10"/>
            <color indexed="81"/>
            <rFont val="Verdana"/>
            <family val="2"/>
          </rPr>
          <t xml:space="preserve">
Voluntary and involuntary leavers
Number of leavers over last 12 months divided by average headcount as at data points 1 April and the following 31 March</t>
        </r>
      </text>
    </comment>
    <comment ref="B98" authorId="0" shapeId="0" xr:uid="{A227676A-AE13-49B8-9743-FB1504A71AF7}">
      <text>
        <r>
          <rPr>
            <sz val="10"/>
            <color indexed="81"/>
            <rFont val="Verdana"/>
            <family val="2"/>
          </rPr>
          <t xml:space="preserve">
Average number of employees who were covered by a collective bargaining agreement and / or represented by a trade union</t>
        </r>
      </text>
    </comment>
    <comment ref="B107" authorId="0" shapeId="0" xr:uid="{10AE366A-B568-4BEF-98F9-BA75B8B9EBC4}">
      <text>
        <r>
          <rPr>
            <sz val="9"/>
            <color indexed="81"/>
            <rFont val="Tahoma"/>
            <family val="2"/>
          </rPr>
          <t xml:space="preserve">Number of employees who were covered by a collective bargaining agreement and / or represented by a trade union
Topics covered within trade union agreements are:
Personall protective equipment, 
Participation of worker representatives in health and safety,
Trainind and education,
Complaints mechanism,
The right to refuse unsafe work, 
Periodic inspections
</t>
        </r>
      </text>
    </comment>
    <comment ref="B117" authorId="0" shapeId="0" xr:uid="{E6CA7531-8F7C-4848-85A6-A122A9D96EE3}">
      <text>
        <r>
          <rPr>
            <sz val="10"/>
            <color indexed="81"/>
            <rFont val="Verdana"/>
            <family val="2"/>
          </rPr>
          <t>An internal promotion happens when an internal candidate is promoted to a new position — instead of the organization hiring an external candidate. </t>
        </r>
      </text>
    </comment>
    <comment ref="B118" authorId="0" shapeId="0" xr:uid="{E666F78D-FAFC-40C9-8F06-ECAF5649B2A5}">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7" authorId="0" shapeId="0" xr:uid="{C3AF9ECF-997F-42E3-9E7E-C38680D51FC8}">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29" authorId="0" shapeId="0" xr:uid="{6E5A78F8-5D62-4A1B-9799-B80525D98EC7}">
      <text>
        <r>
          <rPr>
            <sz val="9"/>
            <color indexed="81"/>
            <rFont val="Tahoma"/>
            <family val="2"/>
          </rPr>
          <t xml:space="preserve">
Some employees may still be on leave</t>
        </r>
      </text>
    </comment>
    <comment ref="B133" authorId="0" shapeId="0" xr:uid="{7343B303-A080-4DD5-AF5D-BD89EB5F5A5B}">
      <text>
        <r>
          <rPr>
            <sz val="10"/>
            <color indexed="81"/>
            <rFont val="Verdana"/>
            <family val="2"/>
          </rPr>
          <t xml:space="preserve">
Employees globally receiving regular performance and career development reviews with objectives set and signed off by managers</t>
        </r>
      </text>
    </comment>
    <comment ref="B134" authorId="0" shapeId="0" xr:uid="{F30D083C-0E85-4DCC-B26F-7C4B932F4BCA}">
      <text>
        <r>
          <rPr>
            <sz val="10"/>
            <color indexed="81"/>
            <rFont val="Verdana"/>
            <family val="2"/>
          </rPr>
          <t xml:space="preserve">
We recognise that our colleagues have a range of gender identities and that not everyone's gender identity aligns to their sex assigned at birth. Our systems and the reports they inform use definitions set out by legal reporting requirements. We do also recognise the need to better reflect and honour the spectrum of gender identities and our systems do allow the voluntary reporting of gender identity. For the purposes of this databook, we use the identifiers 'female' and 'male' for the category of gender as captured in our systems. Colleague’s gender is determined based on their registered gender at birth or otherwise legally recognised gender as disclosed by the individual. While colleagues are able to select 'non- binary' as a gender, there is an insufficient sample size to report on non-binary colleagues in this report.</t>
        </r>
      </text>
    </comment>
    <comment ref="B140" authorId="0" shapeId="0" xr:uid="{3A7ED20B-4D46-4907-B347-B36AA3A1D615}">
      <text>
        <r>
          <rPr>
            <sz val="9"/>
            <color indexed="81"/>
            <rFont val="Tahoma"/>
            <family val="2"/>
          </rPr>
          <t xml:space="preserve">
This is calculated from data gathered from 3 of our key sites. A programme to migrate learning record management to one global system is underway. </t>
        </r>
      </text>
    </comment>
    <comment ref="B141" authorId="0" shapeId="0" xr:uid="{CD11A43D-4F03-4BE7-AFD5-0050A37F8708}">
      <text>
        <r>
          <rPr>
            <sz val="9"/>
            <color indexed="81"/>
            <rFont val="Tahoma"/>
            <family val="2"/>
          </rPr>
          <t xml:space="preserve">
This is calculated from data gathered from our learning record management systems, we are in the process of migrating to one global system.
</t>
        </r>
      </text>
    </comment>
    <comment ref="B148" authorId="0" shapeId="0" xr:uid="{64C83B9F-3B0A-4113-A35C-71567F8A0F13}">
      <text>
        <r>
          <rPr>
            <sz val="10"/>
            <color indexed="81"/>
            <rFont val="Verdana"/>
            <family val="2"/>
          </rPr>
          <t>Eligible employees and contractors are offered the Code of Ethics training, subject to local laws, union agreements, long-term leave arrangements and start date before the cutoff period</t>
        </r>
      </text>
    </comment>
    <comment ref="B159" authorId="0" shapeId="0" xr:uid="{84692683-66DA-48F4-A53F-921769453B8C}">
      <text>
        <r>
          <rPr>
            <sz val="10"/>
            <color indexed="81"/>
            <rFont val="Verdana"/>
            <family val="2"/>
          </rPr>
          <t xml:space="preserve">
Average score given by survey respondents in response to three engagement questions (engagement, loyalty, satisfaction) </t>
        </r>
      </text>
    </comment>
    <comment ref="B160" authorId="0" shapeId="0" xr:uid="{E77F9B84-80A4-4FE0-B673-4CB426A03A71}">
      <text>
        <r>
          <rPr>
            <sz val="11"/>
            <color indexed="81"/>
            <rFont val="Verdana"/>
            <family val="2"/>
          </rPr>
          <t xml:space="preserve">
For reporting we use the latest survey available at the end of the fiscal year. Engagement level is tracked at both the Annual Survey and the Pulse Surveys, where the latter is a subset of questions asked to all JM employees. The latest survey for 2023/24 was conducted in January 2024.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tc={E4F7E7CA-AF99-4444-B457-44EA0116EAC2}</author>
    <author>tc={4797ADAB-84A8-44DA-BC88-ABF14B481556}</author>
    <author>Xin Ngfat</author>
    <author>Gary Machin</author>
  </authors>
  <commentList>
    <comment ref="F1" authorId="0" shapeId="0" xr:uid="{E4F7E7CA-AF99-4444-B457-44EA0116EAC2}">
      <text>
        <t>[Threaded comment]
Your version of Excel allows you to read this threaded comment; however, any edits to it will get removed if the file is opened in a newer version of Excel. Learn more: https://go.microsoft.com/fwlink/?linkid=870924
Comment:
    @Graeme Ellis fyi</t>
      </text>
    </comment>
    <comment ref="G1" authorId="1" shapeId="0" xr:uid="{4797ADAB-84A8-44DA-BC88-ABF14B481556}">
      <text>
        <t xml:space="preserve">[Threaded comment]
Your version of Excel allows you to read this threaded comment; however, any edits to it will get removed if the file is opened in a newer version of Excel. Learn more: https://go.microsoft.com/fwlink/?linkid=870924
Comment:
    @Gary Machin hello, please see this working version of the 2024 databook
</t>
      </text>
    </comment>
    <comment ref="B7" authorId="2" shapeId="0" xr:uid="{7910B1E4-5035-4D02-8351-FDB929F53EEB}">
      <text>
        <r>
          <rPr>
            <b/>
            <sz val="10"/>
            <color indexed="81"/>
            <rFont val="Verdana"/>
            <family val="2"/>
          </rPr>
          <t>Definition:</t>
        </r>
        <r>
          <rPr>
            <sz val="10"/>
            <color indexed="81"/>
            <rFont val="Verdana"/>
            <family val="2"/>
          </rPr>
          <t xml:space="preserve"> 
The OSHA severity rate monitors the severity of injuries occurring at JM sites by counting all the lost days away from normal work (including restricted duties) for all personnel conducting its process activities (i.e. employees and temporary staff). The total number of injuries is multiplied by the 200,000 OSHA standardised factor and divided by the total number of hours worked (by employees and temps).</t>
        </r>
      </text>
    </comment>
    <comment ref="D7" authorId="3" shapeId="0" xr:uid="{F481ED05-4435-4157-83AB-D76295EE9B00}">
      <text>
        <r>
          <rPr>
            <sz val="11"/>
            <color theme="1"/>
            <rFont val="Calibri"/>
            <family val="2"/>
            <scheme val="minor"/>
          </rPr>
          <t xml:space="preserve">
Higher value than previous years due to several ergonomic (musculo-skeletal) events in North America region resulting in &gt;180 total  lost and or restricted days</t>
        </r>
      </text>
    </comment>
    <comment ref="F7" authorId="3" shapeId="0" xr:uid="{C2951AC0-0489-4D80-A750-EEE64A7145EC}">
      <text>
        <r>
          <rPr>
            <b/>
            <sz val="11"/>
            <color theme="1"/>
            <rFont val="Calibri"/>
            <family val="2"/>
            <scheme val="minor"/>
          </rPr>
          <t>Restatement:</t>
        </r>
        <r>
          <rPr>
            <sz val="11"/>
            <color theme="1"/>
            <rFont val="Calibri"/>
            <family val="2"/>
            <scheme val="minor"/>
          </rPr>
          <t xml:space="preserve">
Number restated due to further information received.</t>
        </r>
      </text>
    </comment>
    <comment ref="H7" authorId="2" shapeId="0" xr:uid="{32D55EE4-DD57-4E79-A044-7BEC59467A4C}">
      <text>
        <r>
          <rPr>
            <b/>
            <sz val="10"/>
            <color indexed="81"/>
            <rFont val="Verdana"/>
            <family val="2"/>
          </rPr>
          <t>Restatement:</t>
        </r>
        <r>
          <rPr>
            <sz val="10"/>
            <color indexed="81"/>
            <rFont val="Verdana"/>
            <family val="2"/>
          </rPr>
          <t xml:space="preserve">
restated value based on additional information received regarding injury/illness lost days and restricted days after initial 2021/022 submission.</t>
        </r>
      </text>
    </comment>
    <comment ref="B8" authorId="2" shapeId="0" xr:uid="{C592875A-ECC9-4A0A-A346-18F1E649444C}">
      <text>
        <r>
          <rPr>
            <b/>
            <sz val="9"/>
            <color indexed="81"/>
            <rFont val="Tahoma"/>
            <family val="2"/>
          </rPr>
          <t xml:space="preserve">Definition:
</t>
        </r>
        <r>
          <rPr>
            <sz val="10"/>
            <color indexed="81"/>
            <rFont val="Verdana"/>
            <family val="2"/>
          </rPr>
          <t>JM's total recordable injury and illness rate (TRIIR) is based upon the US OSHA accident reporting metric (using the OSHA 200,00 standardised multiplier), but additionally includes contractor accidents occurring whilst working on JM sites. It includes all injuries/illness requiring prescribed medical treatment or resulting in restricted/lost time.</t>
        </r>
        <r>
          <rPr>
            <sz val="9"/>
            <color indexed="81"/>
            <rFont val="Tahoma"/>
            <family val="2"/>
          </rPr>
          <t xml:space="preserve">
</t>
        </r>
      </text>
    </comment>
    <comment ref="B9" authorId="2" shapeId="0" xr:uid="{E5A4A2E5-0486-48FB-82B8-2D75B2BA41CE}">
      <text>
        <r>
          <rPr>
            <b/>
            <sz val="9"/>
            <color indexed="81"/>
            <rFont val="Tahoma"/>
            <family val="2"/>
          </rPr>
          <t>Definition:</t>
        </r>
        <r>
          <rPr>
            <sz val="9"/>
            <color indexed="81"/>
            <rFont val="Tahoma"/>
            <family val="2"/>
          </rPr>
          <t xml:space="preserve">
The total number of LTA's is a subset of the total recordables. 
Any involving Temporary Workers have been included under the "Contractors" heading.</t>
        </r>
      </text>
    </comment>
    <comment ref="B10" authorId="2" shapeId="0" xr:uid="{7681DB1C-BC8C-4A9E-99B0-42C68AE83CE8}">
      <text>
        <r>
          <rPr>
            <b/>
            <sz val="10"/>
            <color indexed="81"/>
            <rFont val="Verdana"/>
            <family val="2"/>
          </rPr>
          <t>Definition:</t>
        </r>
        <r>
          <rPr>
            <sz val="10"/>
            <color indexed="81"/>
            <rFont val="Verdana"/>
            <family val="2"/>
          </rPr>
          <t xml:space="preserve">
JM's lost time injury frequency rate (LTIFR) uses a 1,000,000 standardised multiplier, and additionally includes contractor accidents occurring whilst working on JM sites.</t>
        </r>
      </text>
    </comment>
    <comment ref="F10" authorId="3" shapeId="0" xr:uid="{05AE2332-73FB-44A8-AEDF-C40C3642E9EC}">
      <text>
        <r>
          <rPr>
            <b/>
            <sz val="11"/>
            <color theme="1"/>
            <rFont val="Calibri"/>
            <family val="2"/>
            <scheme val="minor"/>
          </rPr>
          <t>Restatement:</t>
        </r>
        <r>
          <rPr>
            <sz val="11"/>
            <color theme="1"/>
            <rFont val="Calibri"/>
            <family val="2"/>
            <scheme val="minor"/>
          </rPr>
          <t xml:space="preserve">
Number restated due to further information received.</t>
        </r>
      </text>
    </comment>
    <comment ref="B11" authorId="2" shapeId="0" xr:uid="{F3D8CE6A-4232-432A-BF03-B3EA70C8EEDB}">
      <text>
        <r>
          <rPr>
            <b/>
            <sz val="10"/>
            <color indexed="81"/>
            <rFont val="Verdana"/>
            <family val="2"/>
          </rPr>
          <t>Definition:</t>
        </r>
        <r>
          <rPr>
            <sz val="10"/>
            <color indexed="81"/>
            <rFont val="Verdana"/>
            <family val="2"/>
          </rPr>
          <t xml:space="preserve">
JM's lost time injury and illness rate (LTIIR) is based upon the US OSHA accident reporting metric (using the OSHA 200,00 standardised multiplier) but additionally includes contractor accidents occurring whilst working on JM sites.</t>
        </r>
      </text>
    </comment>
    <comment ref="B20" authorId="2" shapeId="0" xr:uid="{6D78BF36-57C3-45B7-84F2-39DDF1204A6A}">
      <text>
        <r>
          <rPr>
            <b/>
            <sz val="10"/>
            <color indexed="81"/>
            <rFont val="Verdana"/>
            <family val="2"/>
          </rPr>
          <t>Definition:</t>
        </r>
        <r>
          <rPr>
            <sz val="10"/>
            <color indexed="81"/>
            <rFont val="Verdana"/>
            <family val="2"/>
          </rPr>
          <t xml:space="preserve">
Permanent employees, temporary employees and contractors</t>
        </r>
      </text>
    </comment>
    <comment ref="F20" authorId="2" shapeId="0" xr:uid="{D81F73E0-0D35-4E01-AD9A-D8BC9BECBA25}">
      <text>
        <r>
          <rPr>
            <b/>
            <sz val="10"/>
            <color indexed="81"/>
            <rFont val="Verdana"/>
            <family val="2"/>
          </rPr>
          <t>Restatement:</t>
        </r>
        <r>
          <rPr>
            <sz val="10"/>
            <color indexed="81"/>
            <rFont val="Verdana"/>
            <family val="2"/>
          </rPr>
          <t xml:space="preserve">
Restated value based on additional lost days injury/illness information received after initial submission of data for 2022 annual report.</t>
        </r>
      </text>
    </comment>
    <comment ref="B21" authorId="2" shapeId="0" xr:uid="{3E11B436-0291-4A5E-9752-207F0EE95BBF}">
      <text>
        <r>
          <rPr>
            <b/>
            <sz val="10"/>
            <color indexed="81"/>
            <rFont val="Verdana"/>
            <family val="2"/>
          </rPr>
          <t>Definition:</t>
        </r>
        <r>
          <rPr>
            <sz val="10"/>
            <color indexed="81"/>
            <rFont val="Verdana"/>
            <family val="2"/>
          </rPr>
          <t xml:space="preserve">
Employee and temporary employee injuries/hours only</t>
        </r>
      </text>
    </comment>
    <comment ref="B22" authorId="2" shapeId="0" xr:uid="{D61F1254-336B-4E28-9FD5-CE7561F0DBD2}">
      <text>
        <r>
          <rPr>
            <b/>
            <sz val="10"/>
            <color indexed="81"/>
            <rFont val="Verdana"/>
            <family val="2"/>
          </rPr>
          <t>Definition:</t>
        </r>
        <r>
          <rPr>
            <sz val="10"/>
            <color indexed="81"/>
            <rFont val="Verdana"/>
            <family val="2"/>
          </rPr>
          <t xml:space="preserve">
Contractor (all types) injuries/hours only</t>
        </r>
      </text>
    </comment>
    <comment ref="B23" authorId="2" shapeId="0" xr:uid="{32830A9D-17CA-4F66-8C3B-CF187EA84CE9}">
      <text>
        <r>
          <rPr>
            <b/>
            <sz val="10"/>
            <color indexed="81"/>
            <rFont val="Verdana"/>
            <family val="2"/>
          </rPr>
          <t>Definition:</t>
        </r>
        <r>
          <rPr>
            <sz val="10"/>
            <color indexed="81"/>
            <rFont val="Verdana"/>
            <family val="2"/>
          </rPr>
          <t xml:space="preserve">
Permanent employees, temporary employees and contractors</t>
        </r>
      </text>
    </comment>
    <comment ref="B24" authorId="2" shapeId="0" xr:uid="{62973684-B222-404E-926C-28A141DE09A9}">
      <text>
        <r>
          <rPr>
            <b/>
            <sz val="9"/>
            <color indexed="81"/>
            <rFont val="Tahoma"/>
            <family val="2"/>
          </rPr>
          <t>Definition:</t>
        </r>
        <r>
          <rPr>
            <sz val="9"/>
            <color indexed="81"/>
            <rFont val="Tahoma"/>
            <family val="2"/>
          </rPr>
          <t xml:space="preserve">
Permanent employees, temporary employees and contractors</t>
        </r>
      </text>
    </comment>
    <comment ref="B25" authorId="2" shapeId="0" xr:uid="{E1DFB639-428D-4D86-B256-1ABCD5BCF047}">
      <text>
        <r>
          <rPr>
            <b/>
            <sz val="10"/>
            <color indexed="81"/>
            <rFont val="Verdana"/>
            <family val="2"/>
          </rPr>
          <t>Definition:</t>
        </r>
        <r>
          <rPr>
            <sz val="10"/>
            <color indexed="81"/>
            <rFont val="Verdana"/>
            <family val="2"/>
          </rPr>
          <t xml:space="preserve">
Employee and temporary employee injuries/hours only</t>
        </r>
      </text>
    </comment>
    <comment ref="B26" authorId="2" shapeId="0" xr:uid="{B3FA9340-B3BD-4720-B567-2CB2E7AB8ECF}">
      <text>
        <r>
          <rPr>
            <b/>
            <sz val="10"/>
            <color indexed="81"/>
            <rFont val="Verdana"/>
            <family val="2"/>
          </rPr>
          <t>Definition:</t>
        </r>
        <r>
          <rPr>
            <sz val="10"/>
            <color indexed="81"/>
            <rFont val="Verdana"/>
            <family val="2"/>
          </rPr>
          <t xml:space="preserve">
Contractor (all types) injuries/hours only</t>
        </r>
      </text>
    </comment>
    <comment ref="B27" authorId="2" shapeId="0" xr:uid="{61E1B901-9B41-49F2-9613-26405878D142}">
      <text>
        <r>
          <rPr>
            <b/>
            <sz val="10"/>
            <color indexed="81"/>
            <rFont val="Verdana"/>
            <family val="2"/>
          </rPr>
          <t>Definition:</t>
        </r>
        <r>
          <rPr>
            <sz val="10"/>
            <color indexed="81"/>
            <rFont val="Verdana"/>
            <family val="2"/>
          </rPr>
          <t xml:space="preserve">
JM uses the ICCA (International Council of Chemical Associations) globally harmonised process safety metric to monitor the severity of process safety events. This uses a standardised 200,000 multiplier. This process safety metric is most relevant to JM chemical operations.</t>
        </r>
      </text>
    </comment>
    <comment ref="F27" authorId="2" shapeId="0" xr:uid="{76AA5DD0-ED02-4655-B77A-762B688E212B}">
      <text>
        <r>
          <rPr>
            <b/>
            <sz val="10"/>
            <color indexed="81"/>
            <rFont val="Verdana"/>
            <family val="2"/>
          </rPr>
          <t>Restatement:</t>
        </r>
        <r>
          <rPr>
            <sz val="10"/>
            <color indexed="81"/>
            <rFont val="Verdana"/>
            <family val="2"/>
          </rPr>
          <t xml:space="preserve">
Restated value based on improved reporting of historical process safety events.</t>
        </r>
      </text>
    </comment>
    <comment ref="B28" authorId="2" shapeId="0" xr:uid="{21762049-35D4-48EC-B858-2B68940A1997}">
      <text>
        <r>
          <rPr>
            <b/>
            <sz val="10"/>
            <color indexed="81"/>
            <rFont val="Verdana"/>
            <family val="2"/>
          </rPr>
          <t>Definition:</t>
        </r>
        <r>
          <rPr>
            <sz val="10"/>
            <color indexed="81"/>
            <rFont val="Verdana"/>
            <family val="2"/>
          </rPr>
          <t xml:space="preserve">
Tier 1 process safety events involve losses of primary containment of greater consequence, which align with American Petroleum Industry (API) recommended practice (RP). </t>
        </r>
      </text>
    </comment>
    <comment ref="B29" authorId="2" shapeId="0" xr:uid="{6DFAF5DE-6079-491C-A4A3-3FF722FEC2DC}">
      <text>
        <r>
          <rPr>
            <b/>
            <sz val="10"/>
            <color indexed="81"/>
            <rFont val="Verdana"/>
            <family val="2"/>
          </rPr>
          <t>Definition:</t>
        </r>
        <r>
          <rPr>
            <sz val="10"/>
            <color indexed="81"/>
            <rFont val="Verdana"/>
            <family val="2"/>
          </rPr>
          <t xml:space="preserve">
Tier 1 process safety events rate measures the frequency events involving losses of primary containment of greater consequence, which align with American Petroleum Industry (API) recommended practice (RP). This metric is less relevant to JM chemical operations but is an important standard as it aligns with the Center for Chemical for Process Safety (CCPS), which JM's process safety management system follows. </t>
        </r>
      </text>
    </comment>
    <comment ref="B30" authorId="2" shapeId="0" xr:uid="{A6926E56-8FDA-4F32-B1C2-C4DA8634F228}">
      <text>
        <r>
          <rPr>
            <b/>
            <sz val="10"/>
            <color indexed="81"/>
            <rFont val="Verdana"/>
            <family val="2"/>
          </rPr>
          <t>Definition:</t>
        </r>
        <r>
          <rPr>
            <sz val="10"/>
            <color indexed="81"/>
            <rFont val="Verdana"/>
            <family val="2"/>
          </rPr>
          <t xml:space="preserve">
Total hours (emp+temp+cont) used for all EHS statistics</t>
        </r>
      </text>
    </comment>
    <comment ref="E30" authorId="3" shapeId="0" xr:uid="{C667A50B-444A-4EBD-A1B2-F6D0051E82FB}">
      <text>
        <r>
          <rPr>
            <b/>
            <sz val="11"/>
            <color theme="1"/>
            <rFont val="Calibri"/>
            <family val="2"/>
            <scheme val="minor"/>
          </rPr>
          <t>Restatement:</t>
        </r>
        <r>
          <rPr>
            <sz val="11"/>
            <color theme="1"/>
            <rFont val="Calibri"/>
            <family val="2"/>
            <scheme val="minor"/>
          </rPr>
          <t xml:space="preserve">
Restated value based on revised hours data received.</t>
        </r>
      </text>
    </comment>
    <comment ref="B34" authorId="2" shapeId="0" xr:uid="{C32151A6-56D6-41C9-B1C7-75AF4190EDF5}">
      <text>
        <r>
          <rPr>
            <b/>
            <sz val="10"/>
            <color indexed="81"/>
            <rFont val="Verdana"/>
            <family val="2"/>
          </rPr>
          <t>Definition:</t>
        </r>
        <r>
          <rPr>
            <sz val="10"/>
            <color indexed="81"/>
            <rFont val="Verdana"/>
            <family val="2"/>
          </rPr>
          <t xml:space="preserve">
Number of transport incidents as defined by SASB RT-CH-540a.2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tc={D3D927BC-1CDB-4513-B406-DEBDB920A912}</author>
    <author>tc={4E702EDD-0DD4-4CC2-8471-CFD1D7BD8A98}</author>
  </authors>
  <commentList>
    <comment ref="F58" authorId="0" shapeId="0" xr:uid="{D3D927BC-1CDB-4513-B406-DEBDB920A912}">
      <text>
        <t>[Threaded comment]
Your version of Excel allows you to read this threaded comment; however, any edits to it will get removed if the file is opened in a newer version of Excel. Learn more: https://go.microsoft.com/fwlink/?linkid=870924
Comment:
    @Tony Malone I dunno if you have to replicate this on the "actual" tab now?</t>
      </text>
    </comment>
    <comment ref="N134" authorId="1" shapeId="0" xr:uid="{4E702EDD-0DD4-4CC2-8471-CFD1D7BD8A98}">
      <text>
        <t>[Threaded comment]
Your version of Excel allows you to read this threaded comment; however, any edits to it will get removed if the file is opened in a newer version of Excel. Learn more: https://go.microsoft.com/fwlink/?linkid=870924
Comment:
    @Tony Malone I've just subtracted and got this number, is it ok? It was zero in 2019/20?
Reply:
    @Xin Ngfat We were not recording this data at this point so we do not have a number for this indicator</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tc={88CFE28E-21D1-4056-9225-B05788A1C467}</author>
    <author>tc={C02B732B-636A-4CEB-815E-3948C14291C4}</author>
    <author>tc={02AD94CE-5BA5-4EDE-8525-A8931064BB55}</author>
    <author>tc={BEFF355C-3301-4268-899F-0446A980FBF7}</author>
    <author>tc={6E85BAEE-3492-4EDB-A49D-4F4B86EF50CB}</author>
    <author>tc={001970F9-6B2E-4346-99A5-39219D8D021B}</author>
    <author>tc={03841D26-5513-474E-A67B-CF977A8D9E33}</author>
    <author>tc={E9077630-1FCD-49E0-8638-50CEE60F698E}</author>
    <author>tc={8D7664A8-D9AB-409E-BC7A-63330965D85C}</author>
    <author>tc={24774F3C-A95F-4E42-B59F-47A22CD07DB5}</author>
    <author>tc={65C9ADAF-508A-4C6E-B538-0C965DAA136B}</author>
    <author>tc={A2CA4E63-ED3C-426E-B8D2-FEF83A215810}</author>
    <author>tc={D0DCF2E0-067B-4DB8-8039-E4686F86BC52}</author>
    <author>tc={FD15BE50-FFBA-48D5-AEB0-A413712E4AD2}</author>
    <author>tc={728C9CDD-C922-4B62-BF8F-21E63D9803F2}</author>
    <author>tc={7E8A7E52-B244-4F21-B8F8-040ABF19BEC2}</author>
  </authors>
  <commentList>
    <comment ref="B32" authorId="0" shapeId="0" xr:uid="{88CFE28E-21D1-4056-9225-B05788A1C467}">
      <text>
        <t>[Threaded comment]
Your version of Excel allows you to read this threaded comment; however, any edits to it will get removed if the file is opened in a newer version of Excel. Learn more: https://go.microsoft.com/fwlink/?linkid=870924
Comment:
    @Victoria Barlow - for your team to provide numbers once finalised. Thank you.</t>
      </text>
    </comment>
    <comment ref="D33" authorId="1" shapeId="0" xr:uid="{C02B732B-636A-4CEB-815E-3948C14291C4}">
      <text>
        <t>[Threaded comment]
Your version of Excel allows you to read this threaded comment; however, any edits to it will get removed if the file is opened in a newer version of Excel. Learn more: https://go.microsoft.com/fwlink/?linkid=870924
Comment:
    @Trevor Rouse are these numbers as at 31st March 2023 or avg numbers over the financial year?
Reply:
    As at 31st March 2023</t>
      </text>
    </comment>
    <comment ref="C34" authorId="2" shapeId="0" xr:uid="{02AD94CE-5BA5-4EDE-8525-A8931064BB55}">
      <text>
        <t>[Threaded comment]
Your version of Excel allows you to read this threaded comment; however, any edits to it will get removed if the file is opened in a newer version of Excel. Learn more: https://go.microsoft.com/fwlink/?linkid=870924
Comment:
    @Trevor Rouse do you have a definition we can use here? preferably not with GG12+ as that won't mean anything externally
Reply:
    All employees whether they are a People manager or not at a minimum pay grade</t>
      </text>
    </comment>
    <comment ref="M34" authorId="3" shapeId="0" xr:uid="{BEFF355C-3301-4268-899F-0446A980FBF7}">
      <text>
        <t>[Threaded comment]
Your version of Excel allows you to read this threaded comment; however, any edits to it will get removed if the file is opened in a newer version of Excel. Learn more: https://go.microsoft.com/fwlink/?linkid=870924
Comment:
    @Trevor Rouse please could you just confirm this number for me, make sure you are happy with the split and that this is 28% for 2022/23
Reply:
    Yes - happy with the split and the 28%</t>
      </text>
    </comment>
    <comment ref="B37" authorId="4" shapeId="0" xr:uid="{6E85BAEE-3492-4EDB-A49D-4F4B86EF50CB}">
      <text>
        <t>[Threaded comment]
Your version of Excel allows you to read this threaded comment; however, any edits to it will get removed if the file is opened in a newer version of Excel. Learn more: https://go.microsoft.com/fwlink/?linkid=870924
Comment:
    VB reviewed and confirmed 21/04/23
Reply:
    @Victoria Barlow thank you, do we have any historical data?
Reply:
    @Victoria Barlow is there any prior years data available?
Reply:
    @Holly Scott are you able to provide prior year ages?
Reply:
    @Xin Ngfat added in
Reply:
    @Victoria Barlow @Holly Scott definitely some numbers in there</t>
      </text>
    </comment>
    <comment ref="C47" authorId="5" shapeId="0" xr:uid="{001970F9-6B2E-4346-99A5-39219D8D021B}">
      <text>
        <t>[Threaded comment]
Your version of Excel allows you to read this threaded comment; however, any edits to it will get removed if the file is opened in a newer version of Excel. Learn more: https://go.microsoft.com/fwlink/?linkid=870924
Comment:
    @Trevor Rouse why is this? Age details voluntary?
Reply:
    Yes - age details voluntary</t>
      </text>
    </comment>
    <comment ref="C51" authorId="6" shapeId="0" xr:uid="{03841D26-5513-474E-A67B-CF977A8D9E33}">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53" authorId="7" shapeId="0" xr:uid="{E9077630-1FCD-49E0-8638-50CEE60F698E}">
      <text>
        <t>[Threaded comment]
Your version of Excel allows you to read this threaded comment; however, any edits to it will get removed if the file is opened in a newer version of Excel. Learn more: https://go.microsoft.com/fwlink/?linkid=870924
Comment:
    @Trevor Rouse can we put in the calculation detail please of first day, last day etc
Reply:
    @Trevor Rouse and perm employee only
Reply:
    @Xin Ngfat - think you have this now - number of leavers over last 12 months divided by average headcount say as at data points 1 April 2022 and 31 March 2023</t>
      </text>
    </comment>
    <comment ref="C54" authorId="8" shapeId="0" xr:uid="{8D7664A8-D9AB-409E-BC7A-63330965D85C}">
      <text>
        <t>[Threaded comment]
Your version of Excel allows you to read this threaded comment; however, any edits to it will get removed if the file is opened in a newer version of Excel. Learn more: https://go.microsoft.com/fwlink/?linkid=870924
Comment:
    @Trevor Rouse
Reply:
    Employee turnover rate initiated by employer</t>
      </text>
    </comment>
    <comment ref="C94" authorId="9" shapeId="0" xr:uid="{24774F3C-A95F-4E42-B59F-47A22CD07DB5}">
      <text>
        <t>[Threaded comment]
Your version of Excel allows you to read this threaded comment; however, any edits to it will get removed if the file is opened in a newer version of Excel. Learn more: https://go.microsoft.com/fwlink/?linkid=870924
Comment:
    @Trevor Rouse could you provide this excl health please - I think it's 12510 this year, any idea for historical?</t>
      </text>
    </comment>
    <comment ref="B115" authorId="10" shapeId="0" xr:uid="{65C9ADAF-508A-4C6E-B538-0C965DAA136B}">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24" authorId="11" shapeId="0" xr:uid="{A2CA4E63-ED3C-426E-B8D2-FEF83A215810}">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2" authorId="12" shapeId="0" xr:uid="{D0DCF2E0-067B-4DB8-8039-E4686F86BC5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B138" authorId="13" shapeId="0" xr:uid="{FD15BE50-FFBA-48D5-AEB0-A413712E4AD2}">
      <text>
        <t>[Threaded comment]
Your version of Excel allows you to read this threaded comment; however, any edits to it will get removed if the file is opened in a newer version of Excel. Learn more: https://go.microsoft.com/fwlink/?linkid=870924
Comment:
    @Trevor Rouse is this something you can pull from Workday?</t>
      </text>
    </comment>
    <comment ref="C151" authorId="14" shapeId="0" xr:uid="{728C9CDD-C922-4B62-BF8F-21E63D9803F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 ref="C182" authorId="15" shapeId="0" xr:uid="{7E8A7E52-B244-4F21-B8F8-040ABF19BEC2}">
      <text>
        <t>[Threaded comment]
Your version of Excel allows you to read this threaded comment; however, any edits to it will get removed if the file is opened in a newer version of Excel. Learn more: https://go.microsoft.com/fwlink/?linkid=870924
Comment:
    @Julie Bolam to confirm once happy with the breakdown of numbers please.
Reply:
    Only JM employees assigned Comp Law and ABAC. Code of Ethics to CW and JM . 
Reply:
    @Julie Bolam 
So Comp law and ABC to permanent employees only
Code of Ethics to perm staff and temp staff with contracts over 3 months</t>
      </text>
    </comment>
  </commentList>
</comments>
</file>

<file path=xl/sharedStrings.xml><?xml version="1.0" encoding="utf-8"?>
<sst xmlns="http://schemas.openxmlformats.org/spreadsheetml/2006/main" count="2930" uniqueCount="1259">
  <si>
    <t>About this workbook</t>
  </si>
  <si>
    <t>This Sustainability Performance Databook outlines Johnson Matthey's key non-financial performance information and is published alongside our Annual Report to complement the business and financial information to provide stakeholders with a complete picture of our environmental, social and governance (ESG) impacts in 2023/24.
We take a strategic approach to embedding sustainability into everything we do. This approach is based on our understanding of the needs and demands of our stakeholders, combined with a focus on the topics that reflect our most significant ESG impacts.</t>
  </si>
  <si>
    <t>Reporting on Greenhouse Gas (GHG) Emissions</t>
  </si>
  <si>
    <t xml:space="preserve">We are committed to transparent disclosures of our emissions and we continue to enhance our reporting of all the Scopes as we continue to better understand the emissions from our operations and our supply chain. </t>
  </si>
  <si>
    <t>Notes on data</t>
  </si>
  <si>
    <t>The data presented in this workbook relates to Johnson Matthey's financial reporting year (1 April 2023 to 31 March 2024), unless otherwise stated.</t>
  </si>
  <si>
    <t>This workbook has been prepared in accordance with the GRI Standards.</t>
  </si>
  <si>
    <r>
      <rPr>
        <b/>
        <sz val="10"/>
        <color rgb="FF0000CC"/>
        <rFont val="Verdana"/>
        <family val="2"/>
      </rPr>
      <t>Rebaselining of previous years’ data</t>
    </r>
    <r>
      <rPr>
        <sz val="10"/>
        <rFont val="Verdana"/>
        <family val="2"/>
      </rPr>
      <t xml:space="preserve"> 
During the year we divested several businesses as going concerns, including our Health, Advanced Glass Technologies and our Battery Materials businesses.
In accordance with the recommendations of the greenhouse gas (GHG) Protocol and SECR reporting guidance, we have removed their historical contribution to our operational KPIs for all years from 2019/20, which is our baseline for our 2030 sustainability targets. This specifically includes our historical data for Scope 1, 2 and 3 GHG emissions, water consumption, waste and emissions to air.</t>
    </r>
  </si>
  <si>
    <r>
      <rPr>
        <b/>
        <sz val="10"/>
        <color rgb="FF0000CC"/>
        <rFont val="Verdana"/>
        <family val="2"/>
      </rPr>
      <t>Restatements of previous years’ data</t>
    </r>
    <r>
      <rPr>
        <sz val="10"/>
        <rFont val="Verdana"/>
        <family val="2"/>
      </rPr>
      <t xml:space="preserve">
In addition to rebaselining, there have been some restatements of data to account for improvements in methodology, coverage and quality of available data. JM’s materiality threshold for variance is 5%. We have made restatements of environmental performance data for the following KPIs this year:
</t>
    </r>
  </si>
  <si>
    <t>• Emissions for Scope 3 Category 4 restated due to refinement in methodology.
• Emissions for Scope 3 Category 6 restated due to improvements in methodology.
• Emissions for Scope 3 Category 8 restated due to refinements in data quality.
• NOx, SOx and VOCs coverage restated due to improvements in methodology.
• Recycled PGMs restated due to calculation refinements post 2021/22 ARA publication.
• Following a review of the methodologies for calculating process CH4 emissions at our
Savannah Site values have been restated for all years from baseline year (2019/20).
• Calculation for Scope 1 emissions from Natural Gas has been refined following the
divestment of our West Deptford Pharmaceutical site in 2023. All data going back to
baseline year has subsequently been amended.
• During the annual assurance process a source of water use at our Royston site was noted to
be missing from data. This has been corrected and all data going back to baseline year has
subsequently been amended.</t>
  </si>
  <si>
    <t>Externally audited KPIs</t>
  </si>
  <si>
    <t>ERM Certification and Verification Services Limited (ERM CVS) were engaged to provide limited assurance of selected information. Information assured by ERM CVS is provided on the following tab</t>
  </si>
  <si>
    <t>Please see ERM CVS' full assurance report on page 216-218 of our ARA 2024 for more details.</t>
  </si>
  <si>
    <t>Cautionary Statement</t>
  </si>
  <si>
    <t>This workbook contains forward-looking statements that are subject to risk factors associated with, among other things, the economic and business circumstances occurring from time to time in the countries and sectors in which the company operates. It is believed that the expectations reflected in these statements are reasonable, but they may be affected by a wide range of variables which could cause actual results, performance, operations, impacts, events or circumstances to differ materially from those currently anticipated.</t>
  </si>
  <si>
    <t>Contents</t>
  </si>
  <si>
    <t>Material Topics</t>
  </si>
  <si>
    <t>GRI Content Index in accordance</t>
  </si>
  <si>
    <t>SASB Index</t>
  </si>
  <si>
    <t>TCFD Compliance Table</t>
  </si>
  <si>
    <t>PAI Statement</t>
  </si>
  <si>
    <t>UK SECR</t>
  </si>
  <si>
    <t>ERM CVS Assured metrics</t>
  </si>
  <si>
    <t>2030 targets</t>
  </si>
  <si>
    <t>Environment</t>
  </si>
  <si>
    <t>People</t>
  </si>
  <si>
    <t>Health and Safety</t>
  </si>
  <si>
    <t>Ethics and Compliance</t>
  </si>
  <si>
    <t>Community Investment</t>
  </si>
  <si>
    <t>Responsible Sourcing</t>
  </si>
  <si>
    <t xml:space="preserve">In July 2022 we partnered with a third party to refresh our materiality assessment. They reviewed public domain opinions of our investors, customers and social media users, as well as interviewing leaders inside JM. 
</t>
  </si>
  <si>
    <t>Our material topics were identified as:</t>
  </si>
  <si>
    <t>Planet</t>
  </si>
  <si>
    <t>Climate Change</t>
  </si>
  <si>
    <t>Air Emissions</t>
  </si>
  <si>
    <t>Water and wastewater</t>
  </si>
  <si>
    <t>Waste management</t>
  </si>
  <si>
    <t>Circularity and product innovation</t>
  </si>
  <si>
    <t>Human rights</t>
  </si>
  <si>
    <t>Diversity and inclusion</t>
  </si>
  <si>
    <t>Community impact</t>
  </si>
  <si>
    <t>Responsible sourcing</t>
  </si>
  <si>
    <t>Governance and risk management</t>
  </si>
  <si>
    <t>GRI content index</t>
  </si>
  <si>
    <t>Statement of use</t>
  </si>
  <si>
    <r>
      <t>Johnson Matthey has reported in accordance with the GRI Standards for the period 1</t>
    </r>
    <r>
      <rPr>
        <vertAlign val="superscript"/>
        <sz val="12"/>
        <rFont val="Verdana"/>
        <family val="2"/>
      </rPr>
      <t>st</t>
    </r>
    <r>
      <rPr>
        <sz val="12"/>
        <rFont val="Verdana"/>
        <family val="2"/>
      </rPr>
      <t xml:space="preserve"> April 2023 to 31</t>
    </r>
    <r>
      <rPr>
        <vertAlign val="superscript"/>
        <sz val="12"/>
        <rFont val="Verdana"/>
        <family val="2"/>
      </rPr>
      <t>st</t>
    </r>
    <r>
      <rPr>
        <sz val="12"/>
        <rFont val="Verdana"/>
        <family val="2"/>
      </rPr>
      <t xml:space="preserve"> March 2024.</t>
    </r>
  </si>
  <si>
    <t>GRI 1 used</t>
  </si>
  <si>
    <t>GRI 1: Foundation 2021</t>
  </si>
  <si>
    <t>Applicable GRI Sector Standard(s)</t>
  </si>
  <si>
    <t>N/A</t>
  </si>
  <si>
    <t>Key to location references:</t>
  </si>
  <si>
    <t>ARA = Annual Report and Accounts 2024</t>
  </si>
  <si>
    <t>SPD = Sustainability Performance Databook 2024</t>
  </si>
  <si>
    <t>Johnson Matthey Material Topic</t>
  </si>
  <si>
    <t xml:space="preserve">GRI standard / other source </t>
  </si>
  <si>
    <t>Disclosure</t>
  </si>
  <si>
    <t>Location
Report page(s)</t>
  </si>
  <si>
    <t>Omission</t>
  </si>
  <si>
    <t>GRI sector standard ref. no.</t>
  </si>
  <si>
    <t>Requirement(s) omitted</t>
  </si>
  <si>
    <t>Reason</t>
  </si>
  <si>
    <t>Explanation</t>
  </si>
  <si>
    <t>General disclosures</t>
  </si>
  <si>
    <t xml:space="preserve">
GRI 2: General Disclosures 2021
</t>
  </si>
  <si>
    <t>2-1 Organizational details</t>
  </si>
  <si>
    <t>ARA p.2, 207-209, 220</t>
  </si>
  <si>
    <t>Reasons for omission are not permitted for the disclosure or that a GRI Sector Standard reference number is not available.</t>
  </si>
  <si>
    <t>2-2 Entities included in the organization’s sustainability reporting</t>
  </si>
  <si>
    <t>ARA p.149, 207-209, 210</t>
  </si>
  <si>
    <t>2-3 Reporting period, frequency and contact point</t>
  </si>
  <si>
    <t>ARA p.149, 210, 220</t>
  </si>
  <si>
    <t>2-4 Restatements of information</t>
  </si>
  <si>
    <r>
      <t>ARA p.210</t>
    </r>
    <r>
      <rPr>
        <sz val="10"/>
        <color rgb="FFFF0000"/>
        <rFont val="Verdana"/>
        <family val="2"/>
      </rPr>
      <t xml:space="preserve">
</t>
    </r>
    <r>
      <rPr>
        <sz val="10"/>
        <rFont val="Verdana"/>
        <family val="2"/>
      </rPr>
      <t>SPD Health and Safety tab
SPD Environment tab</t>
    </r>
  </si>
  <si>
    <t>2-5 External assurance</t>
  </si>
  <si>
    <t>ARA p.133-142, 216-218</t>
  </si>
  <si>
    <t>2-6 Activities, value chain and other business relationships</t>
  </si>
  <si>
    <t>ARA p.2, 6-11</t>
  </si>
  <si>
    <t>2-7 Employees</t>
  </si>
  <si>
    <t>ARA p.2, 46-48, 166, 214-215, 216-218
SPD People tab</t>
  </si>
  <si>
    <t>2-8 Workers who are not employees</t>
  </si>
  <si>
    <t>ARA p.48, 214
SPD People tab</t>
  </si>
  <si>
    <t>2-9 Governance structure and composition</t>
  </si>
  <si>
    <t>ARA p.75-81</t>
  </si>
  <si>
    <t>2-10 Nomination and selection of the highest governance body</t>
  </si>
  <si>
    <t>ARA p.75-76, 92-95</t>
  </si>
  <si>
    <t>2-11 Chair of the highest governance body</t>
  </si>
  <si>
    <t>ARA p.78, 80</t>
  </si>
  <si>
    <t>2-12 Role of the highest governance body in overseeing the management of impacts</t>
  </si>
  <si>
    <t>ARA p.53-54, 75-81, 86-88, 91</t>
  </si>
  <si>
    <t>2-13 Delegation of responsibility for managing impacts</t>
  </si>
  <si>
    <t>ARA p.53-54, 80-81, 89-90</t>
  </si>
  <si>
    <t>2-14 Role of the highest governance body in sustainability reporting</t>
  </si>
  <si>
    <t>ARA p.53-54, 82-83, 89-90</t>
  </si>
  <si>
    <t>2-15 Conflicts of interest</t>
  </si>
  <si>
    <t>ARA p.73, 111, 128</t>
  </si>
  <si>
    <t>Johnson Matthey Global Conflicts of Interest Policy</t>
  </si>
  <si>
    <t>2-16 Communication of critical concerns</t>
  </si>
  <si>
    <t>ARA p.49, 81, 89-90
SPD Ethics and Compliance tab</t>
  </si>
  <si>
    <t>2-17 Collective knowledge of the highest governance body</t>
  </si>
  <si>
    <t>ARA p.94</t>
  </si>
  <si>
    <t>2-18 Evaluation of the performance of the highest governance body</t>
  </si>
  <si>
    <t>ARA p.84-85</t>
  </si>
  <si>
    <t>2-19 Remuneration policies</t>
  </si>
  <si>
    <t>ARA p.105-117</t>
  </si>
  <si>
    <t>2-20 Process to determine remuneration</t>
  </si>
  <si>
    <t>ARA p.105-127</t>
  </si>
  <si>
    <t>2-21 Annual total compensation ratio</t>
  </si>
  <si>
    <t>2-22 Statement on sustainable development strategy</t>
  </si>
  <si>
    <t>ARA p.3</t>
  </si>
  <si>
    <t>2-23 Policy commitments</t>
  </si>
  <si>
    <t>ARA p.43, 45, 47-49, 72-73</t>
  </si>
  <si>
    <t>Johnson Matthey Policies</t>
  </si>
  <si>
    <t>2-24 Embedding policy commitments</t>
  </si>
  <si>
    <t>ARA p.49, 72-73</t>
  </si>
  <si>
    <t>2-25 Processes to remediate negative impacts</t>
  </si>
  <si>
    <t>ARA p.49</t>
  </si>
  <si>
    <t>2-26 Mechanisms for seeking advice and raising concerns</t>
  </si>
  <si>
    <t>2-27 Compliance with laws and regulations</t>
  </si>
  <si>
    <t>ARA p.72, 
SPD Environment tab</t>
  </si>
  <si>
    <t>2-28 Membership associations</t>
  </si>
  <si>
    <t>ARA p.52</t>
  </si>
  <si>
    <t>2-29 Approach to stakeholder engagement</t>
  </si>
  <si>
    <t>ARA p.52, 86-88</t>
  </si>
  <si>
    <t>2-30 Collective bargaining agreements</t>
  </si>
  <si>
    <t>ARA p.48, 114, 176
SPD People tab</t>
  </si>
  <si>
    <t>Material topics</t>
  </si>
  <si>
    <t>GRI 3: Material Topics 2021</t>
  </si>
  <si>
    <t>3-1 Process to determine material topics</t>
  </si>
  <si>
    <t>ARA p.34, 210</t>
  </si>
  <si>
    <t>3-2 List of material topics</t>
  </si>
  <si>
    <t>ARA p.34, 210
SPD Material Topics tab</t>
  </si>
  <si>
    <t>Governance and Risk</t>
  </si>
  <si>
    <t>Economic performance</t>
  </si>
  <si>
    <t>3-3 Management of material topics</t>
  </si>
  <si>
    <t>ARA p.53-59, 149-209</t>
  </si>
  <si>
    <t>GRI 201: Economic Performance 2016</t>
  </si>
  <si>
    <t>201-1 Direct economic value generated and distributed</t>
  </si>
  <si>
    <t>ARA p.149-209</t>
  </si>
  <si>
    <t>201-2 Financial implications and other risks and opportunities due to climate change</t>
  </si>
  <si>
    <t>ARA p.53-59</t>
  </si>
  <si>
    <t>201-3 Defined benefit plan obligations and other retirement plans</t>
  </si>
  <si>
    <t>ARA p.105-107, 154, 176-177</t>
  </si>
  <si>
    <t>201-4 Financial assistance received from government</t>
  </si>
  <si>
    <t>ARA p.163</t>
  </si>
  <si>
    <t>Anti-corruption</t>
  </si>
  <si>
    <t>ARA p.34, 49, 72-73</t>
  </si>
  <si>
    <t>Johnson Matthey Anti-Bribery and Corruption Policy</t>
  </si>
  <si>
    <t>GRI 205: Anti-corruption 2016</t>
  </si>
  <si>
    <t>205-1 Operations assessed for risks related to corruption</t>
  </si>
  <si>
    <t>ARA p.49 
SPD Ethics and Compliance tab</t>
  </si>
  <si>
    <t>205-2 Communication and training about anti-corruption policies and procedures</t>
  </si>
  <si>
    <t>205-3 Confirmed incidents of corruption and actions taken</t>
  </si>
  <si>
    <t>Materials</t>
  </si>
  <si>
    <t>ARA p.9, 20-21, 34-35, 42, 213</t>
  </si>
  <si>
    <t>GRI 301: Materials 2016</t>
  </si>
  <si>
    <t>301-1 Materials used by weight or volume</t>
  </si>
  <si>
    <t xml:space="preserve">a. </t>
  </si>
  <si>
    <t>Information unavailable/incomplete</t>
  </si>
  <si>
    <t>not disclosed as not relevant KPI to aggregate across our business</t>
  </si>
  <si>
    <t>301-2 Recycled input materials used</t>
  </si>
  <si>
    <t>ARA p.35, 42</t>
  </si>
  <si>
    <t>301-3 Reclaimed products and their packaging materials</t>
  </si>
  <si>
    <t xml:space="preserve">a. b. </t>
  </si>
  <si>
    <t>only dislosed for platinum group metal use</t>
  </si>
  <si>
    <t>Energy</t>
  </si>
  <si>
    <t>ARA p.9, 35-36, 38-41, 216-218</t>
  </si>
  <si>
    <t>GRI 302: Energy 2016</t>
  </si>
  <si>
    <t>302-1 Energy consumption within the organization</t>
  </si>
  <si>
    <t>ARA p.38-41
SPD Environment tab</t>
  </si>
  <si>
    <t>302-2 Energy consumption outside of the organization</t>
  </si>
  <si>
    <t>302-3 Energy intensity</t>
  </si>
  <si>
    <t>302-4 Reduction of energy consumption</t>
  </si>
  <si>
    <t>302-5 Reductions in energy requirements of products and services</t>
  </si>
  <si>
    <t>ARA p. 36</t>
  </si>
  <si>
    <t>Water and effluents</t>
  </si>
  <si>
    <t>ARA p.34-35, 43, 214, 216-218</t>
  </si>
  <si>
    <t>GRI 303: Water and Effluents 2018</t>
  </si>
  <si>
    <t>303-1 Interactions with water as a shared resource</t>
  </si>
  <si>
    <t>ARA p.43
SPD Environment tab</t>
  </si>
  <si>
    <t>303-2 Management of water discharge-related impacts</t>
  </si>
  <si>
    <t>303-3 Water withdrawal</t>
  </si>
  <si>
    <t>303-4 Water discharge</t>
  </si>
  <si>
    <t>303-5 Water consumption</t>
  </si>
  <si>
    <t>Emissions</t>
  </si>
  <si>
    <t>ARA p.17, 18-19, 22, 24-25, 34-43, 56-59, 211-213, 216-218</t>
  </si>
  <si>
    <t>GRI 305: Emissions 2016</t>
  </si>
  <si>
    <t>305-1 Direct (Scope 1) GHG emissions</t>
  </si>
  <si>
    <t>ARA p.39-41 
SPD Environment tab</t>
  </si>
  <si>
    <t>305-2 Energy indirect (Scope 2) GHG emissions</t>
  </si>
  <si>
    <t>305-3 Other indirect (Scope 3) GHG emissions</t>
  </si>
  <si>
    <t>305-4 GHG emissions intensity</t>
  </si>
  <si>
    <t>ARA p.41 
SPD Environment tab</t>
  </si>
  <si>
    <t>305-5 Reduction of GHG emissions</t>
  </si>
  <si>
    <t>305-6 Emissions of ozone-depleting substances (ODS)</t>
  </si>
  <si>
    <t>ARA p.43, 212
SPD Environment tab</t>
  </si>
  <si>
    <t>305-7 Nitrogen oxides (NOx), sulfur oxides (SOx), and other significant air emissions</t>
  </si>
  <si>
    <t>Waste</t>
  </si>
  <si>
    <t>ARA p.34-35, 43, 213-214, 216-218</t>
  </si>
  <si>
    <t>GRI 306: Waste 2020</t>
  </si>
  <si>
    <t>306-1 Waste generation and significant waste-related impacts</t>
  </si>
  <si>
    <t>306-2 Management of significant waste-related impacts</t>
  </si>
  <si>
    <t>306-3 Waste generated</t>
  </si>
  <si>
    <t>ARA p.43, 218
SPD Environment tab</t>
  </si>
  <si>
    <t>306-4 Waste diverted from disposal</t>
  </si>
  <si>
    <t>306-5 Waste directed to disposal</t>
  </si>
  <si>
    <t>Supplier environmental assessment</t>
  </si>
  <si>
    <t>ARA p.34, 49-50
SPD Responsible Sourcing tab</t>
  </si>
  <si>
    <t>GRI 308: Supplier Environmental Assessment 2016</t>
  </si>
  <si>
    <t>308-1 New suppliers that were screened using environmental criteria</t>
  </si>
  <si>
    <t>ARA p.49-50
SPD Responsible Sourcing tab</t>
  </si>
  <si>
    <t>308-2 Negative environmental impacts in the supply chain and actions taken</t>
  </si>
  <si>
    <t xml:space="preserve">b. c. d. e. </t>
  </si>
  <si>
    <t>risks disclosed but not impacts or actions taken</t>
  </si>
  <si>
    <t>Occupational health and safety</t>
  </si>
  <si>
    <t>ARA p.34-35, 45-49, 72, 214-218</t>
  </si>
  <si>
    <t>Johnson Matthey Environmental, Health and Safety Policy Statement</t>
  </si>
  <si>
    <t>GRI 403: Occupational Health and Safety 2018</t>
  </si>
  <si>
    <t>403-1 Occupational health and safety management system</t>
  </si>
  <si>
    <t>ARA p.45-49, 72, 214-218</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</si>
  <si>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</si>
  <si>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</si>
  <si>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</si>
  <si>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</si>
  <si>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</si>
  <si>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</si>
  <si>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403-8 Workers covered by an occupational health and safety management system</t>
  </si>
  <si>
    <t>ARA p.45-49, 72, 214-218
SPD Health and Safety tab</t>
  </si>
  <si>
    <t>403-9 Work-related injuries</t>
  </si>
  <si>
    <t>SPD Health and Safety tab</t>
  </si>
  <si>
    <t>403-10 Work-related ill health</t>
  </si>
  <si>
    <t>Diversity and equal opportunity</t>
  </si>
  <si>
    <t>ARA p.34-35, 47-48, 94-95, 215-218</t>
  </si>
  <si>
    <t>GRI 405: Diversity and Equal Opportunity 2016</t>
  </si>
  <si>
    <t>405-1 Diversity of governance bodies and employees</t>
  </si>
  <si>
    <t>ARA p.34-35, 47-48, 94-95, 215-218
SPD People tab</t>
  </si>
  <si>
    <t>405-2 Ratio of basic salary and remuneration of women to men</t>
  </si>
  <si>
    <t>ARA p.48
SPD People tab</t>
  </si>
  <si>
    <t>a. b.</t>
  </si>
  <si>
    <t>data only available for UK employees</t>
  </si>
  <si>
    <t>Johnson Matthey Gender Pay Gap Report 2023</t>
  </si>
  <si>
    <t>Non-discrimination</t>
  </si>
  <si>
    <t>ARA p.34, 49</t>
  </si>
  <si>
    <t>GRI 406: Non-discrimination 2016</t>
  </si>
  <si>
    <t>406-1 Incidents of discrimination and corrective actions taken</t>
  </si>
  <si>
    <t>ARA p.49
SPD Ethics and Compliance tab</t>
  </si>
  <si>
    <t>Freedom of association and collective bargaining</t>
  </si>
  <si>
    <t>ARA p.34, 48, 114, 176-177</t>
  </si>
  <si>
    <t>GRI 407: Freedom of Association and Collective Bargaining 2016</t>
  </si>
  <si>
    <t>407-1 Operations and suppliers in which the right to freedom of association and collective bargaining may be at risk</t>
  </si>
  <si>
    <t xml:space="preserve">countries or suppliers where  risks exist are not disclosed </t>
  </si>
  <si>
    <t>Child labor</t>
  </si>
  <si>
    <t>ARA p.34, 49-50</t>
  </si>
  <si>
    <t>GRI 408: Child Labor 2016</t>
  </si>
  <si>
    <t>408-1 Operations and suppliers at significant risk for incidents of child labor</t>
  </si>
  <si>
    <t>Forced or Compulsory Labor</t>
  </si>
  <si>
    <t>GRI 409: Forced or Compulsory Labor 2016</t>
  </si>
  <si>
    <t>409-1 Operations and suppliers at significant risk for incidents of forced or compulsory labor</t>
  </si>
  <si>
    <t>Local communities</t>
  </si>
  <si>
    <t>ARA p.34, 51, 215</t>
  </si>
  <si>
    <t>GRI 413: Local Communities 2016</t>
  </si>
  <si>
    <t>413-1 Operations with local community engagement, impact assessments, and development programs</t>
  </si>
  <si>
    <t>ARA p.51, 215</t>
  </si>
  <si>
    <t>413-2 Operations with significant actual and potential negative impacts on local communities</t>
  </si>
  <si>
    <t>Supplier social assessment</t>
  </si>
  <si>
    <t>GRI 414: Supplier Social Assessment 2016</t>
  </si>
  <si>
    <t>414-1 New suppliers that were screened using social criteria</t>
  </si>
  <si>
    <t>414-2 Negative social impacts in the supply chain and actions taken</t>
  </si>
  <si>
    <r>
      <rPr>
        <sz val="10"/>
        <color rgb="FFFF0000"/>
        <rFont val="Verdana"/>
        <family val="2"/>
      </rPr>
      <t xml:space="preserve">
</t>
    </r>
    <r>
      <rPr>
        <sz val="10"/>
        <rFont val="Verdana"/>
        <family val="2"/>
      </rPr>
      <t xml:space="preserve">b. c. d. e. </t>
    </r>
  </si>
  <si>
    <r>
      <t>Topics in the applica</t>
    </r>
    <r>
      <rPr>
        <b/>
        <sz val="10"/>
        <color theme="0"/>
        <rFont val="Verdana"/>
        <family val="2"/>
      </rPr>
      <t>ble GRI Sector Standards determined as not material to JM but disclosure important to our stakeholers</t>
    </r>
  </si>
  <si>
    <t>[Title of GRI Sector Standard]</t>
  </si>
  <si>
    <t>[Topic]</t>
  </si>
  <si>
    <t>[Explanation]</t>
  </si>
  <si>
    <t>Rights of indigenous peoples</t>
  </si>
  <si>
    <t>GRI 411: Rights of Indigenous Peoples 2016</t>
  </si>
  <si>
    <t>411-1 Incidents of violations involving rights of indigenous peoples</t>
  </si>
  <si>
    <t>Labor/management relations</t>
  </si>
  <si>
    <t>ARA p.23-43</t>
  </si>
  <si>
    <t>GRI 402: Labor/Management Relations 2016</t>
  </si>
  <si>
    <t>402-1 Minimum notice periods regarding operational changes</t>
  </si>
  <si>
    <t>???</t>
  </si>
  <si>
    <t>Biodiversity</t>
  </si>
  <si>
    <t>ARA p.34</t>
  </si>
  <si>
    <t>GRI 101: Biodiversity 2024</t>
  </si>
  <si>
    <t>101-1 Policies to halt and reverse biodiversity loss</t>
  </si>
  <si>
    <t>Johnson Matthey Nature Statement</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</si>
  <si>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</si>
  <si>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</si>
  <si>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</si>
  <si>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</si>
  <si>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</si>
  <si>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</si>
  <si>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101-6 Ecosystem services</t>
  </si>
  <si>
    <t>Market presence</t>
  </si>
  <si>
    <t>GRI 202: Market Presence 2016</t>
  </si>
  <si>
    <t>202-1 Ratios of standard entry level wage by gender compared to local minimum wage</t>
  </si>
  <si>
    <t>202-2 Proportion of senior management hired from the local community</t>
  </si>
  <si>
    <t>Indirect economic impacts</t>
  </si>
  <si>
    <t>GRI 203: Indirect Economic Impacts 2016</t>
  </si>
  <si>
    <t>203-1 Infrastructure investments and services supported</t>
  </si>
  <si>
    <t>ARA p.81 - not sure this reference is correct from last year!?? Can't see what page to reference this year</t>
  </si>
  <si>
    <t>203-2 Significant indirect economic impacts</t>
  </si>
  <si>
    <t>ARA p.56-59</t>
  </si>
  <si>
    <t>Procurement practices</t>
  </si>
  <si>
    <t>GRI 204: Procurement Practices 2016</t>
  </si>
  <si>
    <t>204-1 Proportion of spending on local suppliers</t>
  </si>
  <si>
    <t>ARA p.50</t>
  </si>
  <si>
    <t>Tax</t>
  </si>
  <si>
    <t>ARA p.32, 153</t>
  </si>
  <si>
    <t>GRI 207: Tax 2019</t>
  </si>
  <si>
    <t>207-1 Approach to tax</t>
  </si>
  <si>
    <t>Johnson Matthey Global Tax Policy</t>
  </si>
  <si>
    <t>207-2 Tax governance, control, and risk management</t>
  </si>
  <si>
    <t>Johnson Matthey Tax Strategy</t>
  </si>
  <si>
    <t>207-3 Stakeholder engagement and management of concerns related to tax</t>
  </si>
  <si>
    <t>207-4 Country-by-country reporting</t>
  </si>
  <si>
    <t>Anti-competitive behavior</t>
  </si>
  <si>
    <t>GRI 206: Anti-competitive Behavior 2016</t>
  </si>
  <si>
    <t>206-1 Legal actions for anti-competitive behavior, anti-trust, and monopoly practices</t>
  </si>
  <si>
    <t>Employment</t>
  </si>
  <si>
    <t>ARA p.34, 45-48</t>
  </si>
  <si>
    <t>GRI 401: Employment 2016</t>
  </si>
  <si>
    <t>401-1 New employee hires and employee turnover</t>
  </si>
  <si>
    <t>SPD People tab</t>
  </si>
  <si>
    <t>401-2 Benefits provided to full-time employees that are not provided to temporary or part-time employees</t>
  </si>
  <si>
    <t>ARA p.45-48</t>
  </si>
  <si>
    <t>401-3 Parental leave</t>
  </si>
  <si>
    <t>ARA p.48</t>
  </si>
  <si>
    <t>Training and education</t>
  </si>
  <si>
    <t>ARA p.34, 46-47</t>
  </si>
  <si>
    <t>GRI 404: Training and Education 2016</t>
  </si>
  <si>
    <t>404-1 Average hours of training per year per employee</t>
  </si>
  <si>
    <t>404-2 Programs for upgrading employee skills and transition assistance programs</t>
  </si>
  <si>
    <t>ARA p.46-47</t>
  </si>
  <si>
    <t>404-3 Percentage of employees receiving regular performance and career development reviews</t>
  </si>
  <si>
    <t>Security practices</t>
  </si>
  <si>
    <t>GRI 410: Security Practices 2016</t>
  </si>
  <si>
    <t>410-1 Security personnel trained in human rights policies or procedures</t>
  </si>
  <si>
    <t>Public policy</t>
  </si>
  <si>
    <t>GRI 415: Public Policy 2016</t>
  </si>
  <si>
    <t>415-1 Political contributions</t>
  </si>
  <si>
    <t>ARA p.129</t>
  </si>
  <si>
    <t>Customer health and safety</t>
  </si>
  <si>
    <t>ARA p.34, 44</t>
  </si>
  <si>
    <t>GRI 416: Customer Health and Safety 2016</t>
  </si>
  <si>
    <t>416-1 Assessment of the health and safety impacts of product and service categories</t>
  </si>
  <si>
    <t xml:space="preserve">ARA p.44, 49-50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</si>
  <si>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416-2 Incidents of non-compliance concerning the health and safety impacts of products and services</t>
  </si>
  <si>
    <t>ARA p.44, 49
SPD Ethics and Compliance tab</t>
  </si>
  <si>
    <t>Marketing and labeling</t>
  </si>
  <si>
    <t>GRI 417: Marketing and Labeling 2016</t>
  </si>
  <si>
    <t>417-1 Requirements for product and service information and labeling</t>
  </si>
  <si>
    <t xml:space="preserve">ARA p.44
We estimate that approximately 5% of sales are from products containing &gt;0.1% w/w of so-called Substances of Very High Concern, which are a subset of the substances classified in category 1 or 2 for health or environmental hazard classes. 
100% of JM products that meet the SASB GHS categories undergo human health and environmental hazard assessment.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t>
  </si>
  <si>
    <t>417-2 Incidents of non-compliance concerning product and service information and labeling</t>
  </si>
  <si>
    <t>417-3 Incidents of non-compliance concerning marketing communications</t>
  </si>
  <si>
    <t>Customer privacy</t>
  </si>
  <si>
    <t>GRI 418: Customer Privacy 2016</t>
  </si>
  <si>
    <t>418-1 Substantiated complaints concerning breaches of customer privacy and losses of customer data</t>
  </si>
  <si>
    <t>Johnson Matthey reports in alignment with the requirements of the SASB Sustainability Accounting Standard for Chemicals (Version 2023-12)</t>
  </si>
  <si>
    <t>Topic</t>
  </si>
  <si>
    <t>Accounting Metric</t>
  </si>
  <si>
    <t xml:space="preserve">SASB Code </t>
  </si>
  <si>
    <t>Location</t>
  </si>
  <si>
    <t>JM Response</t>
  </si>
  <si>
    <t>Greenhouse gas emissions</t>
  </si>
  <si>
    <t>Gross global Scope 1 emissions, percentage covered under emissions-limiting regulations</t>
  </si>
  <si>
    <t>RT-CH-110a.1</t>
  </si>
  <si>
    <t>ARA p.39
SPD Environment tab</t>
  </si>
  <si>
    <t xml:space="preserve">JM currently operates in the UK and Europe where emission trading schemes (ETS) applicable to Scope 1 emissions are in place. There is only one site that is obligated under the UK ETS and there are no sites currently obligated under the EU ETS. The site in the UK scheme represents 5.9% of our total scope 1 emissions. During the year, JM made investments at the site to reduce Scope 1 emissions by improving boiler efficiency and it is expected that the site will fall outside the UK ETS scheme for FY24/25 onwards. </t>
  </si>
  <si>
    <t>Discussion of long term and short term strategy or plan to manage Scope 1 emissions, emissions reduction targets, and an analysis of performance against those targets</t>
  </si>
  <si>
    <t>RT-CH-110a.2</t>
  </si>
  <si>
    <t>ARA p.38,39</t>
  </si>
  <si>
    <t>Air quality</t>
  </si>
  <si>
    <t>Air emissions of the following pollutants: (1) NOX (excluding N2O), (2) SOX, (3) volatile organic compounds (VOCs), and (4) hazardous air pollutants (HAPs)</t>
  </si>
  <si>
    <t>RT-CH-120a.1</t>
  </si>
  <si>
    <t>JM does not currently report on any air emissions of HAP. All JM production facilities operate under license or Permit issued by local regulators and all emissions are subject to emission limits set by external regulators. JM are currently assessing emissions from our sites to determine which (if any) HAP could be emitted from our processes.</t>
  </si>
  <si>
    <t>Energy management</t>
  </si>
  <si>
    <r>
      <t>1) Total energy consumed, (2) percentage grid electricity, (3) percentage
renewable, (4) total self-generated energy</t>
    </r>
    <r>
      <rPr>
        <vertAlign val="superscript"/>
        <sz val="10"/>
        <rFont val="Verdana"/>
        <family val="2"/>
      </rPr>
      <t>1</t>
    </r>
  </si>
  <si>
    <t>RT-CH-130a.1</t>
  </si>
  <si>
    <t>Water management</t>
  </si>
  <si>
    <t>1) Total water withdrawn, (2) total water consumed, percentage of each in regions with High or Extremely High Baseline Water Stress</t>
  </si>
  <si>
    <t>RT-CH-140a.1</t>
  </si>
  <si>
    <t>Number of incidents of non-compliance associated with water quality permits, standards, and regulations</t>
  </si>
  <si>
    <t>RT-CH-140a.2</t>
  </si>
  <si>
    <t>Description of water management risks and discussion of strategies and practices to mitigate those risks</t>
  </si>
  <si>
    <t>RT-CH-140a.3</t>
  </si>
  <si>
    <t>Hazardous waste management</t>
  </si>
  <si>
    <r>
      <t>Amount of hazardous waste generated, percentage recycled</t>
    </r>
    <r>
      <rPr>
        <vertAlign val="superscript"/>
        <sz val="10"/>
        <color theme="1"/>
        <rFont val="Verdana"/>
        <family val="2"/>
      </rPr>
      <t>2</t>
    </r>
  </si>
  <si>
    <t>RT-CH-150a.1</t>
  </si>
  <si>
    <t>Community relations</t>
  </si>
  <si>
    <t>Discussion of engagement processes to manage risks and opportunities associated with community interests</t>
  </si>
  <si>
    <t>RT-CH-210a.1</t>
  </si>
  <si>
    <t>ARA p.51-52</t>
  </si>
  <si>
    <t>Workforce health and safety</t>
  </si>
  <si>
    <t>1) Total recordable incident rate (TRIR) and (2) fatality rate for (a) direct employees and (b) contract employees</t>
  </si>
  <si>
    <t>RT-CH-320a.1</t>
  </si>
  <si>
    <t>ARA p.45
SPD Health and Safety tab</t>
  </si>
  <si>
    <t>Description of efforts to assess, monitor, and reduce exposure of employees and contract workers to long-term (chronic) health risks</t>
  </si>
  <si>
    <t>RT-CH-320a.2</t>
  </si>
  <si>
    <t>Product design for use-phase efficiency</t>
  </si>
  <si>
    <t>Revenue from products designed for use phase resource efficiency</t>
  </si>
  <si>
    <t>RT-CH-410a.1</t>
  </si>
  <si>
    <t>ARA p.37</t>
  </si>
  <si>
    <t>Sustainability Accounting Standards Board (SASB) Resource efficiency indicator: We have identified our revenues that align with the SASB Chemicals Sustainability Accounting Standard’s definition of products that, when used, improve energy efficiency, eliminate or reduce GHG emissions, reduce raw materials consumption, lower water consumption and/or increase product life. In 2023/24, those sales were £0.84 billion (with sales excluding precious metals as £3.90 billion) compared with £0.97 billion in 2022/23.</t>
  </si>
  <si>
    <t>Safety and environmental stewardship of chemicals</t>
  </si>
  <si>
    <t>(1) Percentage of products that contain Globally Harmonized System of Classification and Labelling of Chemicals (GHS) Category 1 and 2 Health and Environmental Hazardous Substances, (2) percentage of such products that have undergone a hazard assessment</t>
  </si>
  <si>
    <t>RT-CH-410b.1</t>
  </si>
  <si>
    <t>ARA p.44</t>
  </si>
  <si>
    <t xml:space="preserve">(1) We estimate that approximately 5% of sales are from products containing &gt;0.1% w/w of so-called Substances of Very High Concern, which are a subset of the substances classified in category 1 or 2 for health or environmental hazard classes. 
(2) 100% of JM products that meet the SASB GHS categories undergo human health and environmental hazard assessment.  </t>
  </si>
  <si>
    <t>Discussion of strategy to (1) manage chemicals of concern and (2) develop alternatives with reduced human and/or environmental impact</t>
  </si>
  <si>
    <t>RT-CH-410b.2</t>
  </si>
  <si>
    <t xml:space="preserve">
ARA p.44</t>
  </si>
  <si>
    <t>(1) We have in place Product Stewardship Standards (within the EHS management framework) covering restricted substance management and new product introduction that require our businesses to review their existing portfolios and any new products against so-called ‘chemicals of concern’ listings and to identify opportunities to replace or reduce them in our operations and products. We have not set formal targets in this area at this time.  
(2) ARA p.44</t>
  </si>
  <si>
    <t>Genetically modified organisms</t>
  </si>
  <si>
    <t>Percentage of products by revenue that contain genetically modified organisms (GMOs)</t>
  </si>
  <si>
    <t>RT-CH-410c.1</t>
  </si>
  <si>
    <t>Management of the legal and regulatory environment</t>
  </si>
  <si>
    <t>Discussion of corporate positions related to government regulations and/or policy proposals that address environmental and social factors affecting the industry</t>
  </si>
  <si>
    <t>RT-CH-530a.1</t>
  </si>
  <si>
    <t>See our policies and disclosures</t>
  </si>
  <si>
    <t>Operational safety, emergency preparedness and response</t>
  </si>
  <si>
    <r>
      <t>Process Safety Incidents Count (PSIC), Process Safety Total Incident Rate (PSTIR), and Process Safety Incident Severity Rate (PSISR)</t>
    </r>
    <r>
      <rPr>
        <vertAlign val="superscript"/>
        <sz val="10"/>
        <color theme="1"/>
        <rFont val="Verdana"/>
        <family val="2"/>
      </rPr>
      <t>3</t>
    </r>
  </si>
  <si>
    <t>RT-CH-540a.1</t>
  </si>
  <si>
    <t>ARA p.45
SPD Health and safety tab</t>
  </si>
  <si>
    <r>
      <t>Number of transport incidents</t>
    </r>
    <r>
      <rPr>
        <vertAlign val="superscript"/>
        <sz val="10"/>
        <color theme="1"/>
        <rFont val="Verdana"/>
        <family val="2"/>
      </rPr>
      <t>4</t>
    </r>
  </si>
  <si>
    <t>RT-CH-540a.2</t>
  </si>
  <si>
    <t>SPD Health and safety tab</t>
  </si>
  <si>
    <t>Activity metrics</t>
  </si>
  <si>
    <r>
      <t>Production by reportable segment</t>
    </r>
    <r>
      <rPr>
        <vertAlign val="superscript"/>
        <sz val="10"/>
        <color theme="1"/>
        <rFont val="Verdana"/>
        <family val="2"/>
      </rPr>
      <t>5</t>
    </r>
  </si>
  <si>
    <t>RT-CH-000.A</t>
  </si>
  <si>
    <t>SPD Environment tab</t>
  </si>
  <si>
    <r>
      <t xml:space="preserve">1 Note to </t>
    </r>
    <r>
      <rPr>
        <b/>
        <sz val="8"/>
        <color theme="1"/>
        <rFont val="Verdana"/>
        <family val="2"/>
      </rPr>
      <t>RT-CH-130a.1</t>
    </r>
    <r>
      <rPr>
        <sz val="8"/>
        <color theme="1"/>
        <rFont val="Verdana"/>
        <family val="2"/>
      </rPr>
      <t xml:space="preserve"> – The entity shall discuss its efforts to reduce energy consumption and / or improve energy efficiency throughout the production processes.</t>
    </r>
  </si>
  <si>
    <r>
      <t xml:space="preserve">2 Note to </t>
    </r>
    <r>
      <rPr>
        <b/>
        <sz val="8"/>
        <color theme="1"/>
        <rFont val="Verdana"/>
        <family val="2"/>
      </rPr>
      <t>RT-CH-150a.1</t>
    </r>
    <r>
      <rPr>
        <sz val="8"/>
        <color theme="1"/>
        <rFont val="Verdana"/>
        <family val="2"/>
      </rPr>
      <t xml:space="preserve"> – The entity shall disclose the legal or regulatory framework(s) used to define hazardous waste and recycled hazardous waste, and the amounts of waste defined in accordance with each applicable framework.</t>
    </r>
  </si>
  <si>
    <r>
      <t xml:space="preserve">3 Note to </t>
    </r>
    <r>
      <rPr>
        <b/>
        <sz val="8"/>
        <color theme="1"/>
        <rFont val="Verdana"/>
        <family val="2"/>
      </rPr>
      <t>RT-CH-540a.1</t>
    </r>
    <r>
      <rPr>
        <sz val="8"/>
        <color theme="1"/>
        <rFont val="Verdana"/>
        <family val="2"/>
      </rPr>
      <t xml:space="preserve"> – The entity shall describe incidents with a severity rating of 1 or 2, including their root cause, outcomes, and corrective actions implemented in response.</t>
    </r>
  </si>
  <si>
    <r>
      <t xml:space="preserve">4 Note to </t>
    </r>
    <r>
      <rPr>
        <b/>
        <sz val="8"/>
        <color theme="1"/>
        <rFont val="Verdana"/>
        <family val="2"/>
      </rPr>
      <t>RT-CH-540a.2</t>
    </r>
    <r>
      <rPr>
        <sz val="8"/>
        <color theme="1"/>
        <rFont val="Verdana"/>
        <family val="2"/>
      </rPr>
      <t xml:space="preserve"> – The entity shall describe significant transport incidents, including their root causes, outcomes, and corrective actions implemented in response.</t>
    </r>
  </si>
  <si>
    <r>
      <t xml:space="preserve">5 Note to </t>
    </r>
    <r>
      <rPr>
        <b/>
        <sz val="8"/>
        <color theme="1"/>
        <rFont val="Verdana"/>
        <family val="2"/>
      </rPr>
      <t>RT-CH-000.A</t>
    </r>
    <r>
      <rPr>
        <sz val="8"/>
        <color theme="1"/>
        <rFont val="Verdana"/>
        <family val="2"/>
      </rPr>
      <t xml:space="preserve"> – Production should be disclosed for each of the entity’s reportable segments, where products and service segments are determined according to FASB ASC 280-10 and production is reported as weight for solid products and volume for liquid and gas products.</t>
    </r>
  </si>
  <si>
    <t>Johnson Matthey annual report and accounts 2024 complies with the TCFD Guidance for All Sectors and have taken into consideration the Material and Buildings Group guidance, as set out in section C of ‘Annex: Implementing the Recommendations of the Task Force on Climate-related Financial Disclosures’, October 2021.
Additionally, following amendment of sections 414C, 414CA and 414CB of the Companies Act 2006 (CA), the below table indicates which of the climate-related disclosures, outlined in Section 414CB, are addressed by the TCFD recommended disclosures, alongside the pages of the Annual Report and Accounts 2024 where these are located.</t>
  </si>
  <si>
    <t>Recommendation</t>
  </si>
  <si>
    <t>Recommended Disclosure</t>
  </si>
  <si>
    <t>CA 414CB (2A)</t>
  </si>
  <si>
    <r>
      <t xml:space="preserve">Governance
</t>
    </r>
    <r>
      <rPr>
        <sz val="10"/>
        <color theme="1"/>
        <rFont val="Verdana"/>
        <family val="2"/>
      </rPr>
      <t>Disclose the organization’s governance around climate-related risks and opportunities.</t>
    </r>
  </si>
  <si>
    <t>a.) Describe the board’s oversight of climate-related risks and opportunities</t>
  </si>
  <si>
    <t>ARA p.53-54</t>
  </si>
  <si>
    <t>(a)</t>
  </si>
  <si>
    <t>b.) Describe management’s role in assessing and managing climate-related risks and opportunities.</t>
  </si>
  <si>
    <r>
      <t xml:space="preserve">Strategy
</t>
    </r>
    <r>
      <rPr>
        <sz val="10"/>
        <color theme="1"/>
        <rFont val="Verdana"/>
        <family val="2"/>
      </rPr>
      <t>Disclose the actual and potential impacts of climate-related risks and opportunities on the organization’s businesses, strategy, and financial planning</t>
    </r>
  </si>
  <si>
    <t>a.) Describe the climate-related risks and opportunities the company has identified over the short, medium and long term.</t>
  </si>
  <si>
    <t>ARA p.54-59</t>
  </si>
  <si>
    <t>(d)</t>
  </si>
  <si>
    <t>b.) Describe the impact of climate-related risks and opportunities on the company’s businesses, strategy, and financial planning.</t>
  </si>
  <si>
    <t>(e)</t>
  </si>
  <si>
    <r>
      <t>c.) Describe the resilience of the company’s strategy, taking into consideration different climate-related scenarios, including a 2</t>
    </r>
    <r>
      <rPr>
        <vertAlign val="superscript"/>
        <sz val="12"/>
        <color theme="1"/>
        <rFont val="Verdana"/>
        <family val="2"/>
      </rPr>
      <t>o</t>
    </r>
    <r>
      <rPr>
        <sz val="12"/>
        <color theme="1"/>
        <rFont val="Verdana"/>
        <family val="2"/>
      </rPr>
      <t>C or lower scenario.</t>
    </r>
  </si>
  <si>
    <t>(f)</t>
  </si>
  <si>
    <r>
      <t xml:space="preserve">Risk management
</t>
    </r>
    <r>
      <rPr>
        <sz val="10"/>
        <color theme="1"/>
        <rFont val="Verdana"/>
        <family val="2"/>
      </rPr>
      <t>Disclose how the organization identifies, assesses, and manages climate-related risks</t>
    </r>
  </si>
  <si>
    <t>a.) Describe the company’s processes for identifying and assessing climate-related risks</t>
  </si>
  <si>
    <t>ARA p.60</t>
  </si>
  <si>
    <t>(b)</t>
  </si>
  <si>
    <t>b.) Describe the company’s processes for managing climate-related risks</t>
  </si>
  <si>
    <t>c.) Describe how processes for identifying, assessing, and managing climate-related risks are integrated into the company’s overall risk management</t>
  </si>
  <si>
    <t>(c)</t>
  </si>
  <si>
    <r>
      <t xml:space="preserve">Metrics &amp; targets
</t>
    </r>
    <r>
      <rPr>
        <sz val="10"/>
        <color theme="1"/>
        <rFont val="Verdana"/>
        <family val="2"/>
      </rPr>
      <t>Disclose the metrics and targets used to assess and manage relevant climate-related risks and opportunities where such information is material.</t>
    </r>
  </si>
  <si>
    <t>a.) Disclose the metrics used by the company to assess climate-related risks and opportunities in line with its strategy and risk management process.</t>
  </si>
  <si>
    <t>ARA p.61</t>
  </si>
  <si>
    <t>(h)</t>
  </si>
  <si>
    <t>b.) Disclose Scope 1, Scope 2, and if appropriate Scope 3 greenhouse gas (GHG) emissions, and the related risks</t>
  </si>
  <si>
    <t>ARA p.39, p.41, p.61</t>
  </si>
  <si>
    <t>c.) Describe the targets used by the company to manage climate-related risks and opportunities and performance against targets</t>
  </si>
  <si>
    <t>(g)</t>
  </si>
  <si>
    <t>Principle Adverse Impact (PAI) Statement</t>
  </si>
  <si>
    <t>Category</t>
  </si>
  <si>
    <t>PAI Category</t>
  </si>
  <si>
    <t>JM KPI</t>
  </si>
  <si>
    <t>GHG emissions</t>
  </si>
  <si>
    <t>Total Scope 1 GHG emissions</t>
  </si>
  <si>
    <t>Formula in regulation is clear so issuers should use this as a reference
Providing at company level and framework level for green bonds is useful</t>
  </si>
  <si>
    <t>ARA p.41
SPD Environment tab</t>
  </si>
  <si>
    <t>Total Scope 2 GHG emissions (market-based)</t>
  </si>
  <si>
    <t>Total Scope 3 GHG emissions</t>
  </si>
  <si>
    <t>Total GHG emissions (sum of scope 1,2 and 3)</t>
  </si>
  <si>
    <t>Carbon footprint</t>
  </si>
  <si>
    <t>This has a slightly lower coverage in the data sets available from providers
Issuers could provide clear data points to help with this calculation (e.g. enterprise value)</t>
  </si>
  <si>
    <t>GHG intensity</t>
  </si>
  <si>
    <t>Scope 1+2+3 GHG intensity per £ million of revenue</t>
  </si>
  <si>
    <t xml:space="preserve">Company revenue is normally easily accesible but providng in a centralised place is helpful (and ensuring scope is the same as for the emissions referenced) </t>
  </si>
  <si>
    <t>ARA p.16, 39
SPD Environment tab</t>
  </si>
  <si>
    <t xml:space="preserve">Exposure to companies active in the fossil fuel sector </t>
  </si>
  <si>
    <t xml:space="preserve">% revenues from customers active in the fossil fuel sector </t>
  </si>
  <si>
    <t>‘companies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</si>
  <si>
    <t xml:space="preserve">Investor has their own interpretation of what is considered a fossil fuel company. Mainly they want to consider those with direct links to fossil fuel companies. E.g. for a chemical company they would want to look at the client base of the company and see what the products are being used for. Essentially, for now, its a case by case assessment. </t>
  </si>
  <si>
    <t>ARA p.160-161</t>
  </si>
  <si>
    <t xml:space="preserve">&lt; 4.6% </t>
  </si>
  <si>
    <t>Share of non-renewable energy consumption and production</t>
  </si>
  <si>
    <t>% non renewable energy consumption compared to total energy consumption</t>
  </si>
  <si>
    <t>renewable energy sources’ means renewable non-fossil sources, namely wind, solar (solar thermal and solar photovoltaic) and geothermal energy, ambient energy, tide, wave and other ocean energy, hydropower, biomass, landfill gas, sewage treatment plant gas, and biogas.
'Non-renewable energy sources’ means energy sources other than those referred to above</t>
  </si>
  <si>
    <t>They currently only look at this metric for producers (not consumption of companies that don’t produce energy). Most companies do provide data on energy mix though so they may include energy consumers also at some point</t>
  </si>
  <si>
    <t>JM does not produce energy.
Non-renewable energy consumption is 77% of total energy consumption</t>
  </si>
  <si>
    <t xml:space="preserve">Energy consumption intensity per high impact climate sector </t>
  </si>
  <si>
    <t>Total energy consumption in GWh</t>
  </si>
  <si>
    <t>energy consumption intensity’ means the ratio of energy consumption per unit of activity, output or any other metric of the investee company to the total energy consumption of that investee company
‘high impact climate sectors’ means the sectors listed in Sections A to H and Section L of Annex I to Regulation (EC) No 1893/2006 of the European Parliament and of the Council</t>
  </si>
  <si>
    <t>For companies involved in multiple activities, it would be good if companies could also provide split reporting by activity (as they need to report on each different sector).</t>
  </si>
  <si>
    <t>1211.7 GWh covering all JM operations</t>
  </si>
  <si>
    <t>Activities negatively affecting biodiversity sensitive areas</t>
  </si>
  <si>
    <t>Operations located in or near to biodiversity-sensitive areas where activities of those investee companies negatively affect those areas</t>
  </si>
  <si>
    <r>
      <t xml:space="preserve">‘biodiversity-sensitive areas’ means Natura 2000 network of protected areas, UNESCO World Heritage sites and Key Biodiversity Areas (‘KBAs’), as well as other protected areas, as referred to in </t>
    </r>
    <r>
      <rPr>
        <sz val="10"/>
        <color rgb="FFFF0000"/>
        <rFont val="Verdana"/>
        <family val="2"/>
      </rPr>
      <t>Appendix D of Annex II to Commission Delegated Regulation (EU) 2021/2139</t>
    </r>
  </si>
  <si>
    <t>Companies could state whether they have sites / operations near biodoversity sensitive areas or whether operations affect these areas. For now the data isnt there so they look at biodiversity controversies</t>
  </si>
  <si>
    <t>Contact us | Johnson Matthey</t>
  </si>
  <si>
    <t>To the best of our knowledge we do not have any locations  in or near biodiversity sensitive areas as defined by Appendix D of Annex II to Commission Delegated Regulation (EU) 2021/2139</t>
  </si>
  <si>
    <t>Water</t>
  </si>
  <si>
    <t>Emissions to water</t>
  </si>
  <si>
    <t>Tonnes of emissions of prioritiy substances to water (as defined in Article 2(30) of Directive 2000/60/EC of the European Parliament and and direct emissions of nitrates, phosphates and pesticides)</t>
  </si>
  <si>
    <t>Emissions to water means direct emissions of priority substances as defined in Article 2(30) of the Water Framework Directive 2000/60/EC of the European Parliament and of the Council (as amended by directive 2013/39/EU )and direct emissions of nitrates, phosphates and pesticides to water.</t>
  </si>
  <si>
    <t>This information is often not there, even for water companies. Sometimes they look at leakage rate or controversies as a substitute.</t>
  </si>
  <si>
    <t>From the available analysis, the following quantities of priority substances are calculated as being discharged by JM directly to water courses
nickel = 0.0013 tonnes; cadmium =  4e-5 tonnes; lead 1.4e-4 tonnes; mercury =  7e-6 tonnes; nitrates = 0.17 tonnes</t>
  </si>
  <si>
    <t>Hazardous waste and radioactive waste ratio</t>
  </si>
  <si>
    <t>Tonnes of hazardous waste and radioactive waste generated</t>
  </si>
  <si>
    <t>‘hazardous waste’ means hazardous waste as defined in Article 3(2) of Directive 2008/98/EC of the European Parliament and of the Council; ‘radioactive waste’ means radioactive waste as defined in Article 3(7) of Council Directive 2011/70/Euratom</t>
  </si>
  <si>
    <t>Can look at controversies as a substitute. Again helpful if companies can explicitely state if this isnt relevant</t>
  </si>
  <si>
    <t>42,300 tonnes</t>
  </si>
  <si>
    <t>Social and employee matters</t>
  </si>
  <si>
    <t>Violations of UN Global Compact principles and Organisation for Economic Cooperation and Development (OECD) Guidelines for Multinational Enterprises</t>
  </si>
  <si>
    <t>Formal violations of UNGC is difficult to assess. If data providers put an issuer on the UNGC watchlist (e.g. Sustainalytics) they will assess case by case. Otherwise they consider that signatories arent violating the UNGC</t>
  </si>
  <si>
    <t xml:space="preserve">Not on UNGC watchlist </t>
  </si>
  <si>
    <t>Lack of processes and compliance mechanisms to monitor compliance with UN Global Compact principles and OECD Guidelines for Multinational Enterprises</t>
  </si>
  <si>
    <t>Policies to monitor compliance with the UNGC principles or OECD Guidelines for Multinational Enterprises or grievance handling mechanisms to address violations of the UNGC principles or OECD Guidelines for Multinational Enterprises</t>
  </si>
  <si>
    <t xml:space="preserve">If an issuer is on the UNGC website then they presume that the policies etc are in place. 
Re OECD Guidelines for Multinational Enterprises there isnt an official list - so they rely on issues directly mentioning this </t>
  </si>
  <si>
    <t>See our UN Global Compact Company information</t>
  </si>
  <si>
    <t>We are a member of UNGC and have processes and compliance mechanisms to monitor compliance with UN Global Compact principles and OECD Guidelines for Multinational Enterprises</t>
  </si>
  <si>
    <t>Unadjusted gender pay gap</t>
  </si>
  <si>
    <t>Average unadjusted gender pay gap</t>
  </si>
  <si>
    <t>This is one of the hardest bits of data to find but it should be relatively easy for issuers to publish</t>
  </si>
  <si>
    <t>We issue a gender pay gap report in accordance with UK law. In 2023/24 our UK gender pay gap was 7.6% which puts us ahead of the national average of 14.3%.</t>
  </si>
  <si>
    <t>Board gender diversity</t>
  </si>
  <si>
    <t>Average ratio of female to male board members in investee companies, expressed as a percentage of all board members</t>
  </si>
  <si>
    <t>Can get the data from data providers (e.g. in MSCI reports) or direct from issuer. Usually they can find this info but putting as part of a dediated PAI table would relly help (data provider info is often inaccurate / out of date)</t>
  </si>
  <si>
    <t>ARA p.77
SPD People tab</t>
  </si>
  <si>
    <t>44% female</t>
  </si>
  <si>
    <t>Exposure to controversial weapons (anti-personnel mines, cluster munitions, chemical weapons and biological weapons)</t>
  </si>
  <si>
    <t>% revenues involved in the manufacture or selling of controversial weapons</t>
  </si>
  <si>
    <t>Can be checked at a company level but it is still helpful for companies to state for certainty (e.g. some chemical companies have been linked to chemical weapons for example)</t>
  </si>
  <si>
    <t>To the best of our knowledge none of our product sales are used for / in controversial weapons</t>
  </si>
  <si>
    <t>Streamlined Energy and Carbon Reporting (SECR)</t>
  </si>
  <si>
    <t>In line with the requirements set out in the UK Government’s guidance on SECR, the table below represents Johnson Matthey’s energy use and associated GHG emissions from electricity and fuel in the UK (1st April 2023 through to 31st March 2024), calculated with reference to the Greenhouse Gas Protocol. 
The scope of this data includes 9 manufacturing sites and 8 non-manufacturing sites based in the UK. In 2023/24, the UK accounted for 37% of our global total Scope 1 and 2 emissions as well as 29% of our global energy use.</t>
  </si>
  <si>
    <t>Key:</t>
  </si>
  <si>
    <t>ROW = Rest of World</t>
  </si>
  <si>
    <t>Scope 1 and 2 greenhouse gas (GHG) emissions</t>
  </si>
  <si>
    <t>Units of Measure</t>
  </si>
  <si>
    <t>2023/24</t>
  </si>
  <si>
    <t>2022/23</t>
  </si>
  <si>
    <t>2021/22</t>
  </si>
  <si>
    <t>2020/21</t>
  </si>
  <si>
    <t>2019/20</t>
  </si>
  <si>
    <t>Global</t>
  </si>
  <si>
    <t>UK</t>
  </si>
  <si>
    <t>ROW</t>
  </si>
  <si>
    <r>
      <t>tonnes CO</t>
    </r>
    <r>
      <rPr>
        <vertAlign val="subscript"/>
        <sz val="12"/>
        <rFont val="Verdana"/>
        <family val="2"/>
      </rPr>
      <t>2</t>
    </r>
    <r>
      <rPr>
        <sz val="12"/>
        <rFont val="Verdana"/>
        <family val="2"/>
      </rPr>
      <t>e</t>
    </r>
  </si>
  <si>
    <t>Total Scope 2 GHG emissions (location-based)</t>
  </si>
  <si>
    <t>Total Scope 1 and 2 GHG emission (market-based)</t>
  </si>
  <si>
    <r>
      <t>tonnes CO</t>
    </r>
    <r>
      <rPr>
        <b/>
        <vertAlign val="subscript"/>
        <sz val="12"/>
        <rFont val="Verdana"/>
        <family val="2"/>
      </rPr>
      <t>2</t>
    </r>
    <r>
      <rPr>
        <b/>
        <sz val="12"/>
        <rFont val="Verdana"/>
        <family val="2"/>
      </rPr>
      <t>e</t>
    </r>
  </si>
  <si>
    <t>Total Scope 1 and 2 GHG emission (location-based)</t>
  </si>
  <si>
    <t>Total Scope 1 and 2 carbon intensity (market-based)</t>
  </si>
  <si>
    <r>
      <t>tonnes CO</t>
    </r>
    <r>
      <rPr>
        <b/>
        <vertAlign val="subscript"/>
        <sz val="11"/>
        <rFont val="Verdana"/>
        <family val="2"/>
      </rPr>
      <t>2</t>
    </r>
    <r>
      <rPr>
        <b/>
        <sz val="11"/>
        <rFont val="Verdana"/>
        <family val="2"/>
      </rPr>
      <t>e/tonne sales</t>
    </r>
  </si>
  <si>
    <t xml:space="preserve">Energy consumption and efficiency </t>
  </si>
  <si>
    <t>Total energy consumption</t>
  </si>
  <si>
    <t>MWh</t>
  </si>
  <si>
    <t>Total energy efficiency</t>
  </si>
  <si>
    <t>MWh/tonne</t>
  </si>
  <si>
    <t>Externally assured selected information by ERM CVS</t>
  </si>
  <si>
    <t>ERM Certification and Verification Services Limited (ERM CVS) were engaged to provide limited assurance of selected information. All information below has been independently assured by ERM CVS. 
Please see ERM CVS' full assurance report on page 216-218 of our ARA 2024 for more details.</t>
  </si>
  <si>
    <t>Metric name</t>
  </si>
  <si>
    <t>Unit of Measure</t>
  </si>
  <si>
    <t>2023/24 total figure</t>
  </si>
  <si>
    <r>
      <t>tonnes CO</t>
    </r>
    <r>
      <rPr>
        <vertAlign val="subscript"/>
        <sz val="12"/>
        <color theme="1"/>
        <rFont val="Verdana"/>
        <family val="2"/>
      </rPr>
      <t>2</t>
    </r>
    <r>
      <rPr>
        <sz val="12"/>
        <color theme="1"/>
        <rFont val="Verdana"/>
        <family val="2"/>
      </rPr>
      <t>e</t>
    </r>
  </si>
  <si>
    <t>Total Scope 1 and 2 GHG emissions (market-based)</t>
  </si>
  <si>
    <r>
      <t>tonnes CO</t>
    </r>
    <r>
      <rPr>
        <vertAlign val="subscript"/>
        <sz val="12"/>
        <color theme="1"/>
        <rFont val="Verdana"/>
        <family val="2"/>
      </rPr>
      <t>2</t>
    </r>
    <r>
      <rPr>
        <sz val="12"/>
        <color theme="1"/>
        <rFont val="Verdana"/>
        <family val="2"/>
      </rPr>
      <t>e/tonne sales</t>
    </r>
  </si>
  <si>
    <t>Year on year change in Scope 1 and 2 carbon intensity</t>
  </si>
  <si>
    <t>%</t>
  </si>
  <si>
    <t>Total non-renewable energy consumption</t>
  </si>
  <si>
    <t>kWh</t>
  </si>
  <si>
    <t>Total renewable energy purchased or generated</t>
  </si>
  <si>
    <t>Certified renewable electricity consumption</t>
  </si>
  <si>
    <t>Total Scope 3 (Category 1) Purchased Goods and Services GHG emissions</t>
  </si>
  <si>
    <t>Total Scope 3 (Category 3) Fuel and Energy-related GHG emissions</t>
  </si>
  <si>
    <t>Total freshwater withdrawal (all sources)</t>
  </si>
  <si>
    <r>
      <t>m</t>
    </r>
    <r>
      <rPr>
        <vertAlign val="superscript"/>
        <sz val="12"/>
        <color theme="1"/>
        <rFont val="Verdana"/>
        <family val="2"/>
      </rPr>
      <t>3</t>
    </r>
  </si>
  <si>
    <t>Total water discharged back to original source</t>
  </si>
  <si>
    <t>Net freshwater consumption</t>
  </si>
  <si>
    <r>
      <t>000's m</t>
    </r>
    <r>
      <rPr>
        <vertAlign val="superscript"/>
        <sz val="12"/>
        <color theme="1"/>
        <rFont val="Verdana"/>
        <family val="2"/>
      </rPr>
      <t>3</t>
    </r>
  </si>
  <si>
    <t>Freshwater consumed in regions of high or extremely high baseline water stress</t>
  </si>
  <si>
    <t>Average direct Chemical Oxygen Demand of wastewater (COD)</t>
  </si>
  <si>
    <t>mg/L</t>
  </si>
  <si>
    <t>Coverage for COD reporting</t>
  </si>
  <si>
    <t>Total waste recycled/reused</t>
  </si>
  <si>
    <t>tonnes</t>
  </si>
  <si>
    <t>Total waste sent off site to landfill</t>
  </si>
  <si>
    <t>Total waste sent off site for incineration with energy recovery</t>
  </si>
  <si>
    <t>Total waste sent off site to incineration or treatment without energy recovery</t>
  </si>
  <si>
    <t>Total waste sent off site</t>
  </si>
  <si>
    <t>Total hazardous waste recycled/reused</t>
  </si>
  <si>
    <t>Total Hazardous waste sent off site to landfill</t>
  </si>
  <si>
    <t>Total Hazardous waste sent offsite for incineration with energy recovery</t>
  </si>
  <si>
    <t>Total Hazardous waste sent offsite for incineration or treatment without energy recovery</t>
  </si>
  <si>
    <t>Total hazardous waste sent off site for treatment</t>
  </si>
  <si>
    <t>Total solid waste disposed off site</t>
  </si>
  <si>
    <t>Total solid waste generated for treatment off site</t>
  </si>
  <si>
    <t>Total solid waste sent off site to be reused / recycled</t>
  </si>
  <si>
    <t>Total waste sent for recovery at a JM refinery</t>
  </si>
  <si>
    <t>Nitrogen oxides (NOx) emissions to air</t>
  </si>
  <si>
    <t>Sulphur oxides (SOx) emissions to air</t>
  </si>
  <si>
    <t>Volatile organic chemicals (VOCs) emissions to air</t>
  </si>
  <si>
    <t>Coverage for NOx reporting</t>
  </si>
  <si>
    <t>Coverage for SOx reporting</t>
  </si>
  <si>
    <t>Coverage for VOCs reporting</t>
  </si>
  <si>
    <t>Tonnes of GHGs avoided by using JM technology</t>
  </si>
  <si>
    <t>% of recycled PGMs (Platinum Group Metals) in Johnson Matthey’s manufacturing products</t>
  </si>
  <si>
    <t>Lost Time Injury Frequency Rate (LTIFR) employees</t>
  </si>
  <si>
    <t>n/million hrs</t>
  </si>
  <si>
    <t>Lost Time Injury Frequency Rate (LTIFR) contractors</t>
  </si>
  <si>
    <t xml:space="preserve">Occupational Illness Frequency Rate (OIFR)  </t>
  </si>
  <si>
    <t>Tier 1 Process Safety events rate</t>
  </si>
  <si>
    <t>Tier 1 events/1,000,000hrs</t>
  </si>
  <si>
    <t>Total Recordable Injury and Illness Rate(TRIIR) employees + contractors</t>
  </si>
  <si>
    <t>n/200,000 hrs</t>
  </si>
  <si>
    <t>ICCA Process Safety Event Severity Rate (PSESR)</t>
  </si>
  <si>
    <t>PSESR/200,000hrs</t>
  </si>
  <si>
    <t>% of female representation at all management levels</t>
  </si>
  <si>
    <t>2030 Targets</t>
  </si>
  <si>
    <t>KPI</t>
  </si>
  <si>
    <t>Units of Measurement</t>
  </si>
  <si>
    <t>Target definition</t>
  </si>
  <si>
    <t>Baseline year</t>
  </si>
  <si>
    <t>Baseline Value</t>
  </si>
  <si>
    <t>2030 target</t>
  </si>
  <si>
    <t xml:space="preserve">2030 target on baseline value </t>
  </si>
  <si>
    <t>2023/24 Performance</t>
  </si>
  <si>
    <t>2023/24 progress on baseline</t>
  </si>
  <si>
    <t>2022/23 Performance</t>
  </si>
  <si>
    <t>2022/23 progress on baseline</t>
  </si>
  <si>
    <t>Avoided GHG emissions by customers when using our technologies</t>
  </si>
  <si>
    <r>
      <t>tonnes CO</t>
    </r>
    <r>
      <rPr>
        <vertAlign val="subscript"/>
        <sz val="10"/>
        <color theme="1"/>
        <rFont val="Verdana"/>
        <family val="2"/>
      </rPr>
      <t>2</t>
    </r>
    <r>
      <rPr>
        <sz val="10"/>
        <color theme="1"/>
        <rFont val="Verdana"/>
        <family val="2"/>
      </rPr>
      <t>e</t>
    </r>
  </si>
  <si>
    <t>50 million tonnes of GHG emissions avoided per year using technologies enabled by JM's products and solutions, compared to conventional offerings</t>
  </si>
  <si>
    <t>Total Scope 1 and Scope 2 GHG emissions (market-based)</t>
  </si>
  <si>
    <t>Reduction of 44% on baseline 2019/20 value by 2030</t>
  </si>
  <si>
    <t>Scope 3 Purchased Goods and Services</t>
  </si>
  <si>
    <t>Reduction of 42% on baseline 2019/20 value by 2030</t>
  </si>
  <si>
    <t>% recycled PGM</t>
  </si>
  <si>
    <t>Increase recycled PGM content in JM's manufactured products to at least 75%</t>
  </si>
  <si>
    <t>Reduction of 50% on baseline 2019/20 value by 2030</t>
  </si>
  <si>
    <r>
      <t>000's m</t>
    </r>
    <r>
      <rPr>
        <vertAlign val="superscript"/>
        <sz val="11"/>
        <color theme="1"/>
        <rFont val="Verdana"/>
        <family val="2"/>
      </rPr>
      <t>3</t>
    </r>
  </si>
  <si>
    <t>Reduction of 25% on baseline 2019/20 value by 2030</t>
  </si>
  <si>
    <t>TRIIR employees and contractors</t>
  </si>
  <si>
    <t>Achieve a Total Recordable Injury and Illness Rate for employees and contractors below 0.25</t>
  </si>
  <si>
    <t>ICCA - Process Safety Event Severity Rate (PSESR)</t>
  </si>
  <si>
    <t>Reduce our ICCA process safety severity rate to 0.4</t>
  </si>
  <si>
    <t>Employee Engagement</t>
  </si>
  <si>
    <t>Score of min 8 by 2030</t>
  </si>
  <si>
    <t xml:space="preserve">Female representation </t>
  </si>
  <si>
    <t>Achieve more than 40% of female representation across all management level</t>
  </si>
  <si>
    <t>Work with Tony Malone</t>
  </si>
  <si>
    <r>
      <t>We are a global leader in sustainable technologies. Through inspiring science and continued innovation, we are catalysing the net zero transition for millions of people every day. Our skills and technology are more important today as businesses and communities adapt and rise to the challenges of climate change. But sustainability isn’t just about our portfolio of technologies. It’s also about our own operations, how we work together and hold ourselves accountable.
For more information on our methodology, please see our Basis of Reporting on pages</t>
    </r>
    <r>
      <rPr>
        <sz val="12"/>
        <color rgb="FFFF0000"/>
        <rFont val="Verdana"/>
        <family val="2"/>
      </rPr>
      <t xml:space="preserve"> XXX-XXX</t>
    </r>
    <r>
      <rPr>
        <sz val="12"/>
        <color rgb="FF0000CC"/>
        <rFont val="Verdana"/>
        <family val="2"/>
      </rPr>
      <t xml:space="preserve"> of our Annual Report and Accounts 
</t>
    </r>
    <r>
      <rPr>
        <b/>
        <sz val="12"/>
        <color rgb="FF0000CC"/>
        <rFont val="Verdana"/>
        <family val="2"/>
      </rPr>
      <t>Data Scope</t>
    </r>
    <r>
      <rPr>
        <sz val="12"/>
        <color rgb="FF0000CC"/>
        <rFont val="Verdana"/>
        <family val="2"/>
      </rPr>
      <t xml:space="preserve">: These numbers reflect all JM usage and emissions as recorded during the financial years as stated. All data from sites that were sold is included. For some sites that were disposed there is a partial years entry to reflect the usage / emissions that occurred under JM ownership of the site.  
</t>
    </r>
    <r>
      <rPr>
        <b/>
        <sz val="12"/>
        <color rgb="FF0000CC"/>
        <rFont val="Verdana"/>
        <family val="2"/>
      </rPr>
      <t xml:space="preserve">Restatement comment: </t>
    </r>
    <r>
      <rPr>
        <sz val="12"/>
        <color rgb="FF0000CC"/>
        <rFont val="Verdana"/>
        <family val="2"/>
      </rPr>
      <t>Following a review of the methodologies for calculating process CO</t>
    </r>
    <r>
      <rPr>
        <vertAlign val="subscript"/>
        <sz val="12"/>
        <color rgb="FF0000CC"/>
        <rFont val="Verdana"/>
        <family val="2"/>
      </rPr>
      <t>2</t>
    </r>
    <r>
      <rPr>
        <sz val="12"/>
        <color rgb="FF0000CC"/>
        <rFont val="Verdana"/>
        <family val="2"/>
      </rPr>
      <t xml:space="preserve"> emissions in our Clean Air business and a review of the N</t>
    </r>
    <r>
      <rPr>
        <vertAlign val="subscript"/>
        <sz val="12"/>
        <color rgb="FF0000CC"/>
        <rFont val="Verdana"/>
        <family val="2"/>
      </rPr>
      <t>2</t>
    </r>
    <r>
      <rPr>
        <sz val="12"/>
        <color rgb="FF0000CC"/>
        <rFont val="Verdana"/>
        <family val="2"/>
      </rPr>
      <t xml:space="preserve">0 emissions calculations in our Catalyst Technologies business the values have been restated for all years from base year (2019/20). Energy totals have also been restated from previously reported values due to correction of an error in reporting at two of our UK sites. </t>
    </r>
  </si>
  <si>
    <t>Greenhouse gas (GHG) emissions</t>
  </si>
  <si>
    <t>Definition / calculation methodology</t>
  </si>
  <si>
    <t>UK Only</t>
  </si>
  <si>
    <t>Global
(excl UK)</t>
  </si>
  <si>
    <r>
      <t>Scope 1 emissions are the direct Emissions from our sites and come from a number of sources. Scope 1 emissions are emitted following combustion of Fuels at our sites and this encompasses any fuels we consume in our operations (e.g. natural gas, LPG, Diesel etc).  We also emit GHG directly from our processes which comprise of CO</t>
    </r>
    <r>
      <rPr>
        <vertAlign val="subscript"/>
        <sz val="11"/>
        <rFont val="Verdana"/>
        <family val="2"/>
      </rPr>
      <t>2</t>
    </r>
    <r>
      <rPr>
        <sz val="11"/>
        <rFont val="Verdana"/>
        <family val="2"/>
      </rPr>
      <t xml:space="preserve"> or CO</t>
    </r>
    <r>
      <rPr>
        <vertAlign val="subscript"/>
        <sz val="11"/>
        <rFont val="Verdana"/>
        <family val="2"/>
      </rPr>
      <t>2</t>
    </r>
    <r>
      <rPr>
        <sz val="11"/>
        <rFont val="Verdana"/>
        <family val="2"/>
      </rPr>
      <t xml:space="preserve"> equivalents that we directly emit. The GHG that we consider are those mentioned in the Kyoto Protocol and cover CH</t>
    </r>
    <r>
      <rPr>
        <vertAlign val="subscript"/>
        <sz val="11"/>
        <rFont val="Verdana"/>
        <family val="2"/>
      </rPr>
      <t>4</t>
    </r>
    <r>
      <rPr>
        <sz val="11"/>
        <rFont val="Verdana"/>
        <family val="2"/>
      </rPr>
      <t>, N</t>
    </r>
    <r>
      <rPr>
        <vertAlign val="subscript"/>
        <sz val="11"/>
        <rFont val="Verdana"/>
        <family val="2"/>
      </rPr>
      <t>2</t>
    </r>
    <r>
      <rPr>
        <sz val="11"/>
        <rFont val="Verdana"/>
        <family val="2"/>
      </rPr>
      <t>O and refrigerant gases in addition to CO</t>
    </r>
    <r>
      <rPr>
        <vertAlign val="subscript"/>
        <sz val="11"/>
        <rFont val="Verdana"/>
        <family val="2"/>
      </rPr>
      <t>2</t>
    </r>
    <r>
      <rPr>
        <sz val="11"/>
        <rFont val="Verdana"/>
        <family val="2"/>
      </rPr>
      <t xml:space="preserve">.  Scope 1 emissions also include emissions from fuel used in JM owned vehicles.
Scope 1 emissions from fuel use are calculated by applying calorific values and emission factors sourced from DEFRA </t>
    </r>
  </si>
  <si>
    <r>
      <t>tonnes CO</t>
    </r>
    <r>
      <rPr>
        <vertAlign val="subscript"/>
        <sz val="11"/>
        <rFont val="Verdana"/>
        <family val="2"/>
      </rPr>
      <t>2</t>
    </r>
    <r>
      <rPr>
        <sz val="11"/>
        <rFont val="Verdana"/>
        <family val="2"/>
      </rPr>
      <t>e</t>
    </r>
  </si>
  <si>
    <t>Scope 2 are indirect emissions and relates to our electricity and any steam energy that we import onto site that has not be generated by Johnson Matthey burning fuel that has been reported in the scope 1 section above.  
The Market based Greenhouse Gas emission factors for Grid electricity purchases from suppliers that the site / business unit has purposefully chosen.  This is the carbon intensity of purchased electricity. These are obtained in writing direct from the supplier</t>
  </si>
  <si>
    <t xml:space="preserve">Scope 2 are indirect emissions and relates to our electricity and any steam energy that we import onto site that has not be generated by Johnson Matthey burning fuel that has been reported in the scope 1 section above.  
The Location based Greenhouse Gas emission factor for grid electricity purchases uses the carbon intensity from the location of the purchase and is sourced from the most up to date factors from eGrid (USA) DEFRA (UK) and IEA (rest of World). </t>
  </si>
  <si>
    <t>This is our operational GHG footprint using the scope 1 emissions and the market based scope 2 emissions as stated above.</t>
  </si>
  <si>
    <r>
      <t>tonnes CO</t>
    </r>
    <r>
      <rPr>
        <b/>
        <vertAlign val="subscript"/>
        <sz val="11"/>
        <rFont val="Verdana"/>
        <family val="2"/>
      </rPr>
      <t>2</t>
    </r>
    <r>
      <rPr>
        <b/>
        <sz val="11"/>
        <rFont val="Verdana"/>
        <family val="2"/>
      </rPr>
      <t>e</t>
    </r>
  </si>
  <si>
    <t>This is our operational GHG footprint using the scope 1 emissions and the location based scope 2 emissions as stated above.</t>
  </si>
  <si>
    <t xml:space="preserve">This is the total scope 1 GHG emissions and  Scope 2 GHG emissions based on the market values factored against the weight of product sold. </t>
  </si>
  <si>
    <r>
      <t>tonnes CO</t>
    </r>
    <r>
      <rPr>
        <b/>
        <vertAlign val="subscript"/>
        <sz val="11"/>
        <rFont val="Verdana"/>
        <family val="2"/>
      </rPr>
      <t>2</t>
    </r>
    <r>
      <rPr>
        <b/>
        <sz val="11"/>
        <rFont val="Verdana"/>
        <family val="2"/>
      </rPr>
      <t>e/tonnes sales</t>
    </r>
  </si>
  <si>
    <t xml:space="preserve">Scope 3 GHG emissions by category </t>
  </si>
  <si>
    <t>Definition/calculation methodology</t>
  </si>
  <si>
    <t>Total Scope 3 (Category 1) Purchased goods and services GHG emissions</t>
  </si>
  <si>
    <t>Where mass of purchased goods was available, this was used in combination with GHG intensity factors obtained either from suppliers or EcoInvent. For the remaining goods and for purchased services a financial allocation (EEIO model) was used</t>
  </si>
  <si>
    <r>
      <t>tonnes CO</t>
    </r>
    <r>
      <rPr>
        <vertAlign val="subscript"/>
        <sz val="11"/>
        <color rgb="FF000000"/>
        <rFont val="Verdana"/>
        <family val="2"/>
      </rPr>
      <t>2</t>
    </r>
    <r>
      <rPr>
        <sz val="11"/>
        <color rgb="FF000000"/>
        <rFont val="Verdana"/>
        <family val="2"/>
      </rPr>
      <t>e</t>
    </r>
  </si>
  <si>
    <t>Total Scope 3 (Category 2) Capital goods GHG emissions</t>
  </si>
  <si>
    <t>Financial allocation (EEIO model) using geographical breakdown of data shown in Accounting note 12 “Property, plant &amp; equipment” on page 174</t>
  </si>
  <si>
    <t>Total Scope 3 (Category 3) Fuel and Energy-related activities GHG emissions</t>
  </si>
  <si>
    <t>Defra’s GHG reporting conversion factors 2022 were used to calculate well-to-tank GHG emissions from fuel usage, transmission and distribution losses from purchased electricity, and well-to-tank and transmission and distribution losses of energy from steam</t>
  </si>
  <si>
    <t>Total Scope 3 (Category 4) Upstream transportation and distribution GHG emissions</t>
  </si>
  <si>
    <t>Emissions data was provided by our suppliers where available. Otherwise, a financial allocation was made based on spend and intensity factors from the EEIO mode</t>
  </si>
  <si>
    <t>Total Scope 3 (Category 5) Waste generated in operations GHG emissions</t>
  </si>
  <si>
    <t>Where GHG footprints were available from waste service providers they were used, otherwise Defra’s GHG reporting conversion factors 2022 were used according to mass of waste disposal by destination see page 46</t>
  </si>
  <si>
    <t>Total Scope 3 (Category 6) Business travel GHG emissions</t>
  </si>
  <si>
    <t>Footprint business travel for air and rail was obtained from our business travel service providers. Where available mileage for personal car, taxi and public transport use was used in combination with Defra’s GHG reporting conversion factors 2022. In the absence of mileage, a financial allocation was made based on expenses spend and intensity factors from the EEIO model. Accounting is by date of financial transaction</t>
  </si>
  <si>
    <t>Total Scope 3 (Category 7) Employee commuting GHG emissions</t>
  </si>
  <si>
    <t>Data is obtained by employee survey of miles travelled per week by modes of transport. Defra’s GHG reporting conversion factors 2022 are used to calculate the GHG intensity of each transport type</t>
  </si>
  <si>
    <t>Total Scope 3 (Category 8) Upstream leased assets GHG emissions</t>
  </si>
  <si>
    <t>Financial allocation (EEIO model) using floor space and geographical location</t>
  </si>
  <si>
    <t>Total Scope 3 (Category 9) Downstream transportation and distribution GHG emissions</t>
  </si>
  <si>
    <t>Where JM takes responsibility for the downstream distribution of goods, it was included in the upstream category calculation. Where our customers takes responsibility, no data is available</t>
  </si>
  <si>
    <t>Total Scope 3 (Category 10) Processing of sold products GHG emissions</t>
  </si>
  <si>
    <t>No quantitative data available, but not expected to be material based on our knowledge of how our customers use our products</t>
  </si>
  <si>
    <t>Total Scope 3 (Category 11) Use of sold products GHG emissions</t>
  </si>
  <si>
    <t>We have removed Use of sold products from our footprint by agreement with SBTi, as it determined that the emissions we reported in this category were ‘indirect’ and should not, therefore, be included.</t>
  </si>
  <si>
    <t>Total Scope 3 (Category 12)  End of life treatment of sold products GHG emissions</t>
  </si>
  <si>
    <t>Many of JM’s products are returned to the company for recovery of the precious metals and thus end of life treatment is included in our Scope 1 and Scope 2 footprint. JM does not have visibility of other end of life treatments</t>
  </si>
  <si>
    <t>Total Scope 3 (Category 13) Downstream leased assets GHG emissions</t>
  </si>
  <si>
    <t>Included in Upstream leased assets category</t>
  </si>
  <si>
    <t>Total Scope 3 (Category 14) Franchises GHG emissions</t>
  </si>
  <si>
    <t>JM does not have any franchises</t>
  </si>
  <si>
    <t>Total Scope 3 (Category 15) Investments GHG emissions</t>
  </si>
  <si>
    <t>GHG footprints from our Pensions trustee providers were used, where available, and scaled to represent JM's global employee count. Financial allocation (EEIO model) using geographical breakdown of investment revenues from each entity</t>
  </si>
  <si>
    <t xml:space="preserve">Total </t>
  </si>
  <si>
    <r>
      <t>tonnes CO</t>
    </r>
    <r>
      <rPr>
        <b/>
        <vertAlign val="subscript"/>
        <sz val="11"/>
        <color rgb="FF000000"/>
        <rFont val="Verdana"/>
        <family val="2"/>
      </rPr>
      <t>2</t>
    </r>
    <r>
      <rPr>
        <b/>
        <sz val="11"/>
        <color rgb="FF000000"/>
        <rFont val="Verdana"/>
        <family val="2"/>
      </rPr>
      <t>e</t>
    </r>
  </si>
  <si>
    <t>Total GHG emissions</t>
  </si>
  <si>
    <t>Purchased Goods and Services</t>
  </si>
  <si>
    <t>All other Scope 3 categories</t>
  </si>
  <si>
    <t>Total</t>
  </si>
  <si>
    <t>Environmental KPIs</t>
  </si>
  <si>
    <t xml:space="preserve">Water withdrawal by source </t>
  </si>
  <si>
    <t>Total municipal water supplies</t>
  </si>
  <si>
    <t>This is fresh water that is supplied to site via mains pipework.</t>
  </si>
  <si>
    <r>
      <t>m</t>
    </r>
    <r>
      <rPr>
        <vertAlign val="superscript"/>
        <sz val="11"/>
        <color theme="1"/>
        <rFont val="Verdana"/>
        <family val="2"/>
      </rPr>
      <t>3</t>
    </r>
  </si>
  <si>
    <t>Fresh surface water</t>
  </si>
  <si>
    <t>This is water that is extracted from fresh surface water</t>
  </si>
  <si>
    <t>Fresh groundwater</t>
  </si>
  <si>
    <t xml:space="preserve">Water in soil beneath the soil surface, usually under conditions where the pressure in the water is greater than the atmospheric pressure, and the soil voids are substantially filled with the water. </t>
  </si>
  <si>
    <t xml:space="preserve">Total water withdrawal </t>
  </si>
  <si>
    <t xml:space="preserve">This is the total fresh mains water, water extracted from the surface of the earth and water extracted from beneath the ground. </t>
  </si>
  <si>
    <r>
      <t>m</t>
    </r>
    <r>
      <rPr>
        <b/>
        <vertAlign val="superscript"/>
        <sz val="11"/>
        <color theme="1"/>
        <rFont val="Verdana"/>
        <family val="2"/>
      </rPr>
      <t>3</t>
    </r>
  </si>
  <si>
    <t>Water discharge</t>
  </si>
  <si>
    <t>Wastewater returned to the source of extraction at similar or higher quality as raw water extracted</t>
  </si>
  <si>
    <t>This is wastewater that is returned to its original source and is of equal or higher quality than the water that was originally extracted. In JM we only consider water returned to surface or ground water for this indicator.</t>
  </si>
  <si>
    <t>Water consumption</t>
  </si>
  <si>
    <t>Net Fresh Water consumption</t>
  </si>
  <si>
    <t>This indicator equates the net fresh waterusage indicator as per the DJSI reporting criteria. This equates to the fresh water takn into site from mains, surface and groundwater which is adjusted for any water that is returned to fresh surface or groundwater.</t>
  </si>
  <si>
    <r>
      <t>000's m</t>
    </r>
    <r>
      <rPr>
        <b/>
        <vertAlign val="superscript"/>
        <sz val="11"/>
        <color theme="1"/>
        <rFont val="Verdana"/>
        <family val="2"/>
      </rPr>
      <t>3</t>
    </r>
  </si>
  <si>
    <t>This indicator equates the net fresh water usage indicator as per the DJSI reporting criteria in areas that are rated as "high" or "extremely High" baseline water stress under the WRI Aqueduct model. This equates to the fresh water takn into site from mains, fresh surface water and fresh groundwater. This is then adjusted for any water that is returned at the same or at higher quality to fresh surface water or fresh groundwater.
The JM facility coordinates are entered into the WRI Aqueduct model and the Baseline Water Stress is calculated. Baseline water stress measures the ratio of total water withdrawals to available renewable surface water and groundwater supplies. Water withdrawals include domestic, industrial, irrigation, and livestock consumptive and nonconsumptive uses. Available renewable water supplies include the impact of upstream consumptive water users and large dams on downstream water availability. Higher values indicate more competition among users.</t>
  </si>
  <si>
    <r>
      <t>000's m</t>
    </r>
    <r>
      <rPr>
        <b/>
        <vertAlign val="superscript"/>
        <sz val="11"/>
        <rFont val="Verdana"/>
        <family val="2"/>
      </rPr>
      <t>3</t>
    </r>
  </si>
  <si>
    <t>Average COD of waste water discharge</t>
  </si>
  <si>
    <t>Total wastewater discharged</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</si>
  <si>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treatement that is returned to the groundwater source from which it was originally extracted.</t>
  </si>
  <si>
    <r>
      <t>m</t>
    </r>
    <r>
      <rPr>
        <b/>
        <vertAlign val="superscript"/>
        <sz val="11"/>
        <color rgb="FF000000"/>
        <rFont val="Verdana"/>
        <family val="2"/>
      </rPr>
      <t>3</t>
    </r>
  </si>
  <si>
    <t>This is the Chemical Oxygen Demand (COD) of the wastewater that JM discharges from site. Chemical oxygen demand is a measure of the capacity of water to consume oxygen during the decomposition of organic matter and the oxidation of inorganic chemicals such as Ammonia and nitrite. COD is seen as being an indicator of chemical contamination in water. COD is measured on wastewaters discharged from site</t>
  </si>
  <si>
    <t>% waste water discharge covered by COD data</t>
  </si>
  <si>
    <t>This represents the amount of wastewater at JM where COD is routinely measured.</t>
  </si>
  <si>
    <t>Total waste generated and sent off site</t>
  </si>
  <si>
    <t>Liquid hazardous waste</t>
  </si>
  <si>
    <t>Hazardous waste is material deemed hazardous under the terms of the Basel Convention Annex I, II, III, 179 and VIII.  A solid waste is any item that is transported in a skip or similar container that cannot be poured</t>
  </si>
  <si>
    <t>Solid hazardous waste</t>
  </si>
  <si>
    <t>Hazardous waste is material deemed hazardous under the terms of the Basel Convention Annex I, II, III, 179 and VIII.  A liquid waste is any item that can be poured and is transported in IBC, tanker or sealed container</t>
  </si>
  <si>
    <t>Liquid non-hazardous waste</t>
  </si>
  <si>
    <t>Non Hazardous waste is material that is not deemed hazardous under the terms of the Basel Convention Annex I, II, III, 179 and VIII.  A solid waste is any item that is transported in a skip or similar container that cannot be poured</t>
  </si>
  <si>
    <t>Solid non-hazardous waste</t>
  </si>
  <si>
    <t>Non Hazardous waste is material not deemed hazardous under the terms of the Basel Convention Annex I, II, III, 179 and VIII.  A liquid waste is any item that can be poured and is transported in IBC, tanker or sealed container</t>
  </si>
  <si>
    <t>Total hazardous waste sent off site</t>
  </si>
  <si>
    <t>Waste is recorded under various classifications across JM as either hazardous or non hazardous. The total waste represents all the waste that is generated by JM operations and that is sent outside of JM for treatment or disposal.</t>
  </si>
  <si>
    <t>Waste directed to off site disposal</t>
  </si>
  <si>
    <t>Non-hazardous waste disposed through incineration with energy recovery</t>
  </si>
  <si>
    <t xml:space="preserve"> The waste is disposed of through incineration were energy is recovered and used to generate heat locally or energy that is used locally or exported to an energy grid. Non Hazardous waste is material that is not deemed hazardous under the terms of the Basel Convention Annex I, II, III, 179 and VIII.</t>
  </si>
  <si>
    <t>Non-hazardous waste disposed through incineration or treatment without energy recovery</t>
  </si>
  <si>
    <t>The waste that is sent off site to be incinerated or treated in any other way before final disposai.  Non Hazardous waste is material that is not deemed hazardous under the terms of the Basel Convention Annex I, II, III, 179 and VIII.</t>
  </si>
  <si>
    <t>Non-hazardous waste disposed to landfill</t>
  </si>
  <si>
    <t>The waste is disposed of by burial in a landfill site. Non Hazardous waste is material that is not deemed hazardous under the terms of the Basel Convention Annex I, II, III, 179 and VIII.</t>
  </si>
  <si>
    <r>
      <t>Total non-hazardous waste disposed</t>
    </r>
    <r>
      <rPr>
        <b/>
        <vertAlign val="superscript"/>
        <sz val="11"/>
        <rFont val="Verdana"/>
        <family val="2"/>
      </rPr>
      <t>7</t>
    </r>
  </si>
  <si>
    <t xml:space="preserve">This is the total non hazardous waste that is disposed of by the methods mentioned above. </t>
  </si>
  <si>
    <t>Hazardous waste disposed through incineration with energy recovery</t>
  </si>
  <si>
    <t xml:space="preserve"> The waste is disposed of through incineration were energy is recovered and used to generate heat locally or energy that is used locally or exported to an energy grid. Hazardous waste is material that is deemed hazardous under the terms of the Basel Convention Annex I, II, III, 179 and VIII.</t>
  </si>
  <si>
    <t>Hazardous waste disposed through incineration or treatment without energy recovery</t>
  </si>
  <si>
    <t>The waste that is sent off site to be incinerated or treated in any other way before final disposai.  Hazardous waste is material that is deemed hazardous under the terms of the Basel Convention Annex I, II, III, 179 and VIII.</t>
  </si>
  <si>
    <t>Hazardous waste disposed to landfill</t>
  </si>
  <si>
    <t>The waste is disposed of by burial in a landfill site. Hazardous waste is material that is deemed hazardous under the terms of the Basel Convention Annex I, II, III, 179 and VIII.</t>
  </si>
  <si>
    <t>Total hazardous waste disposed</t>
  </si>
  <si>
    <t xml:space="preserve">This is the total hazardous waste that is disposed of by the methods mentioned above. </t>
  </si>
  <si>
    <t xml:space="preserve">Total waste disposed </t>
  </si>
  <si>
    <t>This is the total waste that is disposed of by incinerations with energy recovery, incineration or treatment prior to disposal or sent to landfill.</t>
  </si>
  <si>
    <t>Total waste disposed to landfill</t>
  </si>
  <si>
    <t>This is the total waste that is disposed of by burying at landfill.</t>
  </si>
  <si>
    <t>Waste diverted from off site disposal</t>
  </si>
  <si>
    <t>Non-hazardous waste  reused</t>
  </si>
  <si>
    <t>Non-hazardous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Non Hazardous waste is material not deemed hazardous under the terms of the Basel Convention Annex I, II, III, 179 and VIII.</t>
  </si>
  <si>
    <t>Hazardous waste  reused</t>
  </si>
  <si>
    <t>Hazardous waste that is sent off site to be reused. A waste stream can be reported as  "re-used" if the beneficiary takes the material at no cost to JM (including paying for transportation off the JM site). If JM pays the cost of transport, then it should be reported as "recycled" rather than re-used.   Hazardous waste is material deemed hazardous under the terms of the Basel Convention Annex I, II, III, 179 and VIII.</t>
  </si>
  <si>
    <t>Non-hazardous waste recycled</t>
  </si>
  <si>
    <t>Non-hazardous waste that is sent off site to be recycled. A waste stream can be reported as  "recycled" if  material can be recovered and then used again in place of virgin raw materials. Non Hazardous waste is material not deemed hazardous under the terms of the Basel Convention Annex I, II, III, 179 and VIII.</t>
  </si>
  <si>
    <t>Hazardous waste recycled</t>
  </si>
  <si>
    <t>Hazardous waste that is sent off site to be recycled. A waste stream can be reported as  "recycled" if  material can be recovered and then used again in place of virgin raw materials. Hazardous waste is material deemed hazardous under the terms of the Basel Convention Annex I, II, III, 179 and VIII.</t>
  </si>
  <si>
    <t>Total waste recycled or reused</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</si>
  <si>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</si>
  <si>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t xml:space="preserve">Non-hazardous waste recycled or Re-used  </t>
  </si>
  <si>
    <t>Expressed as a percentage of the total waste sent offsite for disposal by JM.</t>
  </si>
  <si>
    <t xml:space="preserve">Hazardous waste recycled or Re-used </t>
  </si>
  <si>
    <t xml:space="preserve">Total waste recycled or reused </t>
  </si>
  <si>
    <t>Solid waste disposed off site</t>
  </si>
  <si>
    <t>Total solid waste generated</t>
  </si>
  <si>
    <t>This represents the total solid waste (hazardous and non hazardous that JM generates and that requires treatment or disposal outside of JM.</t>
  </si>
  <si>
    <t>Total solid waste reused</t>
  </si>
  <si>
    <t>This represents the total solid waste (hazardous + non hazardous) that is sent to reuse outside of JM</t>
  </si>
  <si>
    <t>Total solid waste recycled</t>
  </si>
  <si>
    <t>This represents the total solid waste (hazardous + non hazardous that is sent to recycling outside JM</t>
  </si>
  <si>
    <t>Total solid waste disposed</t>
  </si>
  <si>
    <t>This represents the total solid waste (hazardous + non hazardous) that is disposed of outside JM</t>
  </si>
  <si>
    <t>Emissions to air %age coverage</t>
  </si>
  <si>
    <r>
      <t>Nitrogen oxides (NO</t>
    </r>
    <r>
      <rPr>
        <vertAlign val="subscript"/>
        <sz val="11"/>
        <rFont val="Verdana"/>
        <family val="2"/>
      </rPr>
      <t>x</t>
    </r>
    <r>
      <rPr>
        <sz val="11"/>
        <rFont val="Verdana"/>
        <family val="2"/>
      </rPr>
      <t>) emissions to air</t>
    </r>
  </si>
  <si>
    <r>
      <t>This is the generation of nitric oxides either through high temperature combustion processes or by the use of concentrated nitric acid in production processes. Including Nitric Oxide (NO), Nitrogen Dioxide (NO</t>
    </r>
    <r>
      <rPr>
        <vertAlign val="subscript"/>
        <sz val="11"/>
        <rFont val="Verdana"/>
        <family val="2"/>
      </rPr>
      <t>2</t>
    </r>
    <r>
      <rPr>
        <sz val="11"/>
        <rFont val="Verdana"/>
        <family val="2"/>
      </rPr>
      <t>) Dinitrogen Dioxide (N</t>
    </r>
    <r>
      <rPr>
        <vertAlign val="subscript"/>
        <sz val="11"/>
        <rFont val="Verdana"/>
        <family val="2"/>
      </rPr>
      <t>2</t>
    </r>
    <r>
      <rPr>
        <sz val="11"/>
        <rFont val="Verdana"/>
        <family val="2"/>
      </rPr>
      <t>O</t>
    </r>
    <r>
      <rPr>
        <vertAlign val="subscript"/>
        <sz val="11"/>
        <rFont val="Verdana"/>
        <family val="2"/>
      </rPr>
      <t>2</t>
    </r>
    <r>
      <rPr>
        <sz val="11"/>
        <rFont val="Verdana"/>
        <family val="2"/>
      </rPr>
      <t>) and Dinitrogen Trioxide (N</t>
    </r>
    <r>
      <rPr>
        <vertAlign val="subscript"/>
        <sz val="11"/>
        <rFont val="Verdana"/>
        <family val="2"/>
      </rPr>
      <t>2</t>
    </r>
    <r>
      <rPr>
        <sz val="11"/>
        <rFont val="Verdana"/>
        <family val="2"/>
      </rPr>
      <t>O</t>
    </r>
    <r>
      <rPr>
        <vertAlign val="subscript"/>
        <sz val="11"/>
        <rFont val="Verdana"/>
        <family val="2"/>
      </rPr>
      <t>3</t>
    </r>
    <r>
      <rPr>
        <sz val="11"/>
        <rFont val="Verdana"/>
        <family val="2"/>
      </rPr>
      <t xml:space="preserve">). </t>
    </r>
  </si>
  <si>
    <r>
      <t>Sulphur oxides (SO</t>
    </r>
    <r>
      <rPr>
        <vertAlign val="subscript"/>
        <sz val="11"/>
        <rFont val="Verdana"/>
        <family val="2"/>
      </rPr>
      <t>x</t>
    </r>
    <r>
      <rPr>
        <sz val="11"/>
        <rFont val="Verdana"/>
        <family val="2"/>
      </rPr>
      <t>) emissions to air</t>
    </r>
  </si>
  <si>
    <r>
      <t>Usually generated from high temperature combustion involving contaminants in the fuel source. Sulphur Dioxide (SO</t>
    </r>
    <r>
      <rPr>
        <vertAlign val="subscript"/>
        <sz val="11"/>
        <rFont val="Verdana"/>
        <family val="2"/>
      </rPr>
      <t>2</t>
    </r>
    <r>
      <rPr>
        <sz val="11"/>
        <rFont val="Verdana"/>
        <family val="2"/>
      </rPr>
      <t>) is one of a group of gases called sulphur oxides (SO</t>
    </r>
    <r>
      <rPr>
        <vertAlign val="subscript"/>
        <sz val="11"/>
        <rFont val="Verdana"/>
        <family val="2"/>
      </rPr>
      <t>x</t>
    </r>
    <r>
      <rPr>
        <sz val="11"/>
        <rFont val="Verdana"/>
        <family val="2"/>
      </rPr>
      <t>). The other gases in the group are much less common in the atmosphere  e.g. SO</t>
    </r>
    <r>
      <rPr>
        <vertAlign val="subscript"/>
        <sz val="11"/>
        <rFont val="Verdana"/>
        <family val="2"/>
      </rPr>
      <t>3</t>
    </r>
    <r>
      <rPr>
        <sz val="11"/>
        <rFont val="Verdana"/>
        <family val="2"/>
      </rPr>
      <t xml:space="preserve"> and SO (Sulphur Trioxide and Sulphur Monoxide).</t>
    </r>
  </si>
  <si>
    <t>Volatile organic compounds/chemicals (VOCs) are a large group of organic chemicals that include any compound of carbon (excluding carbon monoxide, carbon dioxide, carbonic acid, metallic carbides or carbonates, and ammonium carbonate). Full details behind VOC can be found on technical websites such as https://www.epa.gov/indoor-air-quality-iaq/technical-overview-volatile-organic-compounds</t>
  </si>
  <si>
    <r>
      <t>Coverage for NO</t>
    </r>
    <r>
      <rPr>
        <vertAlign val="subscript"/>
        <sz val="11"/>
        <rFont val="Verdana"/>
        <family val="2"/>
      </rPr>
      <t>x</t>
    </r>
    <r>
      <rPr>
        <sz val="11"/>
        <rFont val="Verdana"/>
        <family val="2"/>
      </rPr>
      <t xml:space="preserve"> reporting</t>
    </r>
  </si>
  <si>
    <r>
      <t>This represents the percentage of JM operational sites reporting NO</t>
    </r>
    <r>
      <rPr>
        <vertAlign val="subscript"/>
        <sz val="11"/>
        <rFont val="Verdana"/>
        <family val="2"/>
      </rPr>
      <t>x</t>
    </r>
    <r>
      <rPr>
        <sz val="11"/>
        <rFont val="Verdana"/>
        <family val="2"/>
      </rPr>
      <t xml:space="preserve"> values.</t>
    </r>
  </si>
  <si>
    <r>
      <t>Coverage for SO</t>
    </r>
    <r>
      <rPr>
        <vertAlign val="subscript"/>
        <sz val="11"/>
        <rFont val="Verdana"/>
        <family val="2"/>
      </rPr>
      <t>x</t>
    </r>
    <r>
      <rPr>
        <sz val="11"/>
        <rFont val="Verdana"/>
        <family val="2"/>
      </rPr>
      <t xml:space="preserve"> reporting</t>
    </r>
  </si>
  <si>
    <r>
      <t>This represents the percentage of JM operational sites reporting SO</t>
    </r>
    <r>
      <rPr>
        <vertAlign val="subscript"/>
        <sz val="11"/>
        <rFont val="Verdana"/>
        <family val="2"/>
      </rPr>
      <t>x</t>
    </r>
    <r>
      <rPr>
        <sz val="11"/>
        <rFont val="Verdana"/>
        <family val="2"/>
      </rPr>
      <t xml:space="preserve"> values.</t>
    </r>
  </si>
  <si>
    <t>This represents the percentage of JM operational sites reporting VOCs values.</t>
  </si>
  <si>
    <t>Energy Use</t>
  </si>
  <si>
    <t>This is the total energy consumed by JM (expressed in MWh in the operations that it controls. Energy can be from fuels and covers Natural Gas, Diesel, Gasoline, LPG, LNG and fuel oil. Energyu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</si>
  <si>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energy used by the business divided by amount of materials sold to customers.</t>
  </si>
  <si>
    <t>Energy indicators (KPIs)</t>
  </si>
  <si>
    <t>Total
FY2022/23</t>
  </si>
  <si>
    <t>Total
FY2021/22</t>
  </si>
  <si>
    <t>Total*
FY2020/21</t>
  </si>
  <si>
    <t>Total
FY2019/20</t>
  </si>
  <si>
    <t>1. Total energy consumption</t>
  </si>
  <si>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</si>
  <si>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GJ</t>
  </si>
  <si>
    <t>2. Total Electricity consumption</t>
  </si>
  <si>
    <t>This is the total amount of electrical energy used on site (expressed in GJ)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</si>
  <si>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3. Total Natural gas consumption</t>
  </si>
  <si>
    <t>This is the energy from natural gas use (expressed as GJ)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</si>
  <si>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4. Total non-renewable energy consumption</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</si>
  <si>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</si>
  <si>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a) Non-renewable fuels purchased and consumed</t>
  </si>
  <si>
    <t>This is the total energy consumed by JM (expressed in Gj) in the operations that it controls. Energy from non renewable fuels and covers Natural Gas, Diesel, Gasoline, LPG, LNG and fuel oil. The volume or weight of the fuel is converted into an energy value by applying calorific values sourced from the most up to date version of the DEFRA emissions factors data set.</t>
  </si>
  <si>
    <t>b) Non-renewable electricity purchased</t>
  </si>
  <si>
    <t>This is the total of non renewable electrical energy (expressed as GJ) purchased from a grid that is consumed for site operations. Values are taken from supplier invoices that cover the time period in question.</t>
  </si>
  <si>
    <t>c) Steam/heating/cooling and other energy (non-renewable) purchased</t>
  </si>
  <si>
    <t>This is the steam energy (expressed as GJ)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</si>
  <si>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d) Non-renewable energy from the fuel used or mileage travelled by JM controlled vehicles on company business</t>
  </si>
  <si>
    <t xml:space="preserve">This is the energy used from either the direct fuel used or mileage traveled by JM vehicles or JM employees in road vehicles when on company business. </t>
  </si>
  <si>
    <t>n/a</t>
  </si>
  <si>
    <t>5. Total renewable energy purchased or generated</t>
  </si>
  <si>
    <t>This is the total amount of renewable energy (expressed as GJ) supplied to site or generated on site for use in our operations. The energy is certified renewable or is purchased as a renewable supply.</t>
  </si>
  <si>
    <t>This is the total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</si>
  <si>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amount of electrical energy used on site (expressed in kWh) and includes all grid supplied electricity. It also includes 100% Renewable Electricity (NOT grid connected) purchased locally from 3rd party generator - Electricity which is generated locally from renewable sources either on or directly connected to a JM site (e.g. solar, wind, hydro…). The facility will be owned and operated by a 3rd party. It also includes 100% renewable electricity generated from facility owned &amp; operated by JM - This will be generated from an installation owned and operated by JM staff. It also includes all non renewable elctrical energy generated by JM on site (i.e. not provided from an external grid).</t>
  </si>
  <si>
    <t>This is the energy from natural gas use (expressed as kWh) that is used within JM processes. The gas use my be reported as an energy amount (id billed in that way) or the natural gas usage gas is converted to energy by applying a calorific value to s metered volume of gas used. Calorific values are taken from the miost up to date DEFRA conversion factors data at the time of reporting.</t>
  </si>
  <si>
    <t>This is the total non renewable energy consumed by JM (expressed in kWh)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</si>
  <si>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This is the total of non renewable electrical energy (expressed as kWh) purchased from a grid that is consumed for site operations. Values are taken from supplier invoices that cover the time period in question.</t>
  </si>
  <si>
    <t>This is the steam energy (expressed as kWh) purchased from a supplier and not produced on a JM site. The steam is supplied by consuming non renewable energy sources by the supplier.  The steam is supplied as a weight and this is converted to an energy using temperatures, pressures and latent heat of the supplied energy.</t>
  </si>
  <si>
    <t>This is the total amount of renewable electricity supplied to site or generated on site as a percentage of the total electricity used by JM. The total amount includes non renewable electricity generated by JM on our own sites as well as all electricit supplied to JM through  grid or direct connection.</t>
  </si>
  <si>
    <t>(%)</t>
  </si>
  <si>
    <t>Compliance with environmental laws and regulations</t>
  </si>
  <si>
    <t>Definition / Calculation methodology</t>
  </si>
  <si>
    <t>Total monetary value of significant fines</t>
  </si>
  <si>
    <t>Significant fines during the year</t>
  </si>
  <si>
    <t>£</t>
  </si>
  <si>
    <r>
      <t xml:space="preserve">For more information on our methodology, please see our Basis of Reporting on pages 210-215 of our Annual Report and Accounts 2024
</t>
    </r>
    <r>
      <rPr>
        <b/>
        <sz val="12"/>
        <color theme="4"/>
        <rFont val="Verdana"/>
        <family val="2"/>
      </rPr>
      <t>Rebaseline statement: JM has updated the baseline data to take account of all businesses sold in the period from 1</t>
    </r>
    <r>
      <rPr>
        <b/>
        <vertAlign val="superscript"/>
        <sz val="12"/>
        <color theme="4"/>
        <rFont val="Verdana"/>
        <family val="2"/>
      </rPr>
      <t>st</t>
    </r>
    <r>
      <rPr>
        <b/>
        <sz val="12"/>
        <color theme="4"/>
        <rFont val="Verdana"/>
        <family val="2"/>
      </rPr>
      <t xml:space="preserve"> April 2019 through to 31</t>
    </r>
    <r>
      <rPr>
        <b/>
        <vertAlign val="superscript"/>
        <sz val="12"/>
        <color theme="4"/>
        <rFont val="Verdana"/>
        <family val="2"/>
      </rPr>
      <t>st</t>
    </r>
    <r>
      <rPr>
        <b/>
        <sz val="12"/>
        <color theme="4"/>
        <rFont val="Verdana"/>
        <family val="2"/>
      </rPr>
      <t xml:space="preserve"> March 2024. Data from the sold businesses has been removed from the rebaselined data set. Where JM has ceased operations voluntarily and sites have been closed then these data remain in the rebaselined data.</t>
    </r>
  </si>
  <si>
    <t>Performance against prior year</t>
  </si>
  <si>
    <t>Performance against 2019/20 baseline</t>
  </si>
  <si>
    <r>
      <t>tonnes CO</t>
    </r>
    <r>
      <rPr>
        <vertAlign val="subscript"/>
        <sz val="12"/>
        <color rgb="FF000000"/>
        <rFont val="Verdana"/>
        <family val="2"/>
      </rPr>
      <t>2</t>
    </r>
    <r>
      <rPr>
        <sz val="12"/>
        <color rgb="FF000000"/>
        <rFont val="Verdana"/>
        <family val="2"/>
      </rPr>
      <t>e</t>
    </r>
  </si>
  <si>
    <t>Total Scope 3 (all categories) GHG emissions</t>
  </si>
  <si>
    <r>
      <t>tonnes CO</t>
    </r>
    <r>
      <rPr>
        <b/>
        <vertAlign val="subscript"/>
        <sz val="12"/>
        <color rgb="FF000000"/>
        <rFont val="Verdana"/>
        <family val="2"/>
      </rPr>
      <t>2</t>
    </r>
    <r>
      <rPr>
        <b/>
        <sz val="12"/>
        <color rgb="FF000000"/>
        <rFont val="Verdana"/>
        <family val="2"/>
      </rPr>
      <t>e</t>
    </r>
  </si>
  <si>
    <t>Total GHG emissions and intensity</t>
  </si>
  <si>
    <t>Total (Scope 1 + 2 + 3) GHG emissions</t>
  </si>
  <si>
    <t>Total (Scope 1 + 2 + 3) GHG intensity per tonne product sold</t>
  </si>
  <si>
    <r>
      <t>tonnes CO</t>
    </r>
    <r>
      <rPr>
        <vertAlign val="subscript"/>
        <sz val="12"/>
        <rFont val="Verdana"/>
        <family val="2"/>
      </rPr>
      <t>2</t>
    </r>
    <r>
      <rPr>
        <sz val="12"/>
        <rFont val="Verdana"/>
        <family val="2"/>
      </rPr>
      <t>e/tonne product</t>
    </r>
  </si>
  <si>
    <t>Total (Scope 1 + 2 + 3) GHG intensity per £M revenue</t>
  </si>
  <si>
    <r>
      <t>tonnes CO</t>
    </r>
    <r>
      <rPr>
        <vertAlign val="subscript"/>
        <sz val="12"/>
        <rFont val="Verdana"/>
        <family val="2"/>
      </rPr>
      <t>2</t>
    </r>
    <r>
      <rPr>
        <sz val="12"/>
        <rFont val="Verdana"/>
        <family val="2"/>
      </rPr>
      <t>e/£M revenue</t>
    </r>
  </si>
  <si>
    <t>Avoided GHG emissions</t>
  </si>
  <si>
    <t>2020/21
(baseline year)</t>
  </si>
  <si>
    <t>Total Avoided GHG emissions from customer applications of our technologies</t>
  </si>
  <si>
    <t>Certified renewable energy consumption</t>
  </si>
  <si>
    <t>Categorisation  of energy sources (KPIs)</t>
  </si>
  <si>
    <t>a) renewable electricity purchased or generated</t>
  </si>
  <si>
    <t>b) renewable fuels and steam purchased or generated</t>
  </si>
  <si>
    <t>Water discharge by destination</t>
  </si>
  <si>
    <t>Total water returned to the source of extraction at similar or higher quality as raw water extracted</t>
  </si>
  <si>
    <t>Total which goes to municipal treatment</t>
  </si>
  <si>
    <t>Average COD of wastewater discharge</t>
  </si>
  <si>
    <t>% freshwater consumed in regions of high or extremely high baseline water stress</t>
  </si>
  <si>
    <t>Types of waste produced and sent off site for treatment by a third party</t>
  </si>
  <si>
    <t>Methods of waste treatment applied by our third party providers</t>
  </si>
  <si>
    <t>Total waste reused</t>
  </si>
  <si>
    <t>Total waste recycled</t>
  </si>
  <si>
    <t>Total non-hazardous waste disposed</t>
  </si>
  <si>
    <t>Hazardous waste disposed through incineration without energy recovery</t>
  </si>
  <si>
    <t>Total waste disposed off site to landfill</t>
  </si>
  <si>
    <t>Non-hazardous waste reused</t>
  </si>
  <si>
    <t>Hazardous waste reused</t>
  </si>
  <si>
    <t xml:space="preserve">Non-hazardous waste recycled and reused  </t>
  </si>
  <si>
    <t xml:space="preserve">Hazardous waste recycled and reused  </t>
  </si>
  <si>
    <t xml:space="preserve">Total waste recycled and reused </t>
  </si>
  <si>
    <t>Total solid waste sent off site to be reused</t>
  </si>
  <si>
    <t>Total solid waste sent off site to be recycled</t>
  </si>
  <si>
    <t>Emissions to air</t>
  </si>
  <si>
    <r>
      <t>Nitrogen oxides (NO</t>
    </r>
    <r>
      <rPr>
        <vertAlign val="subscript"/>
        <sz val="12"/>
        <rFont val="Verdana"/>
        <family val="2"/>
      </rPr>
      <t>x</t>
    </r>
    <r>
      <rPr>
        <sz val="12"/>
        <rFont val="Verdana"/>
        <family val="2"/>
      </rPr>
      <t>) emissions to air</t>
    </r>
  </si>
  <si>
    <r>
      <t>Sulphur oxides (SO</t>
    </r>
    <r>
      <rPr>
        <vertAlign val="subscript"/>
        <sz val="12"/>
        <rFont val="Verdana"/>
        <family val="2"/>
      </rPr>
      <t>x</t>
    </r>
    <r>
      <rPr>
        <sz val="12"/>
        <rFont val="Verdana"/>
        <family val="2"/>
      </rPr>
      <t>) emissions to air</t>
    </r>
  </si>
  <si>
    <r>
      <t>Coverage for NO</t>
    </r>
    <r>
      <rPr>
        <vertAlign val="subscript"/>
        <sz val="12"/>
        <rFont val="Verdana"/>
        <family val="2"/>
      </rPr>
      <t>x</t>
    </r>
    <r>
      <rPr>
        <sz val="12"/>
        <rFont val="Verdana"/>
        <family val="2"/>
      </rPr>
      <t xml:space="preserve"> reporting</t>
    </r>
  </si>
  <si>
    <r>
      <t>Coverage for SO</t>
    </r>
    <r>
      <rPr>
        <vertAlign val="subscript"/>
        <sz val="12"/>
        <rFont val="Verdana"/>
        <family val="2"/>
      </rPr>
      <t>x</t>
    </r>
    <r>
      <rPr>
        <sz val="12"/>
        <rFont val="Verdana"/>
        <family val="2"/>
      </rPr>
      <t xml:space="preserve"> reporting</t>
    </r>
  </si>
  <si>
    <t>Total products sold</t>
  </si>
  <si>
    <t>Tonnes of product sold</t>
  </si>
  <si>
    <t>tonnes of product sold</t>
  </si>
  <si>
    <t xml:space="preserve">Revenue </t>
  </si>
  <si>
    <t>£M</t>
  </si>
  <si>
    <t>#</t>
  </si>
  <si>
    <r>
      <t>The data below represents Johnson Matthey's People information as at 31</t>
    </r>
    <r>
      <rPr>
        <vertAlign val="superscript"/>
        <sz val="11"/>
        <color theme="4"/>
        <rFont val="Verdana"/>
        <family val="2"/>
      </rPr>
      <t>st</t>
    </r>
    <r>
      <rPr>
        <sz val="11"/>
        <color theme="4"/>
        <rFont val="Verdana"/>
        <family val="2"/>
      </rPr>
      <t xml:space="preserve"> March 2024 (for 2023/24), unless otherwise stated, and is reported on the basis of our Basis of Reporting on page 210 of our Annual Report and Accounts 2024</t>
    </r>
  </si>
  <si>
    <t>Workers</t>
  </si>
  <si>
    <r>
      <rPr>
        <b/>
        <sz val="12"/>
        <color rgb="FF000000"/>
        <rFont val="Verdana"/>
        <family val="2"/>
      </rPr>
      <t>Total as at 31</t>
    </r>
    <r>
      <rPr>
        <b/>
        <vertAlign val="superscript"/>
        <sz val="12"/>
        <color rgb="FF000000"/>
        <rFont val="Verdana"/>
        <family val="2"/>
      </rPr>
      <t>st</t>
    </r>
    <r>
      <rPr>
        <b/>
        <sz val="12"/>
        <color rgb="FF000000"/>
        <rFont val="Verdana"/>
        <family val="2"/>
      </rPr>
      <t xml:space="preserve"> March 2024</t>
    </r>
  </si>
  <si>
    <t>Employees</t>
  </si>
  <si>
    <t xml:space="preserve">Full time </t>
  </si>
  <si>
    <t>Part time</t>
  </si>
  <si>
    <t>Contractors</t>
  </si>
  <si>
    <t>Agency staff</t>
  </si>
  <si>
    <t>Employee Headcount by gender and region</t>
  </si>
  <si>
    <t>Percentage of female representation
2023/24</t>
  </si>
  <si>
    <t>Gender</t>
  </si>
  <si>
    <t>Female</t>
  </si>
  <si>
    <t>Male</t>
  </si>
  <si>
    <t>m</t>
  </si>
  <si>
    <t>Permanent employees</t>
  </si>
  <si>
    <t xml:space="preserve">UK </t>
  </si>
  <si>
    <t>Rest of Europe</t>
  </si>
  <si>
    <t>North America</t>
  </si>
  <si>
    <t>Asia</t>
  </si>
  <si>
    <t>Rest of World</t>
  </si>
  <si>
    <t>Globally</t>
  </si>
  <si>
    <t>Temporary employees</t>
  </si>
  <si>
    <t>Europe</t>
  </si>
  <si>
    <t>China</t>
  </si>
  <si>
    <t>Rest of Asia</t>
  </si>
  <si>
    <t>Total number of employees</t>
  </si>
  <si>
    <t>All employees</t>
  </si>
  <si>
    <t>Board</t>
  </si>
  <si>
    <t>Group leadership team (GLT)</t>
  </si>
  <si>
    <t>Subsidiary Directors</t>
  </si>
  <si>
    <t>Senior managers</t>
  </si>
  <si>
    <r>
      <t xml:space="preserve">All management levels 
</t>
    </r>
    <r>
      <rPr>
        <sz val="12"/>
        <color theme="4"/>
        <rFont val="Verdana"/>
        <family val="2"/>
      </rPr>
      <t>Our Goal of &gt;40% female representation across all management levels by 2030</t>
    </r>
  </si>
  <si>
    <t>New recruits</t>
  </si>
  <si>
    <t>Employee Headcount by age</t>
  </si>
  <si>
    <t>Percentage of female representation
2022/23</t>
  </si>
  <si>
    <t>Age</t>
  </si>
  <si>
    <t>Board members between 40-49 years of age</t>
  </si>
  <si>
    <t>Board members between 50-59 years of age</t>
  </si>
  <si>
    <t>Board members between 60-65 years of age</t>
  </si>
  <si>
    <t>Board members age 65 plus</t>
  </si>
  <si>
    <t>Total Board members</t>
  </si>
  <si>
    <t>Employees under 30 years of age</t>
  </si>
  <si>
    <t>Employees between 30-45 years of age</t>
  </si>
  <si>
    <t>Employees between 46-60 years of age</t>
  </si>
  <si>
    <t>Employees over 60 years of age</t>
  </si>
  <si>
    <t>Total number of employees with age disclosed</t>
  </si>
  <si>
    <t>Employees with Undisclosed age</t>
  </si>
  <si>
    <t>Board Members at a Glance</t>
  </si>
  <si>
    <t>Roles</t>
  </si>
  <si>
    <t>Number</t>
  </si>
  <si>
    <t>Percentage</t>
  </si>
  <si>
    <t>Chair</t>
  </si>
  <si>
    <t>Executive</t>
  </si>
  <si>
    <t>Non-Executive</t>
  </si>
  <si>
    <t>Chair and Non-Executive Directors' Tenure</t>
  </si>
  <si>
    <t>0-3 years</t>
  </si>
  <si>
    <t>4-6 years</t>
  </si>
  <si>
    <t>7-9 years</t>
  </si>
  <si>
    <t>Nationality</t>
  </si>
  <si>
    <t>British</t>
  </si>
  <si>
    <t>Irish</t>
  </si>
  <si>
    <t>German</t>
  </si>
  <si>
    <t>US Citizen</t>
  </si>
  <si>
    <t>Ethnicity</t>
  </si>
  <si>
    <t>White British or other White (including minority-white groups)</t>
  </si>
  <si>
    <t>Mixed/Multiple Ethnic Groups</t>
  </si>
  <si>
    <t>Asian/Asian British</t>
  </si>
  <si>
    <t>Black/African/ Caribbean/Black British</t>
  </si>
  <si>
    <t>Other ethnic group, including Arab</t>
  </si>
  <si>
    <t>Not specified/ prefer not to say</t>
  </si>
  <si>
    <t>Employee Turnover</t>
  </si>
  <si>
    <t>Voluntary permanent employee leavers</t>
  </si>
  <si>
    <t>Voluntary Redundancy permanent leavers**</t>
  </si>
  <si>
    <t>Involuntary permanent employee leavers</t>
  </si>
  <si>
    <t>Involuntary Redundancy permanent leavers**</t>
  </si>
  <si>
    <t>Voluntary permanent employee leavers turnover rate</t>
  </si>
  <si>
    <t>Involuntary permanent employee leavers turnover rate*</t>
  </si>
  <si>
    <t>Total permanent employee leavers turnover rate*</t>
  </si>
  <si>
    <t>*includes businesses divested during the year</t>
  </si>
  <si>
    <t>**Relates to JMGS transformation</t>
  </si>
  <si>
    <t>Union representation</t>
  </si>
  <si>
    <t>Total average number of employees</t>
  </si>
  <si>
    <t>Average number of employees represented</t>
  </si>
  <si>
    <t>% represented</t>
  </si>
  <si>
    <t>Workforce globally</t>
  </si>
  <si>
    <t>Number of employees represented</t>
  </si>
  <si>
    <t>Internal Promotion</t>
  </si>
  <si>
    <t>% promoted</t>
  </si>
  <si>
    <t>Parental Leave</t>
  </si>
  <si>
    <t>Total number of employees that took parental leave</t>
  </si>
  <si>
    <t>Total number of employees that returned to work in the reporting period after parental leave ended</t>
  </si>
  <si>
    <t>Total number of employees that returned to work after parental leave ended that were still employed 12 months after their return to work</t>
  </si>
  <si>
    <t>Return to work and retention rates of employees that took parental leave</t>
  </si>
  <si>
    <t>Performance and career development reviews</t>
  </si>
  <si>
    <t>Permanent Employees</t>
  </si>
  <si>
    <t>Temporary Employees</t>
  </si>
  <si>
    <t>All Employees</t>
  </si>
  <si>
    <t>Training</t>
  </si>
  <si>
    <t>Employee average learning hours</t>
  </si>
  <si>
    <t xml:space="preserve">Employee average learning hours (non-mandated training) </t>
  </si>
  <si>
    <t>Graduates on the graduate programme</t>
  </si>
  <si>
    <t>Participants in Business Skills Programme</t>
  </si>
  <si>
    <t>Users on Percipio (Licenses consumed)</t>
  </si>
  <si>
    <t>Training on our policies (mandated)</t>
  </si>
  <si>
    <t># employees assigned</t>
  </si>
  <si>
    <t>% employee completed</t>
  </si>
  <si>
    <t>Code of Ethics</t>
  </si>
  <si>
    <t>Anti Bribery and Corruption Course</t>
  </si>
  <si>
    <t>Competition Law Training Course</t>
  </si>
  <si>
    <t>Human Rights Training Course</t>
  </si>
  <si>
    <t>Lifesaving Policy training</t>
  </si>
  <si>
    <t>Cybersecurity Training Course</t>
  </si>
  <si>
    <t>Note: Training completion rates are not designed to tie in to year end hence completion rates may appear low.</t>
  </si>
  <si>
    <t xml:space="preserve">Employee engagement </t>
  </si>
  <si>
    <t>Participation rate</t>
  </si>
  <si>
    <t>No survey</t>
  </si>
  <si>
    <t>Employee Engagement Score using Korn Ferry</t>
  </si>
  <si>
    <t>Employee Engagement Score using Workday Peakon</t>
  </si>
  <si>
    <t>Latest Pulse survey</t>
  </si>
  <si>
    <r>
      <rPr>
        <b/>
        <sz val="20"/>
        <color theme="7"/>
        <rFont val="Verdana"/>
        <family val="2"/>
      </rPr>
      <t xml:space="preserve">People </t>
    </r>
    <r>
      <rPr>
        <b/>
        <sz val="20"/>
        <color rgb="FF0000CC"/>
        <rFont val="Verdana"/>
        <family val="2"/>
      </rPr>
      <t xml:space="preserve">
Health and Safety</t>
    </r>
  </si>
  <si>
    <t>Health and Safety KPI</t>
  </si>
  <si>
    <t>Annual OSHA severity rate</t>
  </si>
  <si>
    <t>days lost * 200,000 / annual worked hrs</t>
  </si>
  <si>
    <t>no data available</t>
  </si>
  <si>
    <t>No data available</t>
  </si>
  <si>
    <t>Total recordable injury and illness rate (TRIIR)</t>
  </si>
  <si>
    <t>-</t>
  </si>
  <si>
    <t>Total number of lost time accidents (LTA's)</t>
  </si>
  <si>
    <t>(absolute number)</t>
  </si>
  <si>
    <t>Lost Time Injury Frequency Rate (LTIFR)</t>
  </si>
  <si>
    <t>Lost Time Injury and Illness Rate (LTIIR)</t>
  </si>
  <si>
    <t>Occupational Illness Frequency Rate (OIFR)</t>
  </si>
  <si>
    <t>Notes:</t>
  </si>
  <si>
    <t>LTIFR employees</t>
  </si>
  <si>
    <t>Lost time injury frequency rate, includes permanent and temporary employees</t>
  </si>
  <si>
    <t>LTIFR contractors</t>
  </si>
  <si>
    <t>Lost time injury frequency rate, includes contractors</t>
  </si>
  <si>
    <t>LTIIR employees</t>
  </si>
  <si>
    <t>Lost time injury and illness rate, includes permanent and temporary employees</t>
  </si>
  <si>
    <t>LTIIR contractors</t>
  </si>
  <si>
    <t>Lost time injury and illness rate, includes contractors</t>
  </si>
  <si>
    <t>2018/19</t>
  </si>
  <si>
    <t>Progress towards 2030 target</t>
  </si>
  <si>
    <t>Lost Time Injury and Illness Rate (LTIIR) 
employees + contractors</t>
  </si>
  <si>
    <t xml:space="preserve">Permanent and temporary employees - LTIIR </t>
  </si>
  <si>
    <t xml:space="preserve">Contractors - LTIIR </t>
  </si>
  <si>
    <t>Total Recordable Injury and Illness Rate (TRIIR)
employees + contractors</t>
  </si>
  <si>
    <t>Total Recordable Injury and Illness
employees + contractors</t>
  </si>
  <si>
    <t xml:space="preserve">Permanent and temporary employees - TRIIR </t>
  </si>
  <si>
    <t xml:space="preserve">Contractors - TRIIR </t>
  </si>
  <si>
    <t>Tier 1 Process Safety events</t>
  </si>
  <si>
    <t>Tier 1 events</t>
  </si>
  <si>
    <t>Hours worked</t>
  </si>
  <si>
    <t>million hrs</t>
  </si>
  <si>
    <t>Number of employee fatalities</t>
  </si>
  <si>
    <t>Number of contractor fatalities</t>
  </si>
  <si>
    <t>Number of third party fatalities involving members of the public</t>
  </si>
  <si>
    <t>Number of transport incidents</t>
  </si>
  <si>
    <r>
      <rPr>
        <b/>
        <sz val="20"/>
        <color theme="7"/>
        <rFont val="Verdana"/>
        <family val="2"/>
      </rPr>
      <t xml:space="preserve">People </t>
    </r>
    <r>
      <rPr>
        <b/>
        <sz val="20"/>
        <color rgb="FF0000CC"/>
        <rFont val="Verdana"/>
        <family val="2"/>
      </rPr>
      <t xml:space="preserve">
</t>
    </r>
    <r>
      <rPr>
        <b/>
        <sz val="20"/>
        <color rgb="FF1E22AA"/>
        <rFont val="Verdana"/>
        <family val="2"/>
      </rPr>
      <t>Ethics and Compliance</t>
    </r>
  </si>
  <si>
    <t>It is essential that our employees, customers, suppliers and other stakeholders feel they can speak freely when they have an ethical concern. We have various channels for them to do this including our independent Speak Up line. The data below represents our Speak Up reports.</t>
  </si>
  <si>
    <t>Speak Up reports 2023/24</t>
  </si>
  <si>
    <t>Speak Up reports 2022/23</t>
  </si>
  <si>
    <t>Speak Up reports 2021/22</t>
  </si>
  <si>
    <t>Speak Up reports 2020/21</t>
  </si>
  <si>
    <t>Speak Up reports 2019/20</t>
  </si>
  <si>
    <t>Concern/allegation*</t>
  </si>
  <si>
    <t>Number of cases</t>
  </si>
  <si>
    <t>Concern/allegation</t>
  </si>
  <si>
    <t>Bribery and corruption</t>
  </si>
  <si>
    <t>Conflict of interest</t>
  </si>
  <si>
    <t xml:space="preserve">Business and financial reporting </t>
  </si>
  <si>
    <t>Discrimination, including harassment and retaliation</t>
  </si>
  <si>
    <t>Competition / anti-trust</t>
  </si>
  <si>
    <t>Computer, email and internet use</t>
  </si>
  <si>
    <t>Employee rights</t>
  </si>
  <si>
    <t>Confidential information and intellectual property</t>
  </si>
  <si>
    <t>Enquiry</t>
  </si>
  <si>
    <t>Environmental protection, product stewardship or health and safety</t>
  </si>
  <si>
    <t>Discrimination including harassment and retaliation</t>
  </si>
  <si>
    <t>Financial crime</t>
  </si>
  <si>
    <t>Insider trading, financial reporting and other securities violations</t>
  </si>
  <si>
    <t>Other or general enquiry</t>
  </si>
  <si>
    <t>Other</t>
  </si>
  <si>
    <t>Theft or misuse of assets</t>
  </si>
  <si>
    <t>Insider trading</t>
  </si>
  <si>
    <t>Fraud, money laundering and embezzlement</t>
  </si>
  <si>
    <t>Trade and export controls</t>
  </si>
  <si>
    <t>Misconduct or inappropriate behaviour</t>
  </si>
  <si>
    <t>Protection of Privacy &amp; Personal Data, Network Security</t>
  </si>
  <si>
    <t>Retaliation</t>
  </si>
  <si>
    <t>Physical assets</t>
  </si>
  <si>
    <t>Substance abuse</t>
  </si>
  <si>
    <t>*To simplify identification of issues raised consolidation has been made of some of the categories from 2021/22.</t>
  </si>
  <si>
    <t>Theft</t>
  </si>
  <si>
    <t>Violence or threats</t>
  </si>
  <si>
    <t>Recommendations following closed investigated reports in 2023/24</t>
  </si>
  <si>
    <t>Recommendations following closed investigated reports in 2022/23</t>
  </si>
  <si>
    <t>Please note there could be more than one recommendation per report, or some cases none</t>
  </si>
  <si>
    <t>Separation with employee</t>
  </si>
  <si>
    <t>Verbal or written warning</t>
  </si>
  <si>
    <t>Coaching or training</t>
  </si>
  <si>
    <t>Coaching / training</t>
  </si>
  <si>
    <t>Communications</t>
  </si>
  <si>
    <t>Communication</t>
  </si>
  <si>
    <t>Internal review of processes</t>
  </si>
  <si>
    <t>Update or create new standards/controls</t>
  </si>
  <si>
    <t>Update / create new standards / controls</t>
  </si>
  <si>
    <t>Senior leader or senior management actions</t>
  </si>
  <si>
    <t>Senior leadership or management actions</t>
  </si>
  <si>
    <t>Remedy for the reporter or victim</t>
  </si>
  <si>
    <t>Remedy for the reporter</t>
  </si>
  <si>
    <t>No recommendation</t>
  </si>
  <si>
    <r>
      <rPr>
        <b/>
        <sz val="20"/>
        <color theme="7"/>
        <rFont val="Verdana"/>
        <family val="2"/>
      </rPr>
      <t xml:space="preserve">People </t>
    </r>
    <r>
      <rPr>
        <b/>
        <sz val="20"/>
        <color rgb="FF0000CC"/>
        <rFont val="Verdana"/>
        <family val="2"/>
      </rPr>
      <t xml:space="preserve">
</t>
    </r>
    <r>
      <rPr>
        <b/>
        <sz val="20"/>
        <color rgb="FF1E22AA"/>
        <rFont val="Verdana"/>
        <family val="2"/>
      </rPr>
      <t>Community Investment</t>
    </r>
  </si>
  <si>
    <t>We at Johnson Matthey believe that Community investment helps us to connect with each other and our local communities</t>
  </si>
  <si>
    <t>Community investment summary</t>
  </si>
  <si>
    <t xml:space="preserve">Definition </t>
  </si>
  <si>
    <t>Units of measurement</t>
  </si>
  <si>
    <t>Direct expenditure</t>
  </si>
  <si>
    <t>Through monetary donations</t>
  </si>
  <si>
    <t>£'000</t>
  </si>
  <si>
    <t>Indirect expenditure</t>
  </si>
  <si>
    <t>Through volunteering days</t>
  </si>
  <si>
    <t>Volunteering Days</t>
  </si>
  <si>
    <t>Days of corporate volunteering</t>
  </si>
  <si>
    <t># of days</t>
  </si>
  <si>
    <r>
      <rPr>
        <b/>
        <sz val="20"/>
        <color theme="7"/>
        <rFont val="Verdana"/>
        <family val="2"/>
      </rPr>
      <t>People</t>
    </r>
    <r>
      <rPr>
        <b/>
        <sz val="20"/>
        <color rgb="FF0000CC"/>
        <rFont val="Verdana"/>
        <family val="2"/>
      </rPr>
      <t xml:space="preserve">
</t>
    </r>
    <r>
      <rPr>
        <b/>
        <sz val="20"/>
        <color rgb="FF1E22AA"/>
        <rFont val="Verdana"/>
        <family val="2"/>
      </rPr>
      <t>Responsible Sourcing</t>
    </r>
  </si>
  <si>
    <t>In the last year we have refreshed our Supplier Code of Conduct to provide our social and environmental expectations towards our stakeholders in the supply chain. Our new suppliers received the new Supplier Code of Conduct and the latter has been also shared with our biggest, by spend, existing suppliers. We are in a process of digital transformation adopting a system to track our supplier commitments to the SCoC. To get a better picture of our supplier ecosystem we used the services of sustainability rating provider EcoVadis and their EcoVadis IQ module enabling us to get a detailled overview of more than 500 suppliers representing 85% of our spend and the different risk areas. Some of the changes in the numbers of suppliers who have EcoVadis medal are due to the recent medal treshold changes and the fact that some suppliers did not meet the medal requirements.</t>
  </si>
  <si>
    <t>Supplier code of conduct | Johnson Matthey</t>
  </si>
  <si>
    <t>EcoVadis KPIs</t>
  </si>
  <si>
    <t>% procurement spend 2023/24</t>
  </si>
  <si>
    <t>% procurement spend 2022/23</t>
  </si>
  <si>
    <t>% procurement spend 2021/22</t>
  </si>
  <si>
    <t>Suppliers who have current EcoVadis medal</t>
  </si>
  <si>
    <t>Suppliers who have a good score with EcoVadis but no medal due to adverse media in the past three years</t>
  </si>
  <si>
    <t>Suppliers with current EcoVadis rating below medal achieving level</t>
  </si>
  <si>
    <t>Suppliers without an active EcoVadis rating, have declined to share their rating or we have not yet requested it</t>
  </si>
  <si>
    <t>Areas of concern where risks were identified by low scores in EcoVadis</t>
  </si>
  <si>
    <t>Number of supplier
risk identified
2023/24</t>
  </si>
  <si>
    <t>Number of supplier
risk identified
2022/23</t>
  </si>
  <si>
    <t>Number of supplier
risk identified
2021/22</t>
  </si>
  <si>
    <t>Environmental</t>
  </si>
  <si>
    <t>Labour and Human Rights</t>
  </si>
  <si>
    <t>Ethics</t>
  </si>
  <si>
    <t>Sustainable Procurement</t>
  </si>
  <si>
    <t>Child Labour</t>
  </si>
  <si>
    <t>Spend allocation</t>
  </si>
  <si>
    <t>Percentage of spend
2023/24</t>
  </si>
  <si>
    <t>Spend with suppliers of diverse/small businesses</t>
  </si>
  <si>
    <r>
      <t xml:space="preserve">For more information on our methodology, please see our Basis of Reporting on pages 222-227 of our 2022/23 Annual Report and Accounts 
</t>
    </r>
    <r>
      <rPr>
        <b/>
        <sz val="12"/>
        <color theme="3"/>
        <rFont val="Verdana"/>
        <family val="2"/>
      </rPr>
      <t>Rebaseline statement: JM has updated the baseline data to take account of all businesses sold in the period from 1</t>
    </r>
    <r>
      <rPr>
        <b/>
        <vertAlign val="superscript"/>
        <sz val="12"/>
        <color theme="3"/>
        <rFont val="Verdana"/>
        <family val="2"/>
      </rPr>
      <t>st</t>
    </r>
    <r>
      <rPr>
        <b/>
        <sz val="12"/>
        <color theme="3"/>
        <rFont val="Verdana"/>
        <family val="2"/>
      </rPr>
      <t xml:space="preserve"> April 2019 through to 31</t>
    </r>
    <r>
      <rPr>
        <b/>
        <vertAlign val="superscript"/>
        <sz val="12"/>
        <color theme="3"/>
        <rFont val="Verdana"/>
        <family val="2"/>
      </rPr>
      <t>st</t>
    </r>
    <r>
      <rPr>
        <b/>
        <sz val="12"/>
        <color theme="3"/>
        <rFont val="Verdana"/>
        <family val="2"/>
      </rPr>
      <t xml:space="preserve"> March 2023. Data from the sold businesses have been removed from the rebaselined data set. Where JM has ceased operations voluntarily and sites have been closed then this data remains in the rebaselined data.</t>
    </r>
  </si>
  <si>
    <t>This is our operational GHG footprint using the Scope 1 emissions and the market based Scope 2 emissions as stated above.</t>
  </si>
  <si>
    <t>This is our operational GHG footprint using the Scope 1 emissions and the location based Scope 2 emissions as stated above.</t>
  </si>
  <si>
    <t xml:space="preserve">Pie chart data </t>
  </si>
  <si>
    <t>Scope 1</t>
  </si>
  <si>
    <t>Scope 2</t>
  </si>
  <si>
    <t>Scope 3 - Purchased goods and services</t>
  </si>
  <si>
    <t>Scope 3- All other categories</t>
  </si>
  <si>
    <t xml:space="preserve">Global
Weight of product sold. </t>
  </si>
  <si>
    <t>This is wastewater that is returned to its original source and is of equal or higher quality than the water that was originally extracted. In JM we only consider water returned to fresh surface water (lakes, rivers etc) or fresh ground water for this indicator.</t>
  </si>
  <si>
    <t>This is the total amount of wastewater that is discharged from all JM operations and includes wastewater that may require further treatment from municipal sewerage systems, water that requires no further treatment that is sent to brackish surface water and water that requires no treatment that is returned to the groundwater source from which it was originally extracted.</t>
  </si>
  <si>
    <t xml:space="preserve">This represents all hazardous waste that is generated and then sent offsite for treatment. Hazardous waste is material deemed hazardous under the terms of the Basel Convention Annex I, II, III, 179 and VIII.  </t>
  </si>
  <si>
    <t>Types of off site waste treatment</t>
  </si>
  <si>
    <t>Reuse</t>
  </si>
  <si>
    <r>
      <t>Total non-hazardous waste disposed</t>
    </r>
    <r>
      <rPr>
        <b/>
        <vertAlign val="superscript"/>
        <sz val="11"/>
        <color theme="3"/>
        <rFont val="Verdana"/>
        <family val="2"/>
      </rPr>
      <t>7</t>
    </r>
  </si>
  <si>
    <t>recycling</t>
  </si>
  <si>
    <t>off site incineration with energy recovery</t>
  </si>
  <si>
    <t>Incineration or other off site treatment</t>
  </si>
  <si>
    <t>total waste disposed to landfill</t>
  </si>
  <si>
    <t>total waste sent off site</t>
  </si>
  <si>
    <t>The total waste reported as  "reused"  and recycled where reused is the beneficiary takes the material at no cost to JM (including paying for transportation off the JM site). If JM pays the cost of transport, then it should be reported as "recycled" rather than re-used.  Recycled waste is material that can be recovered and then used again in place of virgin raw materials.</t>
  </si>
  <si>
    <r>
      <t xml:space="preserve">This is the total energy used by the business divided by </t>
    </r>
    <r>
      <rPr>
        <sz val="11"/>
        <color rgb="FFFF0000"/>
        <rFont val="Verdana"/>
        <family val="2"/>
      </rPr>
      <t>amount of materials sold to customers.</t>
    </r>
  </si>
  <si>
    <t>This is the total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t>
  </si>
  <si>
    <t>This is the total non renewable energy consumed by JM (expressed in GJ) in the operations that it controls. Energy can be from fuels and covers Natural Gas, Diesel, Gasoline, LPG, LNG and fuel oil. Energy from Electricity is also counted except where fuels reported by JM have been used to generate the electricity at a JM facility. Energy use includes steam that has been imported onto site and generated by a supplier. Steam produced by JM using fuels reported is not included in this figure.
This is calculated by taking the total energy consumption and subtracting the renewable energy consumption.</t>
  </si>
  <si>
    <t>Non-renewable, grid-supplied electricity</t>
  </si>
  <si>
    <t>Certified renewable electricity from the grid</t>
  </si>
  <si>
    <t>Renewable electricity generated locally</t>
  </si>
  <si>
    <t>Natural gas used on site</t>
  </si>
  <si>
    <t>Other fossil fuels used on site</t>
  </si>
  <si>
    <t>Non-renewable steam procured</t>
  </si>
  <si>
    <t>Fuel used on public roads by JM vehicles on company business</t>
  </si>
  <si>
    <t>Total (MWh)</t>
  </si>
  <si>
    <t xml:space="preserve">The data below represents Johnson Matthey's People information as at 31st March 2023 (for 2022/23) and is reported on the basis of our Basis of Reporting 2022/23 which can be found on our website at XXXX </t>
  </si>
  <si>
    <t>Reported as "Employees"</t>
  </si>
  <si>
    <t>Definition</t>
  </si>
  <si>
    <t>Percentage of female representation
2022/22</t>
  </si>
  <si>
    <t>Performance against 2030 target</t>
  </si>
  <si>
    <t xml:space="preserve">Employee’s gender is determined based on their registered gender at birth or otherwise legally recognised gender as disclosed by the employee.  </t>
  </si>
  <si>
    <t>Continuously site based
Contract signed directly between JM and individual and paid regular salary and other benefits by JM
Work is directly supervised by JM - paid via payroll</t>
  </si>
  <si>
    <t>Continuously site based
Fixed term contract signed directly between JM and individual and paid regular salary and other benefits by JM
Work is directly supervised by JM - paid via payroll</t>
  </si>
  <si>
    <t>Excludes Non Executive Board members, Agency Staff and contingent workers</t>
  </si>
  <si>
    <t>Members of the Board</t>
  </si>
  <si>
    <t>JM's Group Leadership Team (GLT)</t>
  </si>
  <si>
    <t>Individuals appointed to the boards of JM's other legal entities, other than JMPLC</t>
  </si>
  <si>
    <t xml:space="preserve">Within JM our senior managers are defined as direct reports of the GLT. </t>
  </si>
  <si>
    <r>
      <t xml:space="preserve">All management levels 
</t>
    </r>
    <r>
      <rPr>
        <b/>
        <sz val="10"/>
        <color theme="4"/>
        <rFont val="Verdana"/>
        <family val="2"/>
      </rPr>
      <t>Our Goal of &gt;40% female representation across all management levels by 2030</t>
    </r>
  </si>
  <si>
    <t>All employees whether they are a People manager or not at a minimum pay grade</t>
  </si>
  <si>
    <r>
      <t xml:space="preserve">Excludes Board members
</t>
    </r>
    <r>
      <rPr>
        <sz val="10"/>
        <color rgb="FFFF0000"/>
        <rFont val="Verdana"/>
        <family val="2"/>
      </rPr>
      <t xml:space="preserve">
</t>
    </r>
    <r>
      <rPr>
        <sz val="10"/>
        <color theme="5"/>
        <rFont val="Verdana"/>
        <family val="2"/>
      </rPr>
      <t>2022 and 2021 categories different
employees under 30 years of age
employees aged between 30-50 
employees aged over 50</t>
    </r>
  </si>
  <si>
    <t>Employees beteween 30-45 years of age</t>
  </si>
  <si>
    <t>Age not known for 201 employees in 2022/23
Age disclosure is voluntary</t>
  </si>
  <si>
    <t>External joiners</t>
  </si>
  <si>
    <t>Resignation only</t>
  </si>
  <si>
    <t>Employee turnover rate initiated by employer (in 2022/23 there were 0 compulsory redundancies in JM)</t>
  </si>
  <si>
    <t>Involuntary permanent employee leavers excl Health</t>
  </si>
  <si>
    <t>Resignation only
Number of leavers over last 12 months divided by average headcount as at data points 1 April 2022 and 31 March 2023</t>
  </si>
  <si>
    <t>Involuntary permanent employee leavers turnover rate</t>
  </si>
  <si>
    <t>Employee turnover rate initiated by employer  (in 2022/23 there were 0 compulsory redundancies in JM)
Number of leavers over last 12 months divided by average headcount as at data points 1 April 2022 and 31 March 2023</t>
  </si>
  <si>
    <t>Involuntary permanent employee leavers turnover rate excl Health</t>
  </si>
  <si>
    <t>Total permanent employee leavers turnover Incl Health</t>
  </si>
  <si>
    <t>Voluntary and involuntary leavers
Number of leavers over last 12 months divided by average headcount as at data points 1 April 2022 and 31 March 2023</t>
  </si>
  <si>
    <t>Total permanent employee leavers turnover Excl Health</t>
  </si>
  <si>
    <t xml:space="preserve">The UK Corporate Governance Code 2018 requires companies to disclose the gender balance of senior management, which is defined in the Code as a company’s executive committee and the Company Secretary, the statistics for this are included in the GLT row above. Some individuals are included in more than one category. </t>
  </si>
  <si>
    <t>Reported as "Contractors"</t>
  </si>
  <si>
    <t xml:space="preserve">Outsourced Function </t>
  </si>
  <si>
    <t>Continuously or regularly site based
Facility management - catering, cleaning or grounds maintenance; IT and occupational health, if outsourced.
Work is supervised by contractor and monitored by JM</t>
  </si>
  <si>
    <t>Specialist Service</t>
  </si>
  <si>
    <t>One-off project or regularly based on site.
Small scale building or ground works; repairing specialistplant or equipment; low level maintenance; small scale repairs to offices or other buildings; stack monitoring.
Work is supervised by contractor and monitored by JM</t>
  </si>
  <si>
    <t>Projects</t>
  </si>
  <si>
    <t>One-off project
Construction work, capital project work, major maintenance activities.
Work is supervised by contractor and monitored by JM</t>
  </si>
  <si>
    <t>Number of contractors</t>
  </si>
  <si>
    <t>Workers who are not employees - data gathered via Workday</t>
  </si>
  <si>
    <t>A contingent worker is defined as an individual who is not on Johnson Matthey’s payroll, but performs tasks on Johnson Matthey's behalf. 
They are hired for a specific purpose and usually for a certain period of time e.g. Consultant,  Contractor, Vendor</t>
  </si>
  <si>
    <t>Key workforce stats</t>
  </si>
  <si>
    <t>Total workforce as at 31st March 2023</t>
  </si>
  <si>
    <t>Total number of employees and contractors - does not include Non Executive Board members and Agency Staff</t>
  </si>
  <si>
    <t>12 month average headcount</t>
  </si>
  <si>
    <t>12 month average headcount excl Health</t>
  </si>
  <si>
    <t>Reported as "Agency Staff"</t>
  </si>
  <si>
    <t>Continuously site based
Person employed by an agency performing tasks that would normally be expected to be undertaken by a JM employee.
Work is directly supervised by JM - paid directly via invoices</t>
  </si>
  <si>
    <t>Total average number of employees (including health)</t>
  </si>
  <si>
    <t>Average number of employees who were covered by a collective bargaining agreement and / or represented by a trade union</t>
  </si>
  <si>
    <r>
      <t>An internal promotion happens </t>
    </r>
    <r>
      <rPr>
        <sz val="10"/>
        <color rgb="FF040C28"/>
        <rFont val="Verdana"/>
        <family val="2"/>
      </rPr>
      <t>when an internal candidate is promoted to a new position — instead of the organization hiring an external candidate</t>
    </r>
    <r>
      <rPr>
        <sz val="10"/>
        <color rgb="FF202124"/>
        <rFont val="Verdana"/>
        <family val="2"/>
      </rPr>
      <t>. </t>
    </r>
  </si>
  <si>
    <t>Query with leadership?</t>
  </si>
  <si>
    <t>Parental leave definition needed</t>
  </si>
  <si>
    <t>Total number of employees that were entitled to parental leave</t>
  </si>
  <si>
    <t>many are still on parental leave so for returned to work and retention it is not possible to complete the data for them</t>
  </si>
  <si>
    <t>Workday has only been in for a year as at end of March, there is no data on employees still being employed 12 months after they returned to work.</t>
  </si>
  <si>
    <t>0%</t>
  </si>
  <si>
    <t>50%</t>
  </si>
  <si>
    <t>Employees receiving performance review = 92% in 2022/23</t>
  </si>
  <si>
    <t>Employees globally receiving regular performance and career development reviews with objectives set and signed off by managers</t>
  </si>
  <si>
    <t>Employees globally receiving regular performance and career development reviews with objectives set and signed off by managers
Note: some trade unions and collective bargaining agreements do not follow the process</t>
  </si>
  <si>
    <t>Work with Nicole Fraser</t>
  </si>
  <si>
    <t>Updated #s</t>
  </si>
  <si>
    <t>Based on employee response to yourSay survey</t>
  </si>
  <si>
    <t>Average score given by survey respondents in response to three engagement questions (engagement, loyalty, satisfaction) </t>
  </si>
  <si>
    <t>Julie Bolam</t>
  </si>
  <si>
    <t>Employee learning hours</t>
  </si>
  <si>
    <t xml:space="preserve">Average learning hours per employee
This is calculated from data gathered from 3 of our key sites. A programme to migrate learning record management to one global system is underway. </t>
  </si>
  <si>
    <t>Automatically Waived - 
employee left JM</t>
  </si>
  <si>
    <t>Completed</t>
  </si>
  <si>
    <t>Did not complete</t>
  </si>
  <si>
    <t>Total employee assigned</t>
  </si>
  <si>
    <t>Catalyst Technologies</t>
  </si>
  <si>
    <t>Clean Air</t>
  </si>
  <si>
    <t>Group</t>
  </si>
  <si>
    <t>Hydrogen Technologies</t>
  </si>
  <si>
    <t>Platinum Group Metal Services</t>
  </si>
  <si>
    <t>Value Businesses</t>
  </si>
  <si>
    <t>(blank)</t>
  </si>
  <si>
    <t>A new course for 2022/23 
The training was assigned to all JM employees at a certain level and above, plus to customer facing roles in Commercial and Procurement.</t>
  </si>
  <si>
    <t>Open</t>
  </si>
  <si>
    <t xml:space="preserve">Launched January 2022 and available to complete until 31 December 2022
Data shown here is from 1st April 2022 to 31st December 2022 </t>
  </si>
  <si>
    <t>Automatically Waived</t>
  </si>
  <si>
    <t>Code of Ethics 2022</t>
  </si>
  <si>
    <t>Includes perm employees and temp employees with contracts over 3months.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</si>
</sst>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_-* #,##0.00_-;\-* #,##0.00_-;_-* &quot;-&quot;??_-;_-@"/>
    <numFmt numFmtId="170" formatCode="_-* #,##0_-;\-* #,##0_-;_-* &quot;-&quot;??_-;_-@"/>
    <numFmt numFmtId="171" formatCode="0.0"/>
    <numFmt numFmtId="172" formatCode="0E+00"/>
    <numFmt numFmtId="173" formatCode="_(* #,##0.0_);_(* \(#,##0.0\);_(* &quot;-&quot;??_);_(@_)"/>
  </numFmts>
  <fonts count="176">
    <font>
      <sz val="11"/>
      <color theme="1"/>
      <name val="Calibri"/>
      <family val="2"/>
      <scheme val="minor"/>
    </font>
    <font>
      <u/>
      <sz val="11"/>
      <color theme="10"/>
      <name val="Calibri"/>
      <family val="2"/>
      <scheme val="minor"/>
    </font>
    <font>
      <sz val="11"/>
      <color theme="1"/>
      <name val="Calibri"/>
      <family val="2"/>
      <scheme val="minor"/>
    </font>
    <font>
      <sz val="8"/>
      <name val="Calibri"/>
      <family val="2"/>
      <scheme val="minor"/>
    </font>
    <font>
      <sz val="7"/>
      <color theme="1"/>
      <name val="Arial"/>
      <family val="2"/>
    </font>
    <font>
      <sz val="7"/>
      <color theme="0"/>
      <name val="Arial"/>
      <family val="2"/>
    </font>
    <font>
      <sz val="11"/>
      <color rgb="FFFF0000"/>
      <name val="Verdana"/>
      <family val="2"/>
    </font>
    <font>
      <sz val="11"/>
      <name val="Verdana"/>
      <family val="2"/>
    </font>
    <font>
      <sz val="11"/>
      <color theme="1"/>
      <name val="Verdana"/>
      <family val="2"/>
    </font>
    <font>
      <sz val="28"/>
      <color rgb="FF002060"/>
      <name val="Verdana"/>
      <family val="2"/>
    </font>
    <font>
      <b/>
      <sz val="11"/>
      <name val="Verdana"/>
      <family val="2"/>
    </font>
    <font>
      <sz val="10"/>
      <color rgb="FFFF0000"/>
      <name val="Verdana"/>
      <family val="2"/>
    </font>
    <font>
      <sz val="10"/>
      <name val="Verdana"/>
      <family val="2"/>
    </font>
    <font>
      <sz val="10"/>
      <color theme="1"/>
      <name val="Verdana"/>
      <family val="2"/>
    </font>
    <font>
      <b/>
      <sz val="10"/>
      <name val="Verdana"/>
      <family val="2"/>
    </font>
    <font>
      <b/>
      <sz val="28"/>
      <color rgb="FF0000CC"/>
      <name val="Verdana"/>
      <family val="2"/>
    </font>
    <font>
      <b/>
      <sz val="11"/>
      <color theme="0"/>
      <name val="Verdana"/>
      <family val="2"/>
    </font>
    <font>
      <b/>
      <sz val="11"/>
      <color rgb="FF002855"/>
      <name val="Verdana"/>
      <family val="2"/>
    </font>
    <font>
      <sz val="11"/>
      <color rgb="FF002855"/>
      <name val="Verdana"/>
      <family val="2"/>
    </font>
    <font>
      <b/>
      <sz val="10"/>
      <color rgb="FFFFFFFF"/>
      <name val="Verdana"/>
      <family val="2"/>
    </font>
    <font>
      <b/>
      <sz val="11"/>
      <color rgb="FFFFFFFF"/>
      <name val="Verdana"/>
      <family val="2"/>
    </font>
    <font>
      <b/>
      <sz val="11"/>
      <color theme="1"/>
      <name val="Verdana"/>
      <family val="2"/>
    </font>
    <font>
      <sz val="11"/>
      <color rgb="FF000000"/>
      <name val="Verdana"/>
      <family val="2"/>
    </font>
    <font>
      <b/>
      <sz val="11"/>
      <color rgb="FFFF0000"/>
      <name val="Verdana"/>
      <family val="2"/>
    </font>
    <font>
      <sz val="12"/>
      <color rgb="FFFF0000"/>
      <name val="Verdana"/>
      <family val="2"/>
    </font>
    <font>
      <sz val="11"/>
      <color theme="0"/>
      <name val="Verdana"/>
      <family val="2"/>
    </font>
    <font>
      <vertAlign val="superscript"/>
      <sz val="11"/>
      <color theme="1"/>
      <name val="Verdana"/>
      <family val="2"/>
    </font>
    <font>
      <sz val="8"/>
      <color theme="1"/>
      <name val="Verdana"/>
      <family val="2"/>
    </font>
    <font>
      <b/>
      <sz val="8"/>
      <color theme="1"/>
      <name val="Verdana"/>
      <family val="2"/>
    </font>
    <font>
      <b/>
      <sz val="11"/>
      <color rgb="FF000000"/>
      <name val="Verdana"/>
      <family val="2"/>
    </font>
    <font>
      <sz val="7"/>
      <color rgb="FF4A4D4E"/>
      <name val="Verdana"/>
      <family val="2"/>
    </font>
    <font>
      <sz val="9"/>
      <color theme="1"/>
      <name val="Verdana"/>
      <family val="2"/>
    </font>
    <font>
      <b/>
      <sz val="9"/>
      <color theme="1"/>
      <name val="Verdana"/>
      <family val="2"/>
    </font>
    <font>
      <sz val="7"/>
      <color theme="1"/>
      <name val="Verdana"/>
      <family val="2"/>
    </font>
    <font>
      <sz val="12"/>
      <color rgb="FFE60000"/>
      <name val="Verdana"/>
      <family val="2"/>
    </font>
    <font>
      <sz val="9.5"/>
      <color rgb="FF4A4D4E"/>
      <name val="Verdana"/>
      <family val="2"/>
    </font>
    <font>
      <b/>
      <sz val="16"/>
      <color rgb="FFE60000"/>
      <name val="Verdana"/>
      <family val="2"/>
    </font>
    <font>
      <sz val="12"/>
      <color rgb="FF0000CC"/>
      <name val="Verdana"/>
      <family val="2"/>
    </font>
    <font>
      <sz val="9.5"/>
      <color rgb="FFFF0000"/>
      <name val="Verdana"/>
      <family val="2"/>
    </font>
    <font>
      <b/>
      <sz val="9.5"/>
      <color rgb="FFE60000"/>
      <name val="Verdana"/>
      <family val="2"/>
    </font>
    <font>
      <b/>
      <sz val="20"/>
      <color rgb="FFFFFFFF"/>
      <name val="Verdana"/>
      <family val="2"/>
    </font>
    <font>
      <b/>
      <sz val="9.5"/>
      <color rgb="FFFFFFFF"/>
      <name val="Verdana"/>
      <family val="2"/>
    </font>
    <font>
      <b/>
      <sz val="9.5"/>
      <color theme="0"/>
      <name val="Verdana"/>
      <family val="2"/>
    </font>
    <font>
      <sz val="9.5"/>
      <color theme="0"/>
      <name val="Verdana"/>
      <family val="2"/>
    </font>
    <font>
      <b/>
      <sz val="9.5"/>
      <color rgb="FF0000CC"/>
      <name val="Verdana"/>
      <family val="2"/>
    </font>
    <font>
      <b/>
      <sz val="9.5"/>
      <color rgb="FF4A4D4E"/>
      <name val="Verdana"/>
      <family val="2"/>
    </font>
    <font>
      <b/>
      <sz val="11"/>
      <color rgb="FF0000CC"/>
      <name val="Verdana"/>
      <family val="2"/>
    </font>
    <font>
      <sz val="9.5"/>
      <name val="Verdana"/>
      <family val="2"/>
    </font>
    <font>
      <vertAlign val="subscript"/>
      <sz val="11"/>
      <name val="Verdana"/>
      <family val="2"/>
    </font>
    <font>
      <b/>
      <sz val="9.5"/>
      <color rgb="FF000000"/>
      <name val="Verdana"/>
      <family val="2"/>
    </font>
    <font>
      <b/>
      <sz val="20"/>
      <color theme="0"/>
      <name val="Verdana"/>
      <family val="2"/>
    </font>
    <font>
      <b/>
      <vertAlign val="superscript"/>
      <sz val="11"/>
      <color theme="1"/>
      <name val="Verdana"/>
      <family val="2"/>
    </font>
    <font>
      <b/>
      <sz val="11"/>
      <color theme="3"/>
      <name val="Verdana"/>
      <family val="2"/>
    </font>
    <font>
      <b/>
      <vertAlign val="superscript"/>
      <sz val="11"/>
      <color theme="3"/>
      <name val="Verdana"/>
      <family val="2"/>
    </font>
    <font>
      <sz val="11"/>
      <color theme="9" tint="-0.249977111117893"/>
      <name val="Verdana"/>
      <family val="2"/>
    </font>
    <font>
      <b/>
      <vertAlign val="superscript"/>
      <sz val="11"/>
      <name val="Verdana"/>
      <family val="2"/>
    </font>
    <font>
      <sz val="8"/>
      <color rgb="FFFF0000"/>
      <name val="Verdana"/>
      <family val="2"/>
    </font>
    <font>
      <b/>
      <sz val="18"/>
      <color theme="0"/>
      <name val="Verdana"/>
      <family val="2"/>
    </font>
    <font>
      <b/>
      <sz val="14"/>
      <color theme="0"/>
      <name val="Verdana"/>
      <family val="2"/>
    </font>
    <font>
      <b/>
      <sz val="18"/>
      <color rgb="FF0000CC"/>
      <name val="Verdana"/>
      <family val="2"/>
    </font>
    <font>
      <b/>
      <sz val="20"/>
      <color rgb="FF0000CC"/>
      <name val="Verdana"/>
      <family val="2"/>
    </font>
    <font>
      <b/>
      <sz val="28"/>
      <color rgb="FFFF0000"/>
      <name val="Verdana"/>
      <family val="2"/>
    </font>
    <font>
      <sz val="9"/>
      <name val="Verdana"/>
      <family val="2"/>
    </font>
    <font>
      <b/>
      <sz val="12"/>
      <color theme="0"/>
      <name val="Verdana"/>
      <family val="2"/>
    </font>
    <font>
      <b/>
      <sz val="10"/>
      <color rgb="FF000000"/>
      <name val="Verdana"/>
      <family val="2"/>
    </font>
    <font>
      <sz val="10"/>
      <color rgb="FF000000"/>
      <name val="Verdana"/>
      <family val="2"/>
    </font>
    <font>
      <b/>
      <sz val="10"/>
      <color theme="1"/>
      <name val="Verdana"/>
      <family val="2"/>
    </font>
    <font>
      <b/>
      <sz val="12"/>
      <color rgb="FF0000CC"/>
      <name val="Verdana"/>
      <family val="2"/>
    </font>
    <font>
      <sz val="7"/>
      <name val="Verdana"/>
      <family val="2"/>
    </font>
    <font>
      <vertAlign val="subscript"/>
      <sz val="11"/>
      <color rgb="FF000000"/>
      <name val="Verdana"/>
      <family val="2"/>
    </font>
    <font>
      <b/>
      <vertAlign val="superscript"/>
      <sz val="11"/>
      <color rgb="FF000000"/>
      <name val="Verdana"/>
      <family val="2"/>
    </font>
    <font>
      <sz val="11"/>
      <color rgb="FF000000"/>
      <name val="Calibri"/>
      <family val="2"/>
      <scheme val="minor"/>
    </font>
    <font>
      <b/>
      <sz val="14"/>
      <color theme="1"/>
      <name val="Verdana"/>
      <family val="2"/>
    </font>
    <font>
      <sz val="11"/>
      <color theme="1"/>
      <name val="Verdana"/>
      <family val="2"/>
    </font>
    <font>
      <b/>
      <vertAlign val="subscript"/>
      <sz val="11"/>
      <name val="Verdana"/>
      <family val="2"/>
    </font>
    <font>
      <sz val="9"/>
      <color rgb="FF4A4D4E"/>
      <name val="Verdana"/>
      <family val="2"/>
    </font>
    <font>
      <b/>
      <sz val="11"/>
      <color theme="1"/>
      <name val="Calibri"/>
      <family val="2"/>
      <scheme val="minor"/>
    </font>
    <font>
      <sz val="16"/>
      <color rgb="FF4A4D4E"/>
      <name val="Verdana"/>
      <family val="2"/>
    </font>
    <font>
      <b/>
      <sz val="11"/>
      <color rgb="FF000000"/>
      <name val="Calibri"/>
      <family val="2"/>
      <scheme val="minor"/>
    </font>
    <font>
      <b/>
      <vertAlign val="subscript"/>
      <sz val="11"/>
      <color rgb="FF000000"/>
      <name val="Verdana"/>
      <family val="2"/>
    </font>
    <font>
      <b/>
      <sz val="14"/>
      <name val="Verdana"/>
      <family val="2"/>
    </font>
    <font>
      <sz val="11"/>
      <color theme="3"/>
      <name val="Verdana"/>
      <family val="2"/>
    </font>
    <font>
      <sz val="9.5"/>
      <color theme="3"/>
      <name val="Verdana"/>
      <family val="2"/>
    </font>
    <font>
      <b/>
      <sz val="14"/>
      <color theme="3"/>
      <name val="Verdana"/>
      <family val="2"/>
    </font>
    <font>
      <b/>
      <sz val="14"/>
      <color rgb="FF0000CC"/>
      <name val="Verdana"/>
      <family val="2"/>
    </font>
    <font>
      <b/>
      <sz val="16"/>
      <color theme="3"/>
      <name val="Verdana"/>
      <family val="2"/>
    </font>
    <font>
      <sz val="12"/>
      <color theme="3"/>
      <name val="Verdana"/>
      <family val="2"/>
    </font>
    <font>
      <b/>
      <sz val="12"/>
      <color theme="3"/>
      <name val="Verdana"/>
      <family val="2"/>
    </font>
    <font>
      <b/>
      <sz val="20"/>
      <color theme="7"/>
      <name val="Verdana"/>
      <family val="2"/>
    </font>
    <font>
      <b/>
      <sz val="20"/>
      <color theme="6" tint="-0.249977111117893"/>
      <name val="Verdana"/>
      <family val="2"/>
    </font>
    <font>
      <b/>
      <sz val="9.5"/>
      <color theme="3"/>
      <name val="Verdana"/>
      <family val="2"/>
    </font>
    <font>
      <b/>
      <sz val="10"/>
      <color theme="4"/>
      <name val="Verdana"/>
      <family val="2"/>
    </font>
    <font>
      <sz val="10"/>
      <color theme="5"/>
      <name val="Verdana"/>
      <family val="2"/>
    </font>
    <font>
      <sz val="11"/>
      <color rgb="FFFF0000"/>
      <name val="Calibri"/>
      <family val="2"/>
    </font>
    <font>
      <b/>
      <sz val="11"/>
      <color rgb="FFFF0000"/>
      <name val="Calibri"/>
      <family val="2"/>
    </font>
    <font>
      <vertAlign val="subscript"/>
      <sz val="12"/>
      <color rgb="FF0000CC"/>
      <name val="Verdana"/>
      <family val="2"/>
    </font>
    <font>
      <sz val="11"/>
      <color theme="8"/>
      <name val="Verdana"/>
      <family val="2"/>
    </font>
    <font>
      <sz val="11"/>
      <color rgb="FFFFFFFF"/>
      <name val="Verdana"/>
      <family val="2"/>
    </font>
    <font>
      <sz val="10"/>
      <color rgb="FF040C28"/>
      <name val="Verdana"/>
      <family val="2"/>
    </font>
    <font>
      <sz val="10"/>
      <color rgb="FF202124"/>
      <name val="Verdana"/>
      <family val="2"/>
    </font>
    <font>
      <sz val="9"/>
      <color indexed="81"/>
      <name val="Tahoma"/>
      <family val="2"/>
    </font>
    <font>
      <b/>
      <vertAlign val="superscript"/>
      <sz val="12"/>
      <color theme="3"/>
      <name val="Verdana"/>
      <family val="2"/>
    </font>
    <font>
      <b/>
      <sz val="10"/>
      <color rgb="FF0000CC"/>
      <name val="Verdana"/>
      <family val="2"/>
    </font>
    <font>
      <sz val="10"/>
      <color rgb="FF002855"/>
      <name val="Verdana"/>
      <family val="2"/>
    </font>
    <font>
      <b/>
      <sz val="10"/>
      <color theme="0"/>
      <name val="Verdana"/>
      <family val="2"/>
    </font>
    <font>
      <sz val="10"/>
      <color theme="0"/>
      <name val="Verdana"/>
      <family val="2"/>
    </font>
    <font>
      <vertAlign val="subscript"/>
      <sz val="10"/>
      <color theme="1"/>
      <name val="Verdana"/>
      <family val="2"/>
    </font>
    <font>
      <vertAlign val="superscript"/>
      <sz val="10"/>
      <color theme="1"/>
      <name val="Verdana"/>
      <family val="2"/>
    </font>
    <font>
      <sz val="10"/>
      <color theme="3"/>
      <name val="Verdana"/>
      <family val="2"/>
    </font>
    <font>
      <sz val="10"/>
      <color rgb="FF4A4D4E"/>
      <name val="Verdana"/>
      <family val="2"/>
    </font>
    <font>
      <sz val="11"/>
      <color rgb="FF4A4D4E"/>
      <name val="Verdana"/>
      <family val="2"/>
    </font>
    <font>
      <sz val="10"/>
      <color rgb="FF002060"/>
      <name val="Verdana"/>
      <family val="2"/>
    </font>
    <font>
      <sz val="10"/>
      <color rgb="FF0000CC"/>
      <name val="Verdana"/>
      <family val="2"/>
    </font>
    <font>
      <b/>
      <sz val="10"/>
      <color rgb="FF002855"/>
      <name val="Verdana"/>
      <family val="2"/>
    </font>
    <font>
      <sz val="12"/>
      <color theme="1"/>
      <name val="Verdana"/>
      <family val="2"/>
    </font>
    <font>
      <sz val="12"/>
      <name val="Verdana"/>
      <family val="2"/>
    </font>
    <font>
      <sz val="16"/>
      <color theme="1"/>
      <name val="Verdana"/>
      <family val="2"/>
    </font>
    <font>
      <b/>
      <sz val="10"/>
      <color rgb="FFFF0000"/>
      <name val="Verdana"/>
      <family val="2"/>
    </font>
    <font>
      <b/>
      <sz val="12"/>
      <color theme="1"/>
      <name val="Verdana"/>
      <family val="2"/>
    </font>
    <font>
      <sz val="12"/>
      <color rgb="FF000000"/>
      <name val="Verdana"/>
      <family val="2"/>
    </font>
    <font>
      <b/>
      <sz val="12"/>
      <color rgb="FF000000"/>
      <name val="Verdana"/>
      <family val="2"/>
    </font>
    <font>
      <b/>
      <sz val="12"/>
      <name val="Verdana"/>
      <family val="2"/>
    </font>
    <font>
      <b/>
      <sz val="12"/>
      <color rgb="FFFF0000"/>
      <name val="Verdana"/>
      <family val="2"/>
    </font>
    <font>
      <b/>
      <sz val="9"/>
      <color indexed="81"/>
      <name val="Tahoma"/>
      <family val="2"/>
    </font>
    <font>
      <sz val="10"/>
      <color indexed="81"/>
      <name val="Verdana"/>
      <family val="2"/>
    </font>
    <font>
      <b/>
      <sz val="10"/>
      <color indexed="81"/>
      <name val="Verdana"/>
      <family val="2"/>
    </font>
    <font>
      <vertAlign val="subscript"/>
      <sz val="12"/>
      <name val="Verdana"/>
      <family val="2"/>
    </font>
    <font>
      <b/>
      <vertAlign val="subscript"/>
      <sz val="12"/>
      <name val="Verdana"/>
      <family val="2"/>
    </font>
    <font>
      <vertAlign val="subscript"/>
      <sz val="12"/>
      <color rgb="FF000000"/>
      <name val="Verdana"/>
      <family val="2"/>
    </font>
    <font>
      <b/>
      <vertAlign val="subscript"/>
      <sz val="12"/>
      <color rgb="FF000000"/>
      <name val="Verdana"/>
      <family val="2"/>
    </font>
    <font>
      <sz val="12"/>
      <color theme="4"/>
      <name val="Verdana"/>
      <family val="2"/>
    </font>
    <font>
      <sz val="10"/>
      <color indexed="81"/>
      <name val="Tahoma"/>
      <family val="2"/>
    </font>
    <font>
      <sz val="10"/>
      <color indexed="81"/>
      <name val=" verdana"/>
    </font>
    <font>
      <sz val="14"/>
      <color theme="1"/>
      <name val="Verdana"/>
      <family val="2"/>
    </font>
    <font>
      <b/>
      <sz val="14"/>
      <color rgb="FF002855"/>
      <name val="Verdana"/>
      <family val="2"/>
    </font>
    <font>
      <b/>
      <sz val="14"/>
      <color rgb="FFFFFFFF"/>
      <name val="Verdana"/>
      <family val="2"/>
    </font>
    <font>
      <b/>
      <sz val="12"/>
      <color rgb="FFFFFFFF"/>
      <name val="Verdana"/>
      <family val="2"/>
    </font>
    <font>
      <b/>
      <sz val="16"/>
      <color rgb="FFFFFFFF"/>
      <name val="Verdana"/>
      <family val="2"/>
    </font>
    <font>
      <b/>
      <sz val="16"/>
      <color theme="0"/>
      <name val="Verdana"/>
      <family val="2"/>
    </font>
    <font>
      <vertAlign val="superscript"/>
      <sz val="12"/>
      <color theme="1"/>
      <name val="Verdana"/>
      <family val="2"/>
    </font>
    <font>
      <vertAlign val="subscript"/>
      <sz val="12"/>
      <color theme="1"/>
      <name val="Verdana"/>
      <family val="2"/>
    </font>
    <font>
      <i/>
      <sz val="10"/>
      <color theme="1"/>
      <name val="Verdana"/>
      <family val="2"/>
    </font>
    <font>
      <b/>
      <i/>
      <sz val="11"/>
      <color theme="1"/>
      <name val="Verdana"/>
      <family val="2"/>
    </font>
    <font>
      <i/>
      <sz val="12"/>
      <name val="Verdana"/>
      <family val="2"/>
    </font>
    <font>
      <b/>
      <i/>
      <sz val="12"/>
      <color theme="1"/>
      <name val="Verdana"/>
      <family val="2"/>
    </font>
    <font>
      <b/>
      <i/>
      <sz val="12"/>
      <color rgb="FF00305C"/>
      <name val="Verdana"/>
      <family val="2"/>
    </font>
    <font>
      <b/>
      <sz val="12"/>
      <color theme="6" tint="-0.499984740745262"/>
      <name val="Verdana"/>
      <family val="2"/>
    </font>
    <font>
      <b/>
      <sz val="12"/>
      <color theme="7" tint="-0.249977111117893"/>
      <name val="Verdana"/>
      <family val="2"/>
    </font>
    <font>
      <sz val="11"/>
      <color rgb="FF1E22AA"/>
      <name val="Calibri"/>
      <family val="2"/>
      <scheme val="minor"/>
    </font>
    <font>
      <b/>
      <sz val="20"/>
      <color rgb="FF1E22AA"/>
      <name val="Verdana"/>
      <family val="2"/>
    </font>
    <font>
      <u/>
      <sz val="11"/>
      <color rgb="FF1E22AA"/>
      <name val="Verdana"/>
      <family val="2"/>
    </font>
    <font>
      <sz val="11"/>
      <color rgb="FF1E22AA"/>
      <name val="Verdana"/>
      <family val="2"/>
    </font>
    <font>
      <b/>
      <sz val="11"/>
      <color rgb="FF1E22AA"/>
      <name val="Verdana"/>
      <family val="2"/>
    </font>
    <font>
      <b/>
      <sz val="12"/>
      <color rgb="FF1E22AA"/>
      <name val="Verdana"/>
      <family val="2"/>
    </font>
    <font>
      <sz val="10"/>
      <color rgb="FF1E22AA"/>
      <name val="Verdana"/>
      <family val="2"/>
    </font>
    <font>
      <sz val="12"/>
      <color rgb="FF1E22AA"/>
      <name val="Verdana"/>
      <family val="2"/>
    </font>
    <font>
      <b/>
      <sz val="10"/>
      <color rgb="FF1E22AA"/>
      <name val="Verdana"/>
      <family val="2"/>
    </font>
    <font>
      <b/>
      <sz val="14"/>
      <color rgb="FF1E22AA"/>
      <name val="Verdana"/>
      <family val="2"/>
    </font>
    <font>
      <b/>
      <vertAlign val="superscript"/>
      <sz val="12"/>
      <color rgb="FF000000"/>
      <name val="Verdana"/>
      <family val="2"/>
    </font>
    <font>
      <sz val="12"/>
      <color theme="0"/>
      <name val="Verdana"/>
      <family val="2"/>
    </font>
    <font>
      <sz val="11"/>
      <color indexed="81"/>
      <name val="Verdana"/>
      <family val="2"/>
    </font>
    <font>
      <u/>
      <sz val="11"/>
      <name val="Calibri"/>
      <family val="2"/>
      <scheme val="minor"/>
    </font>
    <font>
      <vertAlign val="superscript"/>
      <sz val="12"/>
      <name val="Verdana"/>
      <family val="2"/>
    </font>
    <font>
      <sz val="11"/>
      <color theme="1"/>
      <name val="Verdana"/>
      <family val="2"/>
    </font>
    <font>
      <sz val="10"/>
      <color rgb="FF4F4C49"/>
      <name val="Verdana"/>
      <family val="2"/>
    </font>
    <font>
      <u/>
      <sz val="11"/>
      <color theme="10"/>
      <name val="Verdana"/>
      <family val="2"/>
    </font>
    <font>
      <b/>
      <sz val="12"/>
      <color theme="4"/>
      <name val="Verdana"/>
      <family val="2"/>
    </font>
    <font>
      <sz val="11"/>
      <color theme="4"/>
      <name val="Verdana"/>
      <family val="2"/>
    </font>
    <font>
      <b/>
      <vertAlign val="superscript"/>
      <sz val="12"/>
      <color theme="4"/>
      <name val="Verdana"/>
      <family val="2"/>
    </font>
    <font>
      <sz val="10"/>
      <color theme="4"/>
      <name val="Verdana"/>
      <family val="2"/>
    </font>
    <font>
      <vertAlign val="superscript"/>
      <sz val="11"/>
      <color theme="4"/>
      <name val="Verdana"/>
      <family val="2"/>
    </font>
    <font>
      <u/>
      <sz val="10"/>
      <color theme="4"/>
      <name val="Verdana"/>
      <family val="2"/>
    </font>
    <font>
      <u/>
      <sz val="11"/>
      <color theme="3"/>
      <name val="Calibri"/>
      <family val="2"/>
      <scheme val="minor"/>
    </font>
    <font>
      <vertAlign val="superscript"/>
      <sz val="10"/>
      <name val="Verdana"/>
      <family val="2"/>
    </font>
    <font>
      <u/>
      <sz val="10"/>
      <color theme="3"/>
      <name val="Verdana"/>
      <family val="2"/>
    </font>
    <font>
      <u/>
      <sz val="10"/>
      <name val="Verdana"/>
      <family val="2"/>
    </font>
  </fonts>
  <fills count="4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00CC"/>
        <bgColor rgb="FF000000"/>
      </patternFill>
    </fill>
    <fill>
      <patternFill patternType="solid">
        <fgColor theme="0"/>
        <bgColor rgb="FF000000"/>
      </patternFill>
    </fill>
    <fill>
      <patternFill patternType="solid">
        <fgColor theme="0" tint="-0.14999847407452621"/>
        <bgColor indexed="64"/>
      </patternFill>
    </fill>
    <fill>
      <patternFill patternType="solid">
        <fgColor theme="2"/>
        <bgColor indexed="64"/>
      </patternFill>
    </fill>
    <fill>
      <patternFill patternType="solid">
        <fgColor theme="0" tint="-0.14999847407452621"/>
        <bgColor rgb="FF000000"/>
      </patternFill>
    </fill>
    <fill>
      <patternFill patternType="solid">
        <fgColor rgb="FF0000CC"/>
        <bgColor indexed="64"/>
      </patternFill>
    </fill>
    <fill>
      <patternFill patternType="solid">
        <fgColor rgb="FFD9E2EE"/>
        <bgColor indexed="64"/>
      </patternFill>
    </fill>
    <fill>
      <patternFill patternType="solid">
        <fgColor rgb="FF4F74AE"/>
        <bgColor indexed="64"/>
      </patternFill>
    </fill>
    <fill>
      <patternFill patternType="solid">
        <fgColor rgb="FF9DB3D3"/>
        <bgColor indexed="64"/>
      </patternFill>
    </fill>
    <fill>
      <patternFill patternType="solid">
        <fgColor rgb="FFE3E4E5"/>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bgColor indexed="64"/>
      </patternFill>
    </fill>
    <fill>
      <patternFill patternType="solid">
        <fgColor theme="9" tint="-9.9978637043366805E-2"/>
        <bgColor indexed="64"/>
      </patternFill>
    </fill>
    <fill>
      <patternFill patternType="solid">
        <fgColor theme="9" tint="-9.9978637043366805E-2"/>
        <bgColor rgb="FF000000"/>
      </patternFill>
    </fill>
    <fill>
      <patternFill patternType="solid">
        <fgColor theme="0" tint="-4.9989318521683403E-2"/>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6" tint="0.39997558519241921"/>
        <bgColor indexed="64"/>
      </patternFill>
    </fill>
    <fill>
      <patternFill patternType="solid">
        <fgColor rgb="FFFFC000"/>
        <bgColor rgb="FF000000"/>
      </patternFill>
    </fill>
    <fill>
      <patternFill patternType="solid">
        <fgColor rgb="FF92D050"/>
        <bgColor indexed="64"/>
      </patternFill>
    </fill>
    <fill>
      <patternFill patternType="solid">
        <fgColor theme="2" tint="0.79998168889431442"/>
        <bgColor indexed="64"/>
      </patternFill>
    </fill>
    <fill>
      <patternFill patternType="solid">
        <fgColor theme="6"/>
        <bgColor indexed="64"/>
      </patternFill>
    </fill>
    <fill>
      <patternFill patternType="solid">
        <fgColor theme="7" tint="0.79998168889431442"/>
        <bgColor indexed="64"/>
      </patternFill>
    </fill>
    <fill>
      <patternFill patternType="solid">
        <fgColor theme="4"/>
        <bgColor indexed="64"/>
      </patternFill>
    </fill>
    <fill>
      <patternFill patternType="solid">
        <fgColor rgb="FF1E22AA"/>
        <bgColor indexed="64"/>
      </patternFill>
    </fill>
    <fill>
      <patternFill patternType="solid">
        <fgColor rgb="FF00ACE9"/>
        <bgColor indexed="64"/>
      </patternFill>
    </fill>
    <fill>
      <patternFill patternType="solid">
        <fgColor rgb="FF1E22AA"/>
        <bgColor rgb="FF000000"/>
      </patternFill>
    </fill>
    <fill>
      <patternFill patternType="solid">
        <fgColor theme="9"/>
        <bgColor rgb="FF000000"/>
      </patternFill>
    </fill>
    <fill>
      <patternFill patternType="solid">
        <fgColor rgb="FFE3E3E3"/>
        <bgColor rgb="FF000000"/>
      </patternFill>
    </fill>
    <fill>
      <patternFill patternType="solid">
        <fgColor theme="9" tint="-0.249977111117893"/>
        <bgColor indexed="64"/>
      </patternFill>
    </fill>
    <fill>
      <patternFill patternType="solid">
        <fgColor theme="0" tint="-0.249977111117893"/>
        <bgColor indexed="64"/>
      </patternFill>
    </fill>
    <fill>
      <patternFill patternType="solid">
        <fgColor rgb="FFFFFF00"/>
        <bgColor rgb="FF000000"/>
      </patternFill>
    </fill>
    <fill>
      <patternFill patternType="solid">
        <fgColor rgb="FFFF0000"/>
        <bgColor indexed="64"/>
      </patternFill>
    </fill>
  </fills>
  <borders count="86">
    <border>
      <left/>
      <right/>
      <top/>
      <bottom/>
      <diagonal/>
    </border>
    <border>
      <left/>
      <right/>
      <top style="hair">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hair">
        <color auto="1"/>
      </bottom>
      <diagonal/>
    </border>
    <border>
      <left style="thin">
        <color theme="0" tint="-0.14999847407452621"/>
      </left>
      <right style="thin">
        <color theme="0" tint="-0.14999847407452621"/>
      </right>
      <top style="thin">
        <color theme="0" tint="-0.14999847407452621"/>
      </top>
      <bottom/>
      <diagonal/>
    </border>
    <border>
      <left style="thin">
        <color theme="2"/>
      </left>
      <right style="thin">
        <color theme="2"/>
      </right>
      <top style="thin">
        <color theme="2"/>
      </top>
      <bottom style="thin">
        <color theme="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9" tint="-0.499984740745262"/>
      </left>
      <right style="thin">
        <color theme="9" tint="-0.499984740745262"/>
      </right>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style="thin">
        <color theme="1" tint="0.14999847407452621"/>
      </right>
      <top style="thin">
        <color theme="1" tint="0.14999847407452621"/>
      </top>
      <bottom/>
      <diagonal/>
    </border>
    <border>
      <left style="thin">
        <color theme="1" tint="0.14999847407452621"/>
      </left>
      <right style="thin">
        <color theme="1" tint="0.14999847407452621"/>
      </right>
      <top/>
      <bottom style="thin">
        <color theme="1" tint="0.14999847407452621"/>
      </bottom>
      <diagonal/>
    </border>
    <border>
      <left style="thin">
        <color theme="9" tint="-0.499984740745262"/>
      </left>
      <right/>
      <top/>
      <bottom/>
      <diagonal/>
    </border>
    <border>
      <left/>
      <right style="thin">
        <color theme="9" tint="-0.499984740745262"/>
      </right>
      <top/>
      <bottom/>
      <diagonal/>
    </border>
    <border>
      <left style="thin">
        <color theme="9" tint="-0.499984740745262"/>
      </left>
      <right/>
      <top style="thin">
        <color theme="9" tint="-0.499984740745262"/>
      </top>
      <bottom/>
      <diagonal/>
    </border>
    <border>
      <left style="thin">
        <color indexed="64"/>
      </left>
      <right style="thin">
        <color indexed="64"/>
      </right>
      <top/>
      <bottom style="thin">
        <color indexed="64"/>
      </bottom>
      <diagonal/>
    </border>
    <border>
      <left style="thin">
        <color theme="1" tint="0.14999847407452621"/>
      </left>
      <right/>
      <top style="thin">
        <color theme="1" tint="0.14999847407452621"/>
      </top>
      <bottom style="thin">
        <color theme="1" tint="0.14999847407452621"/>
      </bottom>
      <diagonal/>
    </border>
    <border>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indexed="64"/>
      </left>
      <right style="thin">
        <color indexed="64"/>
      </right>
      <top style="thin">
        <color indexed="64"/>
      </top>
      <bottom/>
      <diagonal/>
    </border>
    <border>
      <left/>
      <right/>
      <top style="thin">
        <color theme="9" tint="-0.499984740745262"/>
      </top>
      <bottom/>
      <diagonal/>
    </border>
    <border>
      <left/>
      <right/>
      <top/>
      <bottom style="thin">
        <color indexed="64"/>
      </bottom>
      <diagonal/>
    </border>
    <border>
      <left/>
      <right/>
      <top style="thin">
        <color theme="2"/>
      </top>
      <bottom/>
      <diagonal/>
    </border>
    <border>
      <left style="thin">
        <color indexed="64"/>
      </left>
      <right style="thin">
        <color indexed="64"/>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style="thin">
        <color theme="9" tint="-0.249977111117893"/>
      </left>
      <right style="thin">
        <color theme="9" tint="-0.249977111117893"/>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style="thin">
        <color theme="9" tint="-0.249977111117893"/>
      </right>
      <top style="thin">
        <color theme="2"/>
      </top>
      <bottom style="thin">
        <color theme="2"/>
      </bottom>
      <diagonal/>
    </border>
    <border>
      <left style="thin">
        <color theme="9" tint="-0.249977111117893"/>
      </left>
      <right style="thin">
        <color theme="9" tint="-0.249977111117893"/>
      </right>
      <top style="thin">
        <color theme="2"/>
      </top>
      <bottom style="thin">
        <color theme="9" tint="-0.249977111117893"/>
      </bottom>
      <diagonal/>
    </border>
    <border>
      <left style="thin">
        <color theme="9" tint="-0.249977111117893"/>
      </left>
      <right style="thin">
        <color theme="9" tint="-0.249977111117893"/>
      </right>
      <top style="thin">
        <color theme="9" tint="-0.249977111117893"/>
      </top>
      <bottom style="thin">
        <color theme="2"/>
      </bottom>
      <diagonal/>
    </border>
    <border>
      <left style="thin">
        <color theme="9" tint="-0.249977111117893"/>
      </left>
      <right style="thin">
        <color theme="9" tint="-0.249977111117893"/>
      </right>
      <top style="thin">
        <color theme="2"/>
      </top>
      <bottom/>
      <diagonal/>
    </border>
    <border>
      <left style="thin">
        <color theme="9" tint="-0.499984740745262"/>
      </left>
      <right style="thin">
        <color theme="9" tint="-0.499984740745262"/>
      </right>
      <top style="thin">
        <color indexed="64"/>
      </top>
      <bottom style="thin">
        <color indexed="64"/>
      </bottom>
      <diagonal/>
    </border>
    <border>
      <left style="thin">
        <color theme="9" tint="-0.499984740745262"/>
      </left>
      <right style="thin">
        <color theme="9" tint="-0.499984740745262"/>
      </right>
      <top style="thin">
        <color indexed="64"/>
      </top>
      <bottom style="thin">
        <color theme="9" tint="-0.499984740745262"/>
      </bottom>
      <diagonal/>
    </border>
    <border>
      <left style="thin">
        <color theme="9" tint="-0.499984740745262"/>
      </left>
      <right style="thin">
        <color theme="9" tint="-0.499984740745262"/>
      </right>
      <top style="thin">
        <color theme="9" tint="-0.499984740745262"/>
      </top>
      <bottom style="thin">
        <color indexed="64"/>
      </bottom>
      <diagonal/>
    </border>
    <border>
      <left style="thin">
        <color theme="9" tint="-0.249977111117893"/>
      </left>
      <right style="thin">
        <color theme="9" tint="-0.249977111117893"/>
      </right>
      <top/>
      <bottom style="thin">
        <color theme="2"/>
      </bottom>
      <diagonal/>
    </border>
    <border>
      <left style="thin">
        <color theme="9" tint="-0.249977111117893"/>
      </left>
      <right style="thin">
        <color theme="9" tint="-0.249977111117893"/>
      </right>
      <top style="thin">
        <color indexed="64"/>
      </top>
      <bottom style="thin">
        <color theme="9" tint="-0.249977111117893"/>
      </bottom>
      <diagonal/>
    </border>
    <border>
      <left style="thin">
        <color theme="9" tint="-0.249977111117893"/>
      </left>
      <right style="thin">
        <color theme="9" tint="-0.249977111117893"/>
      </right>
      <top style="thin">
        <color theme="9" tint="-0.249977111117893"/>
      </top>
      <bottom style="thin">
        <color indexed="64"/>
      </bottom>
      <diagonal/>
    </border>
    <border>
      <left style="thin">
        <color theme="2"/>
      </left>
      <right style="thin">
        <color theme="2"/>
      </right>
      <top style="thin">
        <color indexed="64"/>
      </top>
      <bottom style="thin">
        <color indexed="64"/>
      </bottom>
      <diagonal/>
    </border>
    <border>
      <left style="thin">
        <color theme="9" tint="-0.249977111117893"/>
      </left>
      <right style="thin">
        <color theme="9" tint="-0.249977111117893"/>
      </right>
      <top style="thin">
        <color indexed="64"/>
      </top>
      <bottom/>
      <diagonal/>
    </border>
    <border>
      <left style="thin">
        <color theme="9" tint="-0.249977111117893"/>
      </left>
      <right/>
      <top style="thin">
        <color theme="9" tint="-0.249977111117893"/>
      </top>
      <bottom style="thin">
        <color indexed="64"/>
      </bottom>
      <diagonal/>
    </border>
    <border>
      <left style="thin">
        <color theme="9" tint="-0.249977111117893"/>
      </left>
      <right style="thin">
        <color theme="9" tint="-0.249977111117893"/>
      </right>
      <top/>
      <bottom style="thin">
        <color indexed="64"/>
      </bottom>
      <diagonal/>
    </border>
    <border>
      <left style="thin">
        <color theme="9" tint="-0.249977111117893"/>
      </left>
      <right/>
      <top style="thin">
        <color indexed="64"/>
      </top>
      <bottom style="thin">
        <color theme="9" tint="-0.249977111117893"/>
      </bottom>
      <diagonal/>
    </border>
    <border>
      <left/>
      <right/>
      <top style="thin">
        <color theme="9" tint="-0.249977111117893"/>
      </top>
      <bottom style="thin">
        <color indexed="64"/>
      </bottom>
      <diagonal/>
    </border>
    <border>
      <left/>
      <right style="thin">
        <color theme="9" tint="-0.249977111117893"/>
      </right>
      <top style="thin">
        <color theme="9" tint="-0.249977111117893"/>
      </top>
      <bottom style="thin">
        <color indexed="64"/>
      </bottom>
      <diagonal/>
    </border>
    <border>
      <left style="thin">
        <color theme="9" tint="-0.249977111117893"/>
      </left>
      <right/>
      <top style="thin">
        <color indexed="64"/>
      </top>
      <bottom/>
      <diagonal/>
    </border>
    <border>
      <left/>
      <right style="thin">
        <color theme="9" tint="-0.249977111117893"/>
      </right>
      <top style="thin">
        <color indexed="64"/>
      </top>
      <bottom/>
      <diagonal/>
    </border>
    <border>
      <left/>
      <right/>
      <top style="thin">
        <color theme="2" tint="0.79998168889431442"/>
      </top>
      <bottom/>
      <diagonal/>
    </border>
    <border>
      <left/>
      <right style="thin">
        <color theme="2" tint="0.79998168889431442"/>
      </right>
      <top style="thin">
        <color theme="2" tint="0.79998168889431442"/>
      </top>
      <bottom/>
      <diagonal/>
    </border>
    <border>
      <left/>
      <right style="thin">
        <color theme="2" tint="0.79998168889431442"/>
      </right>
      <top/>
      <bottom/>
      <diagonal/>
    </border>
    <border>
      <left/>
      <right/>
      <top/>
      <bottom style="thin">
        <color theme="2" tint="0.79998168889431442"/>
      </bottom>
      <diagonal/>
    </border>
    <border>
      <left/>
      <right style="thin">
        <color theme="2" tint="0.79998168889431442"/>
      </right>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diagonal/>
    </border>
    <border>
      <left style="thin">
        <color theme="2" tint="0.79998168889431442"/>
      </left>
      <right/>
      <top/>
      <bottom/>
      <diagonal/>
    </border>
    <border>
      <left style="thin">
        <color theme="2" tint="0.79998168889431442"/>
      </left>
      <right/>
      <top/>
      <bottom style="thin">
        <color theme="2" tint="0.79998168889431442"/>
      </bottom>
      <diagonal/>
    </border>
    <border>
      <left style="thin">
        <color theme="9" tint="-9.9978637043366805E-2"/>
      </left>
      <right style="thin">
        <color theme="9" tint="-9.9978637043366805E-2"/>
      </right>
      <top style="thin">
        <color theme="9" tint="-9.9978637043366805E-2"/>
      </top>
      <bottom style="thin">
        <color theme="9" tint="-9.9978637043366805E-2"/>
      </bottom>
      <diagonal/>
    </border>
    <border>
      <left/>
      <right style="thin">
        <color indexed="64"/>
      </right>
      <top style="thin">
        <color indexed="64"/>
      </top>
      <bottom style="thin">
        <color indexed="64"/>
      </bottom>
      <diagonal/>
    </border>
    <border>
      <left style="thin">
        <color rgb="FF575756"/>
      </left>
      <right/>
      <top style="thin">
        <color rgb="FF575756"/>
      </top>
      <bottom style="thin">
        <color rgb="FF575756"/>
      </bottom>
      <diagonal/>
    </border>
    <border>
      <left/>
      <right style="thin">
        <color rgb="FF575756"/>
      </right>
      <top style="thin">
        <color rgb="FF575756"/>
      </top>
      <bottom style="thin">
        <color rgb="FF575756"/>
      </bottom>
      <diagonal/>
    </border>
    <border>
      <left style="thin">
        <color rgb="FF575756"/>
      </left>
      <right style="thin">
        <color rgb="FF575756"/>
      </right>
      <top/>
      <bottom/>
      <diagonal/>
    </border>
    <border>
      <left/>
      <right style="thin">
        <color rgb="FF575756"/>
      </right>
      <top/>
      <bottom/>
      <diagonal/>
    </border>
    <border>
      <left/>
      <right style="thin">
        <color indexed="64"/>
      </right>
      <top/>
      <bottom style="thin">
        <color indexed="64"/>
      </bottom>
      <diagonal/>
    </border>
    <border>
      <left style="thin">
        <color theme="9" tint="-0.499984740745262"/>
      </left>
      <right/>
      <top style="thin">
        <color indexed="64"/>
      </top>
      <bottom style="thin">
        <color indexed="64"/>
      </bottom>
      <diagonal/>
    </border>
    <border>
      <left style="thin">
        <color theme="9" tint="-0.499984740745262"/>
      </left>
      <right/>
      <top style="thin">
        <color theme="9" tint="-0.499984740745262"/>
      </top>
      <bottom style="thin">
        <color indexed="64"/>
      </bottom>
      <diagonal/>
    </border>
    <border>
      <left style="thin">
        <color theme="9" tint="-0.499984740745262"/>
      </left>
      <right/>
      <top style="thin">
        <color indexed="64"/>
      </top>
      <bottom style="thin">
        <color theme="9" tint="-0.499984740745262"/>
      </bottom>
      <diagonal/>
    </border>
    <border>
      <left style="thin">
        <color theme="9" tint="-0.499984740745262"/>
      </left>
      <right style="thin">
        <color theme="9" tint="-0.499984740745262"/>
      </right>
      <top style="thin">
        <color indexed="64"/>
      </top>
      <bottom/>
      <diagonal/>
    </border>
    <border>
      <left style="thin">
        <color theme="9" tint="-0.249977111117893"/>
      </left>
      <right/>
      <top/>
      <bottom style="thin">
        <color theme="9" tint="-0.249977111117893"/>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4" applyNumberFormat="0" applyFill="0" applyProtection="0">
      <alignment horizontal="left" vertical="center" wrapText="1"/>
    </xf>
    <xf numFmtId="0" fontId="5" fillId="9" borderId="0" applyNumberFormat="0" applyProtection="0">
      <alignment horizontal="right" wrapText="1"/>
    </xf>
  </cellStyleXfs>
  <cellXfs count="1580">
    <xf numFmtId="0" fontId="0" fillId="0" borderId="0" xfId="0"/>
    <xf numFmtId="0" fontId="0" fillId="2" borderId="0" xfId="0" applyFill="1"/>
    <xf numFmtId="0" fontId="8" fillId="2" borderId="0" xfId="0" applyFont="1" applyFill="1"/>
    <xf numFmtId="0" fontId="13" fillId="2" borderId="0" xfId="0" applyFont="1" applyFill="1"/>
    <xf numFmtId="0" fontId="12" fillId="4" borderId="0" xfId="0" applyFont="1" applyFill="1" applyAlignment="1">
      <alignment horizontal="left" vertical="center" wrapText="1"/>
    </xf>
    <xf numFmtId="0" fontId="14" fillId="4" borderId="0" xfId="0" applyFont="1" applyFill="1" applyAlignment="1">
      <alignment vertical="top"/>
    </xf>
    <xf numFmtId="0" fontId="12" fillId="4" borderId="0" xfId="0" applyFont="1" applyFill="1" applyAlignment="1">
      <alignment horizontal="left" vertical="top" wrapText="1"/>
    </xf>
    <xf numFmtId="0" fontId="12" fillId="4" borderId="0" xfId="0" applyFont="1" applyFill="1" applyAlignment="1">
      <alignment vertical="top"/>
    </xf>
    <xf numFmtId="0" fontId="15" fillId="5" borderId="0" xfId="0" applyFont="1" applyFill="1" applyAlignment="1">
      <alignment vertical="center"/>
    </xf>
    <xf numFmtId="0" fontId="9" fillId="2" borderId="0" xfId="0" applyFont="1" applyFill="1" applyAlignment="1">
      <alignment horizontal="right" vertical="center"/>
    </xf>
    <xf numFmtId="0" fontId="17" fillId="2" borderId="0" xfId="0" applyFont="1" applyFill="1" applyAlignment="1">
      <alignment horizontal="left" vertical="center"/>
    </xf>
    <xf numFmtId="0" fontId="18" fillId="2" borderId="0" xfId="0" applyFont="1" applyFill="1" applyAlignment="1">
      <alignment horizontal="left" vertical="center"/>
    </xf>
    <xf numFmtId="0" fontId="6" fillId="2" borderId="0" xfId="0" applyFont="1" applyFill="1"/>
    <xf numFmtId="0" fontId="8" fillId="0" borderId="0" xfId="0" applyFont="1"/>
    <xf numFmtId="0" fontId="16" fillId="2" borderId="0" xfId="0" applyFont="1" applyFill="1" applyAlignment="1">
      <alignment horizontal="left" vertical="center"/>
    </xf>
    <xf numFmtId="0" fontId="8" fillId="2" borderId="0" xfId="0" applyFont="1" applyFill="1" applyAlignment="1">
      <alignment wrapText="1"/>
    </xf>
    <xf numFmtId="0" fontId="23" fillId="3" borderId="0" xfId="0" applyFont="1" applyFill="1" applyAlignment="1">
      <alignment wrapText="1"/>
    </xf>
    <xf numFmtId="0" fontId="30" fillId="5" borderId="0" xfId="0" applyFont="1" applyFill="1"/>
    <xf numFmtId="0" fontId="33" fillId="2" borderId="0" xfId="0" applyFont="1" applyFill="1" applyAlignment="1">
      <alignment horizontal="left" vertical="center" indent="1"/>
    </xf>
    <xf numFmtId="0" fontId="34" fillId="5" borderId="0" xfId="0" applyFont="1" applyFill="1" applyAlignment="1">
      <alignment vertical="top" wrapText="1"/>
    </xf>
    <xf numFmtId="0" fontId="35" fillId="5" borderId="0" xfId="0" applyFont="1" applyFill="1" applyAlignment="1">
      <alignment vertical="top" wrapText="1"/>
    </xf>
    <xf numFmtId="0" fontId="36" fillId="5" borderId="0" xfId="0" applyFont="1" applyFill="1" applyAlignment="1">
      <alignment vertical="top"/>
    </xf>
    <xf numFmtId="0" fontId="34" fillId="5" borderId="0" xfId="0" applyFont="1" applyFill="1" applyAlignment="1">
      <alignment horizontal="left" vertical="top" wrapText="1"/>
    </xf>
    <xf numFmtId="0" fontId="39" fillId="5" borderId="0" xfId="0" applyFont="1" applyFill="1" applyAlignment="1">
      <alignment vertical="center"/>
    </xf>
    <xf numFmtId="0" fontId="12" fillId="5" borderId="0" xfId="0" applyFont="1" applyFill="1" applyAlignment="1">
      <alignment vertical="center"/>
    </xf>
    <xf numFmtId="0" fontId="22" fillId="0" borderId="0" xfId="0" applyFont="1"/>
    <xf numFmtId="0" fontId="40" fillId="6" borderId="0" xfId="0" applyFont="1" applyFill="1" applyAlignment="1">
      <alignment horizontal="left"/>
    </xf>
    <xf numFmtId="0" fontId="41" fillId="6" borderId="0" xfId="0" applyFont="1" applyFill="1" applyAlignment="1">
      <alignment horizontal="left"/>
    </xf>
    <xf numFmtId="0" fontId="42" fillId="6" borderId="0" xfId="0" applyFont="1" applyFill="1" applyAlignment="1">
      <alignment horizontal="right"/>
    </xf>
    <xf numFmtId="0" fontId="43" fillId="6" borderId="0" xfId="0" applyFont="1" applyFill="1"/>
    <xf numFmtId="0" fontId="44" fillId="7" borderId="0" xfId="0" applyFont="1" applyFill="1"/>
    <xf numFmtId="0" fontId="45" fillId="7" borderId="0" xfId="0" applyFont="1" applyFill="1" applyAlignment="1">
      <alignment horizontal="right"/>
    </xf>
    <xf numFmtId="0" fontId="35" fillId="7" borderId="0" xfId="0" applyFont="1" applyFill="1" applyAlignment="1">
      <alignment horizontal="right"/>
    </xf>
    <xf numFmtId="0" fontId="35" fillId="7" borderId="0" xfId="0" applyFont="1" applyFill="1" applyAlignment="1">
      <alignment vertical="top" wrapText="1"/>
    </xf>
    <xf numFmtId="0" fontId="47" fillId="5" borderId="0" xfId="0" applyFont="1" applyFill="1" applyAlignment="1">
      <alignment horizontal="center" wrapText="1"/>
    </xf>
    <xf numFmtId="164" fontId="47" fillId="5" borderId="0" xfId="3" applyNumberFormat="1" applyFont="1" applyFill="1" applyAlignment="1">
      <alignment horizontal="center" vertical="center" wrapText="1"/>
    </xf>
    <xf numFmtId="0" fontId="35" fillId="2" borderId="0" xfId="0" applyFont="1" applyFill="1"/>
    <xf numFmtId="0" fontId="45" fillId="2" borderId="0" xfId="0" applyFont="1" applyFill="1" applyAlignment="1">
      <alignment horizontal="right"/>
    </xf>
    <xf numFmtId="0" fontId="35" fillId="2" borderId="0" xfId="0" applyFont="1" applyFill="1" applyAlignment="1">
      <alignment horizontal="right"/>
    </xf>
    <xf numFmtId="0" fontId="35" fillId="5" borderId="0" xfId="0" applyFont="1" applyFill="1" applyAlignment="1">
      <alignment horizontal="right"/>
    </xf>
    <xf numFmtId="164" fontId="35" fillId="5" borderId="0" xfId="3" applyNumberFormat="1" applyFont="1" applyFill="1" applyAlignment="1">
      <alignment horizontal="center" vertical="center" wrapText="1"/>
    </xf>
    <xf numFmtId="0" fontId="38" fillId="5" borderId="0" xfId="0" applyFont="1" applyFill="1" applyAlignment="1">
      <alignment horizontal="center" wrapText="1"/>
    </xf>
    <xf numFmtId="0" fontId="35" fillId="5" borderId="0" xfId="0" applyFont="1" applyFill="1" applyAlignment="1">
      <alignment horizontal="left"/>
    </xf>
    <xf numFmtId="0" fontId="38" fillId="5" borderId="0" xfId="0" applyFont="1" applyFill="1" applyAlignment="1">
      <alignment horizontal="right"/>
    </xf>
    <xf numFmtId="0" fontId="49" fillId="5" borderId="0" xfId="0" applyFont="1" applyFill="1" applyAlignment="1">
      <alignment horizontal="right"/>
    </xf>
    <xf numFmtId="0" fontId="27" fillId="2" borderId="0" xfId="0" applyFont="1" applyFill="1" applyAlignment="1">
      <alignment horizontal="left" vertical="center" indent="1"/>
    </xf>
    <xf numFmtId="0" fontId="45" fillId="5" borderId="0" xfId="0" applyFont="1" applyFill="1" applyAlignment="1">
      <alignment horizontal="right"/>
    </xf>
    <xf numFmtId="0" fontId="50" fillId="6" borderId="0" xfId="0" applyFont="1" applyFill="1" applyAlignment="1">
      <alignment horizontal="left"/>
    </xf>
    <xf numFmtId="0" fontId="8" fillId="2" borderId="1" xfId="0" applyFont="1" applyFill="1" applyBorder="1"/>
    <xf numFmtId="0" fontId="7" fillId="2" borderId="1" xfId="0" applyFont="1" applyFill="1" applyBorder="1"/>
    <xf numFmtId="0" fontId="10" fillId="2" borderId="1" xfId="2" applyNumberFormat="1" applyFont="1" applyFill="1" applyBorder="1" applyAlignment="1">
      <alignment horizontal="right"/>
    </xf>
    <xf numFmtId="0" fontId="10" fillId="2" borderId="1" xfId="0" applyFont="1" applyFill="1" applyBorder="1" applyAlignment="1">
      <alignment horizontal="right"/>
    </xf>
    <xf numFmtId="164" fontId="8" fillId="2" borderId="0" xfId="3" applyNumberFormat="1" applyFont="1" applyFill="1"/>
    <xf numFmtId="0" fontId="52" fillId="2" borderId="0" xfId="0" applyFont="1" applyFill="1"/>
    <xf numFmtId="0" fontId="10" fillId="2" borderId="0" xfId="0" applyFont="1" applyFill="1"/>
    <xf numFmtId="171" fontId="8" fillId="2" borderId="0" xfId="0" applyNumberFormat="1" applyFont="1" applyFill="1"/>
    <xf numFmtId="0" fontId="54" fillId="2" borderId="0" xfId="0" applyFont="1" applyFill="1"/>
    <xf numFmtId="168" fontId="10" fillId="2" borderId="0" xfId="2" applyNumberFormat="1" applyFont="1" applyFill="1" applyAlignment="1">
      <alignment horizontal="right"/>
    </xf>
    <xf numFmtId="0" fontId="7" fillId="2" borderId="0" xfId="0" applyFont="1" applyFill="1"/>
    <xf numFmtId="164" fontId="47" fillId="5" borderId="0" xfId="0" applyNumberFormat="1" applyFont="1" applyFill="1" applyAlignment="1">
      <alignment horizontal="center" vertical="center" wrapText="1"/>
    </xf>
    <xf numFmtId="166" fontId="10" fillId="2" borderId="0" xfId="2" applyNumberFormat="1" applyFont="1" applyFill="1" applyBorder="1" applyAlignment="1">
      <alignment horizontal="right"/>
    </xf>
    <xf numFmtId="166" fontId="7" fillId="2" borderId="0" xfId="2" applyNumberFormat="1" applyFont="1" applyFill="1" applyBorder="1" applyAlignment="1">
      <alignment horizontal="right"/>
    </xf>
    <xf numFmtId="164" fontId="8" fillId="2" borderId="0" xfId="3" applyNumberFormat="1" applyFont="1" applyFill="1" applyBorder="1"/>
    <xf numFmtId="168" fontId="10" fillId="2" borderId="0" xfId="2" applyNumberFormat="1" applyFont="1" applyFill="1" applyBorder="1" applyAlignment="1">
      <alignment horizontal="right"/>
    </xf>
    <xf numFmtId="0" fontId="8" fillId="2" borderId="0" xfId="0" applyFont="1" applyFill="1" applyAlignment="1">
      <alignment vertical="center"/>
    </xf>
    <xf numFmtId="0" fontId="7" fillId="2" borderId="0" xfId="0" applyFont="1" applyFill="1" applyAlignment="1">
      <alignment vertical="center"/>
    </xf>
    <xf numFmtId="0" fontId="61" fillId="2" borderId="0" xfId="0" applyFont="1" applyFill="1"/>
    <xf numFmtId="0" fontId="8" fillId="2" borderId="0" xfId="0" applyFont="1" applyFill="1" applyAlignment="1">
      <alignment horizontal="left" vertical="center" wrapText="1"/>
    </xf>
    <xf numFmtId="0" fontId="62" fillId="5" borderId="0" xfId="0" applyFont="1" applyFill="1"/>
    <xf numFmtId="0" fontId="6" fillId="2" borderId="0" xfId="0" applyFont="1" applyFill="1" applyAlignment="1">
      <alignment wrapText="1"/>
    </xf>
    <xf numFmtId="0" fontId="13" fillId="2" borderId="0" xfId="0" applyFont="1" applyFill="1" applyAlignment="1">
      <alignment vertical="center" wrapText="1"/>
    </xf>
    <xf numFmtId="0" fontId="59" fillId="5" borderId="0" xfId="0" applyFont="1" applyFill="1" applyAlignment="1">
      <alignment vertical="top"/>
    </xf>
    <xf numFmtId="0" fontId="32" fillId="2" borderId="0" xfId="0" applyFont="1" applyFill="1" applyAlignment="1">
      <alignment vertical="center" wrapText="1"/>
    </xf>
    <xf numFmtId="1" fontId="47" fillId="5" borderId="0" xfId="3" applyNumberFormat="1" applyFont="1" applyFill="1" applyAlignment="1">
      <alignment horizontal="center" vertical="center" wrapText="1"/>
    </xf>
    <xf numFmtId="9" fontId="47" fillId="5" borderId="0" xfId="3" applyFont="1" applyFill="1" applyAlignment="1">
      <alignment horizontal="center" vertical="center" wrapText="1"/>
    </xf>
    <xf numFmtId="9" fontId="35" fillId="5" borderId="0" xfId="3" applyFont="1" applyFill="1" applyAlignment="1">
      <alignment horizontal="right"/>
    </xf>
    <xf numFmtId="9" fontId="49" fillId="5" borderId="0" xfId="3" applyFont="1" applyFill="1" applyAlignment="1">
      <alignment horizontal="right"/>
    </xf>
    <xf numFmtId="9" fontId="8" fillId="2" borderId="0" xfId="3" applyFont="1" applyFill="1" applyAlignment="1">
      <alignment horizontal="left" vertical="center" wrapText="1"/>
    </xf>
    <xf numFmtId="0" fontId="21" fillId="2" borderId="0" xfId="0" applyFont="1" applyFill="1"/>
    <xf numFmtId="0" fontId="21" fillId="2" borderId="0" xfId="0" applyFont="1" applyFill="1" applyAlignment="1">
      <alignment horizontal="left" vertical="center" wrapText="1"/>
    </xf>
    <xf numFmtId="0" fontId="8" fillId="17" borderId="0" xfId="0" applyFont="1" applyFill="1"/>
    <xf numFmtId="0" fontId="58" fillId="18" borderId="2" xfId="0" applyFont="1" applyFill="1" applyBorder="1" applyAlignment="1">
      <alignment vertical="center"/>
    </xf>
    <xf numFmtId="0" fontId="58" fillId="18" borderId="2" xfId="0" applyFont="1" applyFill="1" applyBorder="1" applyAlignment="1">
      <alignment horizontal="center" vertical="center"/>
    </xf>
    <xf numFmtId="0" fontId="63" fillId="18" borderId="2" xfId="0" applyFont="1" applyFill="1" applyBorder="1" applyAlignment="1">
      <alignment horizontal="center" vertical="center" wrapText="1"/>
    </xf>
    <xf numFmtId="0" fontId="8" fillId="18" borderId="0" xfId="0" applyFont="1" applyFill="1" applyAlignment="1">
      <alignment wrapText="1"/>
    </xf>
    <xf numFmtId="0" fontId="58" fillId="18" borderId="0" xfId="0" applyFont="1" applyFill="1" applyAlignment="1">
      <alignment vertical="center" wrapText="1"/>
    </xf>
    <xf numFmtId="0" fontId="8" fillId="18" borderId="0" xfId="0" applyFont="1" applyFill="1" applyAlignment="1">
      <alignment horizontal="left" vertical="center" wrapText="1"/>
    </xf>
    <xf numFmtId="0" fontId="8" fillId="18" borderId="0" xfId="0" applyFont="1" applyFill="1"/>
    <xf numFmtId="0" fontId="10" fillId="18" borderId="5" xfId="0" applyFont="1" applyFill="1" applyBorder="1" applyAlignment="1">
      <alignment vertical="center"/>
    </xf>
    <xf numFmtId="0" fontId="58" fillId="18" borderId="2" xfId="0" applyFont="1" applyFill="1" applyBorder="1" applyAlignment="1">
      <alignment horizontal="center" vertical="center" wrapText="1"/>
    </xf>
    <xf numFmtId="0" fontId="8" fillId="18" borderId="2" xfId="0" applyFont="1" applyFill="1" applyBorder="1" applyAlignment="1">
      <alignment horizontal="left" indent="2"/>
    </xf>
    <xf numFmtId="0" fontId="8" fillId="18" borderId="2" xfId="0" applyFont="1" applyFill="1" applyBorder="1" applyAlignment="1">
      <alignment horizontal="center" vertical="center" wrapText="1"/>
    </xf>
    <xf numFmtId="0" fontId="8" fillId="18" borderId="2" xfId="0" applyFont="1" applyFill="1" applyBorder="1" applyAlignment="1">
      <alignment horizontal="left" wrapText="1" indent="2"/>
    </xf>
    <xf numFmtId="0" fontId="10" fillId="18" borderId="2" xfId="0" applyFont="1" applyFill="1" applyBorder="1" applyAlignment="1">
      <alignment vertical="center"/>
    </xf>
    <xf numFmtId="0" fontId="21" fillId="18" borderId="2" xfId="0" applyFont="1" applyFill="1" applyBorder="1" applyAlignment="1">
      <alignment wrapText="1"/>
    </xf>
    <xf numFmtId="166" fontId="8" fillId="2" borderId="0" xfId="0" applyNumberFormat="1" applyFont="1" applyFill="1"/>
    <xf numFmtId="9" fontId="8" fillId="2" borderId="0" xfId="3" applyFont="1" applyFill="1" applyAlignment="1">
      <alignment vertical="center"/>
    </xf>
    <xf numFmtId="0" fontId="8" fillId="2" borderId="0" xfId="0" applyFont="1" applyFill="1" applyAlignment="1">
      <alignment vertical="center" wrapText="1"/>
    </xf>
    <xf numFmtId="0" fontId="25" fillId="2" borderId="0" xfId="0" applyFont="1" applyFill="1" applyAlignment="1">
      <alignment horizontal="left" vertical="center" wrapText="1"/>
    </xf>
    <xf numFmtId="9" fontId="25" fillId="2" borderId="0" xfId="0" applyNumberFormat="1" applyFont="1" applyFill="1" applyAlignment="1">
      <alignment horizontal="left" vertical="center" wrapText="1"/>
    </xf>
    <xf numFmtId="9" fontId="25" fillId="2" borderId="0" xfId="0" applyNumberFormat="1" applyFont="1" applyFill="1" applyAlignment="1">
      <alignment vertical="center" wrapText="1"/>
    </xf>
    <xf numFmtId="0" fontId="25" fillId="2" borderId="0" xfId="0" applyFont="1" applyFill="1" applyAlignment="1">
      <alignment vertical="center" wrapText="1"/>
    </xf>
    <xf numFmtId="0" fontId="6" fillId="2" borderId="0" xfId="0" applyFont="1" applyFill="1" applyAlignment="1">
      <alignment vertical="center" wrapText="1"/>
    </xf>
    <xf numFmtId="1" fontId="8" fillId="2" borderId="0" xfId="0" applyNumberFormat="1" applyFont="1" applyFill="1" applyAlignment="1">
      <alignment horizontal="center"/>
    </xf>
    <xf numFmtId="0" fontId="39" fillId="5" borderId="0" xfId="0" applyFont="1" applyFill="1" applyAlignment="1">
      <alignment vertical="center" wrapText="1"/>
    </xf>
    <xf numFmtId="0" fontId="27" fillId="2" borderId="0" xfId="0" applyFont="1" applyFill="1" applyAlignment="1">
      <alignment horizontal="left" vertical="center" wrapText="1"/>
    </xf>
    <xf numFmtId="0" fontId="34" fillId="5" borderId="0" xfId="0" applyFont="1" applyFill="1" applyAlignment="1">
      <alignment vertical="center" wrapText="1"/>
    </xf>
    <xf numFmtId="0" fontId="35" fillId="5" borderId="0" xfId="0" applyFont="1" applyFill="1" applyAlignment="1">
      <alignment vertical="center" wrapText="1"/>
    </xf>
    <xf numFmtId="0" fontId="36" fillId="5" borderId="0" xfId="0" applyFont="1" applyFill="1" applyAlignment="1">
      <alignment vertical="center"/>
    </xf>
    <xf numFmtId="0" fontId="36" fillId="5" borderId="0" xfId="0" applyFont="1" applyFill="1" applyAlignment="1">
      <alignment vertical="center" wrapText="1"/>
    </xf>
    <xf numFmtId="0" fontId="34" fillId="5" borderId="0" xfId="0" applyFont="1" applyFill="1" applyAlignment="1">
      <alignment horizontal="left" vertical="center" wrapText="1"/>
    </xf>
    <xf numFmtId="0" fontId="22" fillId="0" borderId="0" xfId="0" applyFont="1" applyAlignment="1">
      <alignment vertical="center"/>
    </xf>
    <xf numFmtId="0" fontId="40" fillId="6" borderId="0" xfId="0" applyFont="1" applyFill="1" applyAlignment="1">
      <alignment horizontal="left" vertical="center"/>
    </xf>
    <xf numFmtId="0" fontId="41" fillId="6" borderId="0" xfId="0" applyFont="1" applyFill="1" applyAlignment="1">
      <alignment horizontal="left" vertical="center" wrapText="1"/>
    </xf>
    <xf numFmtId="0" fontId="42" fillId="6" borderId="0" xfId="0" applyFont="1" applyFill="1" applyAlignment="1">
      <alignment horizontal="right" vertical="center"/>
    </xf>
    <xf numFmtId="0" fontId="43" fillId="6" borderId="0" xfId="0" applyFont="1" applyFill="1" applyAlignment="1">
      <alignment vertical="center"/>
    </xf>
    <xf numFmtId="0" fontId="44" fillId="7" borderId="0" xfId="0" applyFont="1" applyFill="1" applyAlignment="1">
      <alignment vertical="center" wrapText="1"/>
    </xf>
    <xf numFmtId="0" fontId="45" fillId="7" borderId="0" xfId="0" applyFont="1" applyFill="1" applyAlignment="1">
      <alignment horizontal="right" vertical="center"/>
    </xf>
    <xf numFmtId="0" fontId="35" fillId="7" borderId="0" xfId="0" applyFont="1" applyFill="1" applyAlignment="1">
      <alignment horizontal="right" vertical="center"/>
    </xf>
    <xf numFmtId="0" fontId="35" fillId="7" borderId="0" xfId="0" applyFont="1" applyFill="1" applyAlignment="1">
      <alignment vertical="center" wrapText="1"/>
    </xf>
    <xf numFmtId="0" fontId="35" fillId="2" borderId="0" xfId="0" applyFont="1" applyFill="1" applyAlignment="1">
      <alignment vertical="center"/>
    </xf>
    <xf numFmtId="0" fontId="35" fillId="2" borderId="0" xfId="0" applyFont="1" applyFill="1" applyAlignment="1">
      <alignment vertical="center" wrapText="1"/>
    </xf>
    <xf numFmtId="0" fontId="45" fillId="2" borderId="0" xfId="0" applyFont="1" applyFill="1" applyAlignment="1">
      <alignment horizontal="right" vertical="center"/>
    </xf>
    <xf numFmtId="0" fontId="35" fillId="5" borderId="0" xfId="0" applyFont="1" applyFill="1" applyAlignment="1">
      <alignment horizontal="right" vertical="center"/>
    </xf>
    <xf numFmtId="0" fontId="75" fillId="5" borderId="0" xfId="0" applyFont="1" applyFill="1" applyAlignment="1">
      <alignment vertical="center"/>
    </xf>
    <xf numFmtId="0" fontId="30" fillId="5" borderId="0" xfId="0" applyFont="1" applyFill="1" applyAlignment="1">
      <alignment vertical="center" wrapText="1"/>
    </xf>
    <xf numFmtId="0" fontId="30" fillId="5" borderId="0" xfId="0" applyFont="1" applyFill="1" applyAlignment="1">
      <alignment vertical="center"/>
    </xf>
    <xf numFmtId="0" fontId="49" fillId="5" borderId="0" xfId="0" applyFont="1" applyFill="1" applyAlignment="1">
      <alignment horizontal="right" vertical="center"/>
    </xf>
    <xf numFmtId="0" fontId="45" fillId="5" borderId="0" xfId="0" applyFont="1" applyFill="1" applyAlignment="1">
      <alignment horizontal="right" vertical="center"/>
    </xf>
    <xf numFmtId="0" fontId="50" fillId="6" borderId="0" xfId="0" applyFont="1" applyFill="1" applyAlignment="1">
      <alignment horizontal="left" vertical="center"/>
    </xf>
    <xf numFmtId="0" fontId="43" fillId="7" borderId="0" xfId="0" applyFont="1" applyFill="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wrapText="1"/>
    </xf>
    <xf numFmtId="0" fontId="10" fillId="2" borderId="1" xfId="2" applyNumberFormat="1" applyFont="1" applyFill="1" applyBorder="1" applyAlignment="1">
      <alignment horizontal="right" vertical="center"/>
    </xf>
    <xf numFmtId="0" fontId="10" fillId="2" borderId="1" xfId="0" applyFont="1" applyFill="1" applyBorder="1" applyAlignment="1">
      <alignment horizontal="right" vertical="center"/>
    </xf>
    <xf numFmtId="166" fontId="8" fillId="2" borderId="0" xfId="0" applyNumberFormat="1" applyFont="1" applyFill="1" applyAlignment="1">
      <alignment vertical="center"/>
    </xf>
    <xf numFmtId="0" fontId="21" fillId="2" borderId="0" xfId="0" applyFont="1" applyFill="1" applyAlignment="1">
      <alignment vertical="center"/>
    </xf>
    <xf numFmtId="0" fontId="21" fillId="2" borderId="0" xfId="0" applyFont="1" applyFill="1" applyAlignment="1">
      <alignment vertical="center" wrapText="1"/>
    </xf>
    <xf numFmtId="166" fontId="21" fillId="2" borderId="0" xfId="2" applyNumberFormat="1" applyFont="1" applyFill="1" applyBorder="1" applyAlignment="1">
      <alignment horizontal="right" vertical="center"/>
    </xf>
    <xf numFmtId="166" fontId="8" fillId="2" borderId="0" xfId="2" applyNumberFormat="1" applyFont="1" applyFill="1" applyBorder="1" applyAlignment="1">
      <alignment horizontal="right" vertical="center"/>
    </xf>
    <xf numFmtId="164" fontId="8" fillId="2" borderId="0" xfId="3" applyNumberFormat="1" applyFont="1" applyFill="1" applyBorder="1" applyAlignment="1">
      <alignment vertical="center"/>
    </xf>
    <xf numFmtId="164" fontId="8" fillId="2" borderId="0" xfId="3" applyNumberFormat="1" applyFont="1" applyFill="1" applyAlignment="1">
      <alignment vertical="center"/>
    </xf>
    <xf numFmtId="0" fontId="52" fillId="2" borderId="0" xfId="0" applyFont="1" applyFill="1" applyAlignment="1">
      <alignment vertical="center"/>
    </xf>
    <xf numFmtId="0" fontId="10" fillId="2" borderId="0" xfId="0" applyFont="1" applyFill="1" applyAlignment="1">
      <alignment vertical="center" wrapText="1"/>
    </xf>
    <xf numFmtId="166" fontId="10" fillId="2" borderId="0" xfId="2" applyNumberFormat="1" applyFont="1" applyFill="1" applyAlignment="1">
      <alignment horizontal="right" vertical="center"/>
    </xf>
    <xf numFmtId="166" fontId="7" fillId="2" borderId="0" xfId="2" applyNumberFormat="1" applyFont="1" applyFill="1" applyAlignment="1">
      <alignment horizontal="right" vertical="center"/>
    </xf>
    <xf numFmtId="0" fontId="54" fillId="2" borderId="0" xfId="0" applyFont="1" applyFill="1" applyAlignment="1">
      <alignment vertical="center" wrapText="1"/>
    </xf>
    <xf numFmtId="0" fontId="54" fillId="2" borderId="0" xfId="0" applyFont="1" applyFill="1" applyAlignment="1">
      <alignment vertical="center"/>
    </xf>
    <xf numFmtId="168" fontId="10" fillId="2" borderId="0" xfId="2" applyNumberFormat="1" applyFont="1" applyFill="1" applyAlignment="1">
      <alignment horizontal="right" vertical="center"/>
    </xf>
    <xf numFmtId="0" fontId="7" fillId="2" borderId="0" xfId="0" applyFont="1" applyFill="1" applyAlignment="1">
      <alignment vertical="center" wrapText="1"/>
    </xf>
    <xf numFmtId="9" fontId="10" fillId="2" borderId="0" xfId="3" applyFont="1" applyFill="1" applyAlignment="1">
      <alignment horizontal="left" vertical="center"/>
    </xf>
    <xf numFmtId="9" fontId="7" fillId="2" borderId="0" xfId="3" applyFont="1" applyFill="1" applyAlignment="1">
      <alignment vertical="center"/>
    </xf>
    <xf numFmtId="0" fontId="68" fillId="5" borderId="0" xfId="0" applyFont="1" applyFill="1" applyAlignment="1">
      <alignment vertical="center"/>
    </xf>
    <xf numFmtId="0" fontId="77" fillId="5" borderId="0" xfId="0" applyFont="1" applyFill="1" applyAlignment="1">
      <alignment vertical="center"/>
    </xf>
    <xf numFmtId="0" fontId="0" fillId="0" borderId="7" xfId="0" applyBorder="1" applyAlignment="1">
      <alignment vertical="center"/>
    </xf>
    <xf numFmtId="0" fontId="7" fillId="5" borderId="7" xfId="0" applyFont="1" applyFill="1" applyBorder="1" applyAlignment="1">
      <alignment vertical="center" wrapText="1"/>
    </xf>
    <xf numFmtId="3" fontId="7" fillId="5" borderId="7" xfId="0" applyNumberFormat="1" applyFont="1" applyFill="1" applyBorder="1" applyAlignment="1">
      <alignment horizontal="right" vertical="center"/>
    </xf>
    <xf numFmtId="0" fontId="76" fillId="0" borderId="7" xfId="0" applyFont="1" applyBorder="1" applyAlignment="1">
      <alignment vertical="center"/>
    </xf>
    <xf numFmtId="0" fontId="10" fillId="5" borderId="7" xfId="0" applyFont="1" applyFill="1" applyBorder="1" applyAlignment="1">
      <alignment vertical="center" wrapText="1"/>
    </xf>
    <xf numFmtId="0" fontId="46" fillId="22" borderId="7" xfId="0" applyFont="1" applyFill="1" applyBorder="1" applyAlignment="1">
      <alignment horizontal="left" vertical="center" wrapText="1"/>
    </xf>
    <xf numFmtId="0" fontId="22" fillId="0" borderId="7" xfId="0" applyFont="1" applyBorder="1" applyAlignment="1">
      <alignment horizontal="left" vertical="center" wrapText="1"/>
    </xf>
    <xf numFmtId="0" fontId="22" fillId="0" borderId="7" xfId="0" applyFont="1" applyBorder="1" applyAlignment="1">
      <alignment vertical="center" wrapText="1"/>
    </xf>
    <xf numFmtId="3" fontId="22" fillId="2" borderId="7" xfId="0" applyNumberFormat="1" applyFont="1" applyFill="1" applyBorder="1" applyAlignment="1">
      <alignment horizontal="right" vertical="center" wrapText="1"/>
    </xf>
    <xf numFmtId="0" fontId="29" fillId="0" borderId="7" xfId="0" applyFont="1" applyBorder="1" applyAlignment="1">
      <alignment vertical="center" wrapText="1"/>
    </xf>
    <xf numFmtId="3" fontId="29" fillId="2" borderId="7" xfId="0" applyNumberFormat="1" applyFont="1" applyFill="1" applyBorder="1" applyAlignment="1">
      <alignment horizontal="right" vertical="center" wrapText="1"/>
    </xf>
    <xf numFmtId="0" fontId="7" fillId="21" borderId="7" xfId="0" applyFont="1" applyFill="1" applyBorder="1" applyAlignment="1">
      <alignment vertical="center" wrapText="1"/>
    </xf>
    <xf numFmtId="0" fontId="7" fillId="0" borderId="7" xfId="0" applyFont="1" applyBorder="1" applyAlignment="1">
      <alignment horizontal="left" vertical="center" wrapText="1"/>
    </xf>
    <xf numFmtId="0" fontId="7" fillId="0" borderId="7" xfId="0" applyFont="1" applyBorder="1" applyAlignment="1">
      <alignment vertical="center" wrapText="1"/>
    </xf>
    <xf numFmtId="3" fontId="7" fillId="0" borderId="7" xfId="0" applyNumberFormat="1" applyFont="1" applyBorder="1" applyAlignment="1">
      <alignment vertical="center" wrapText="1"/>
    </xf>
    <xf numFmtId="0" fontId="21" fillId="4" borderId="7" xfId="0" applyFont="1" applyFill="1" applyBorder="1" applyAlignment="1">
      <alignment vertical="center"/>
    </xf>
    <xf numFmtId="0" fontId="21" fillId="4" borderId="7" xfId="0" applyFont="1" applyFill="1" applyBorder="1" applyAlignment="1">
      <alignment vertical="center" wrapText="1"/>
    </xf>
    <xf numFmtId="166" fontId="21" fillId="4" borderId="7" xfId="2" applyNumberFormat="1" applyFont="1" applyFill="1" applyBorder="1" applyAlignment="1">
      <alignment horizontal="right" vertical="center"/>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8" fillId="2" borderId="7" xfId="0" applyFont="1" applyFill="1" applyBorder="1" applyAlignment="1">
      <alignment vertical="center"/>
    </xf>
    <xf numFmtId="3" fontId="10" fillId="0" borderId="7" xfId="0" applyNumberFormat="1" applyFont="1" applyBorder="1" applyAlignment="1">
      <alignment vertical="center"/>
    </xf>
    <xf numFmtId="166" fontId="10" fillId="2" borderId="7" xfId="2" applyNumberFormat="1" applyFont="1" applyFill="1" applyBorder="1" applyAlignment="1">
      <alignment horizontal="right" vertical="center"/>
    </xf>
    <xf numFmtId="3" fontId="21" fillId="0" borderId="7" xfId="0" applyNumberFormat="1" applyFont="1" applyBorder="1" applyAlignment="1">
      <alignment vertical="center"/>
    </xf>
    <xf numFmtId="167" fontId="8" fillId="2" borderId="7" xfId="2" applyNumberFormat="1" applyFont="1" applyFill="1" applyBorder="1" applyAlignment="1">
      <alignment horizontal="right" vertical="center"/>
    </xf>
    <xf numFmtId="166" fontId="8" fillId="2" borderId="7" xfId="2" applyNumberFormat="1" applyFont="1" applyFill="1" applyBorder="1" applyAlignment="1">
      <alignment horizontal="right" vertical="center"/>
    </xf>
    <xf numFmtId="0" fontId="21" fillId="0" borderId="7" xfId="0" applyFont="1" applyBorder="1" applyAlignment="1">
      <alignment vertical="center"/>
    </xf>
    <xf numFmtId="0" fontId="21" fillId="0" borderId="7" xfId="0" applyFont="1" applyBorder="1" applyAlignment="1">
      <alignment horizontal="left" vertical="center" wrapText="1"/>
    </xf>
    <xf numFmtId="0" fontId="21" fillId="2" borderId="7" xfId="0" applyFont="1" applyFill="1" applyBorder="1" applyAlignment="1">
      <alignment vertical="center"/>
    </xf>
    <xf numFmtId="166" fontId="21" fillId="2" borderId="7" xfId="2" applyNumberFormat="1" applyFont="1" applyFill="1" applyBorder="1" applyAlignment="1">
      <alignment horizontal="right" vertical="center"/>
    </xf>
    <xf numFmtId="166" fontId="10" fillId="0" borderId="7" xfId="2" applyNumberFormat="1" applyFont="1" applyBorder="1" applyAlignment="1">
      <alignment horizontal="right" vertical="center"/>
    </xf>
    <xf numFmtId="166" fontId="21" fillId="0" borderId="7" xfId="2" applyNumberFormat="1" applyFont="1" applyBorder="1" applyAlignment="1">
      <alignment horizontal="right" vertical="center"/>
    </xf>
    <xf numFmtId="0" fontId="21" fillId="0" borderId="7" xfId="0" applyFont="1" applyBorder="1" applyAlignment="1">
      <alignment vertical="center" wrapText="1"/>
    </xf>
    <xf numFmtId="9" fontId="21" fillId="4" borderId="7" xfId="3" applyFont="1" applyFill="1" applyBorder="1" applyAlignment="1">
      <alignment horizontal="right" vertical="center"/>
    </xf>
    <xf numFmtId="0" fontId="29" fillId="2" borderId="7" xfId="0" applyFont="1" applyFill="1" applyBorder="1" applyAlignment="1">
      <alignment vertical="center"/>
    </xf>
    <xf numFmtId="0" fontId="29" fillId="2" borderId="7" xfId="0" applyFont="1" applyFill="1" applyBorder="1" applyAlignment="1">
      <alignment vertical="center" wrapText="1"/>
    </xf>
    <xf numFmtId="0" fontId="29" fillId="0" borderId="7" xfId="0" applyFont="1" applyBorder="1" applyAlignment="1">
      <alignment vertical="center"/>
    </xf>
    <xf numFmtId="9" fontId="21" fillId="0" borderId="7" xfId="3" applyFont="1" applyBorder="1" applyAlignment="1">
      <alignment vertical="center"/>
    </xf>
    <xf numFmtId="0" fontId="72" fillId="4" borderId="7" xfId="0" applyFont="1" applyFill="1" applyBorder="1" applyAlignment="1">
      <alignment vertical="center"/>
    </xf>
    <xf numFmtId="0" fontId="8" fillId="0" borderId="7" xfId="0" applyFont="1" applyBorder="1" applyAlignment="1">
      <alignment vertical="center" wrapText="1"/>
    </xf>
    <xf numFmtId="0" fontId="7" fillId="0" borderId="7" xfId="0" applyFont="1" applyBorder="1" applyAlignment="1">
      <alignment vertical="center"/>
    </xf>
    <xf numFmtId="3" fontId="8" fillId="0" borderId="7" xfId="0" applyNumberFormat="1" applyFont="1" applyBorder="1" applyAlignment="1">
      <alignment horizontal="right" vertical="center" wrapText="1"/>
    </xf>
    <xf numFmtId="166" fontId="7" fillId="0" borderId="7" xfId="2" applyNumberFormat="1" applyFont="1" applyBorder="1" applyAlignment="1">
      <alignment horizontal="right" vertical="center"/>
    </xf>
    <xf numFmtId="3" fontId="7" fillId="0" borderId="7" xfId="0" applyNumberFormat="1" applyFont="1" applyBorder="1" applyAlignment="1">
      <alignment horizontal="right" vertical="center" wrapText="1"/>
    </xf>
    <xf numFmtId="0" fontId="52" fillId="0" borderId="7" xfId="0" applyFont="1" applyBorder="1" applyAlignment="1">
      <alignment vertical="center"/>
    </xf>
    <xf numFmtId="0" fontId="10" fillId="0" borderId="7" xfId="0" applyFont="1" applyBorder="1" applyAlignment="1">
      <alignment vertical="center"/>
    </xf>
    <xf numFmtId="3" fontId="21" fillId="0" borderId="7" xfId="0" applyNumberFormat="1" applyFont="1" applyBorder="1" applyAlignment="1">
      <alignment horizontal="right" vertical="center" wrapText="1"/>
    </xf>
    <xf numFmtId="0" fontId="52" fillId="0" borderId="7" xfId="0" applyFont="1" applyBorder="1" applyAlignment="1">
      <alignment vertical="center" wrapText="1"/>
    </xf>
    <xf numFmtId="0" fontId="8" fillId="0" borderId="7" xfId="0" applyFont="1" applyBorder="1" applyAlignment="1">
      <alignment vertical="center"/>
    </xf>
    <xf numFmtId="166" fontId="22" fillId="0" borderId="7" xfId="2" applyNumberFormat="1" applyFont="1" applyBorder="1" applyAlignment="1">
      <alignment horizontal="right" vertical="center"/>
    </xf>
    <xf numFmtId="164" fontId="7" fillId="0" borderId="7" xfId="2" applyNumberFormat="1" applyFont="1" applyBorder="1" applyAlignment="1">
      <alignment horizontal="right" vertical="center"/>
    </xf>
    <xf numFmtId="0" fontId="7" fillId="2" borderId="7" xfId="0" applyFont="1" applyFill="1" applyBorder="1" applyAlignment="1">
      <alignment vertical="center"/>
    </xf>
    <xf numFmtId="0" fontId="71" fillId="0" borderId="7" xfId="0" applyFont="1" applyBorder="1" applyAlignment="1">
      <alignment vertical="center"/>
    </xf>
    <xf numFmtId="0" fontId="8" fillId="2" borderId="7" xfId="0" applyFont="1" applyFill="1" applyBorder="1" applyAlignment="1">
      <alignment vertical="center" wrapText="1"/>
    </xf>
    <xf numFmtId="166" fontId="7" fillId="0" borderId="7" xfId="2" applyNumberFormat="1" applyFont="1" applyFill="1" applyBorder="1" applyAlignment="1">
      <alignment horizontal="right" vertical="center"/>
    </xf>
    <xf numFmtId="1" fontId="22" fillId="0" borderId="7" xfId="2" applyNumberFormat="1" applyFont="1" applyFill="1" applyBorder="1" applyAlignment="1">
      <alignment horizontal="right" vertical="center"/>
    </xf>
    <xf numFmtId="0" fontId="78" fillId="0" borderId="7" xfId="0" applyFont="1" applyBorder="1" applyAlignment="1">
      <alignment vertical="center"/>
    </xf>
    <xf numFmtId="166" fontId="10" fillId="0" borderId="7" xfId="2" applyNumberFormat="1" applyFont="1" applyFill="1" applyBorder="1" applyAlignment="1">
      <alignment horizontal="right" vertical="center"/>
    </xf>
    <xf numFmtId="170" fontId="7" fillId="0" borderId="7" xfId="0" applyNumberFormat="1" applyFont="1" applyBorder="1" applyAlignment="1">
      <alignment vertical="center"/>
    </xf>
    <xf numFmtId="1" fontId="7" fillId="0" borderId="7" xfId="2" applyNumberFormat="1" applyFont="1" applyFill="1" applyBorder="1" applyAlignment="1">
      <alignment horizontal="right" vertical="center"/>
    </xf>
    <xf numFmtId="0" fontId="7" fillId="5" borderId="7" xfId="0" applyFont="1" applyFill="1" applyBorder="1" applyAlignment="1">
      <alignment horizontal="center" vertical="center"/>
    </xf>
    <xf numFmtId="0" fontId="6" fillId="2" borderId="7" xfId="0" applyFont="1" applyFill="1" applyBorder="1" applyAlignment="1">
      <alignment vertical="center" wrapText="1"/>
    </xf>
    <xf numFmtId="0" fontId="7" fillId="5" borderId="7" xfId="0" applyFont="1" applyFill="1" applyBorder="1" applyAlignment="1">
      <alignment vertical="center"/>
    </xf>
    <xf numFmtId="0" fontId="7" fillId="5" borderId="7" xfId="0" applyFont="1" applyFill="1" applyBorder="1" applyAlignment="1">
      <alignment horizontal="center" vertical="center" wrapText="1"/>
    </xf>
    <xf numFmtId="0" fontId="22" fillId="5" borderId="7" xfId="0" applyFont="1" applyFill="1" applyBorder="1" applyAlignment="1">
      <alignment vertical="center" wrapText="1"/>
    </xf>
    <xf numFmtId="0" fontId="22" fillId="5" borderId="7" xfId="0" applyFont="1" applyFill="1" applyBorder="1" applyAlignment="1">
      <alignment vertical="center"/>
    </xf>
    <xf numFmtId="166" fontId="7" fillId="7" borderId="7" xfId="2" applyNumberFormat="1" applyFont="1" applyFill="1" applyBorder="1" applyAlignment="1">
      <alignment horizontal="right" vertical="center"/>
    </xf>
    <xf numFmtId="0" fontId="22" fillId="0" borderId="7" xfId="0" applyFont="1" applyBorder="1" applyAlignment="1">
      <alignment vertical="center"/>
    </xf>
    <xf numFmtId="165" fontId="22" fillId="0" borderId="7" xfId="0" applyNumberFormat="1" applyFont="1" applyBorder="1" applyAlignment="1">
      <alignment horizontal="right" vertical="center"/>
    </xf>
    <xf numFmtId="169" fontId="20" fillId="0" borderId="7"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3" fontId="7" fillId="0" borderId="7" xfId="0" applyNumberFormat="1" applyFont="1" applyBorder="1" applyAlignment="1">
      <alignment vertical="center"/>
    </xf>
    <xf numFmtId="0" fontId="7" fillId="0" borderId="7" xfId="0" applyFont="1" applyBorder="1" applyAlignment="1">
      <alignment horizontal="left" vertical="center"/>
    </xf>
    <xf numFmtId="10" fontId="7" fillId="0" borderId="7" xfId="0" applyNumberFormat="1" applyFont="1" applyBorder="1" applyAlignment="1">
      <alignment vertical="center"/>
    </xf>
    <xf numFmtId="0" fontId="10" fillId="4" borderId="7" xfId="0" applyFont="1" applyFill="1" applyBorder="1" applyAlignment="1">
      <alignment vertical="center"/>
    </xf>
    <xf numFmtId="0" fontId="10" fillId="4" borderId="7" xfId="0" applyFont="1" applyFill="1" applyBorder="1" applyAlignment="1">
      <alignment vertical="center" wrapText="1"/>
    </xf>
    <xf numFmtId="0" fontId="52" fillId="10" borderId="7" xfId="0" applyFont="1" applyFill="1" applyBorder="1" applyAlignment="1">
      <alignment horizontal="center" vertical="center" wrapText="1"/>
    </xf>
    <xf numFmtId="0" fontId="81" fillId="10" borderId="7" xfId="0" applyFont="1" applyFill="1" applyBorder="1" applyAlignment="1">
      <alignment horizontal="center" vertical="center"/>
    </xf>
    <xf numFmtId="0" fontId="81" fillId="10" borderId="7" xfId="0" applyFont="1" applyFill="1" applyBorder="1" applyAlignment="1">
      <alignment horizontal="center" vertical="center" wrapText="1"/>
    </xf>
    <xf numFmtId="0" fontId="84" fillId="22" borderId="7" xfId="0" applyFont="1" applyFill="1" applyBorder="1" applyAlignment="1">
      <alignment horizontal="left" vertical="center" wrapText="1"/>
    </xf>
    <xf numFmtId="0" fontId="52" fillId="22" borderId="7" xfId="0" applyFont="1" applyFill="1" applyBorder="1" applyAlignment="1">
      <alignment horizontal="center" vertical="center" wrapText="1"/>
    </xf>
    <xf numFmtId="0" fontId="52" fillId="22" borderId="7" xfId="0" applyFont="1" applyFill="1" applyBorder="1" applyAlignment="1">
      <alignment horizontal="right" vertical="center" wrapText="1"/>
    </xf>
    <xf numFmtId="0" fontId="81" fillId="22" borderId="7" xfId="0" applyFont="1" applyFill="1" applyBorder="1" applyAlignment="1">
      <alignment horizontal="right" vertical="center"/>
    </xf>
    <xf numFmtId="0" fontId="10" fillId="0" borderId="7" xfId="0" applyFont="1" applyBorder="1" applyAlignment="1">
      <alignment vertical="center" wrapText="1"/>
    </xf>
    <xf numFmtId="3" fontId="10" fillId="0" borderId="7" xfId="0" applyNumberFormat="1" applyFont="1" applyBorder="1" applyAlignment="1">
      <alignment vertical="center" wrapText="1"/>
    </xf>
    <xf numFmtId="3" fontId="10" fillId="5" borderId="7" xfId="0" applyNumberFormat="1" applyFont="1" applyFill="1" applyBorder="1" applyAlignment="1">
      <alignment horizontal="right" vertical="center"/>
    </xf>
    <xf numFmtId="0" fontId="10" fillId="5" borderId="7" xfId="0" applyFont="1" applyFill="1" applyBorder="1" applyAlignment="1">
      <alignment horizontal="right" vertical="center"/>
    </xf>
    <xf numFmtId="171" fontId="10" fillId="5" borderId="7" xfId="0" applyNumberFormat="1" applyFont="1" applyFill="1" applyBorder="1" applyAlignment="1">
      <alignment horizontal="right" vertical="center"/>
    </xf>
    <xf numFmtId="3" fontId="10" fillId="4" borderId="7" xfId="0" applyNumberFormat="1" applyFont="1" applyFill="1" applyBorder="1" applyAlignment="1">
      <alignment horizontal="right" vertical="center"/>
    </xf>
    <xf numFmtId="0" fontId="10" fillId="4" borderId="7" xfId="0" applyFont="1" applyFill="1" applyBorder="1" applyAlignment="1">
      <alignment horizontal="right" vertical="center"/>
    </xf>
    <xf numFmtId="3" fontId="29" fillId="4" borderId="7" xfId="0" applyNumberFormat="1" applyFont="1" applyFill="1" applyBorder="1" applyAlignment="1">
      <alignment horizontal="right" vertical="center" wrapText="1"/>
    </xf>
    <xf numFmtId="3" fontId="10" fillId="4" borderId="7" xfId="0" applyNumberFormat="1" applyFont="1" applyFill="1" applyBorder="1" applyAlignment="1">
      <alignment vertical="center" wrapText="1"/>
    </xf>
    <xf numFmtId="166" fontId="10" fillId="4" borderId="7" xfId="2" applyNumberFormat="1" applyFont="1" applyFill="1" applyBorder="1" applyAlignment="1">
      <alignment horizontal="right" vertical="center"/>
    </xf>
    <xf numFmtId="166" fontId="8" fillId="4" borderId="7" xfId="2" applyNumberFormat="1" applyFont="1" applyFill="1" applyBorder="1" applyAlignment="1">
      <alignment horizontal="right" vertical="center"/>
    </xf>
    <xf numFmtId="0" fontId="85" fillId="21" borderId="7" xfId="0" applyFont="1" applyFill="1" applyBorder="1" applyAlignment="1">
      <alignment vertical="center"/>
    </xf>
    <xf numFmtId="0" fontId="52" fillId="22" borderId="7" xfId="0" applyFont="1" applyFill="1" applyBorder="1" applyAlignment="1">
      <alignment horizontal="left" vertical="center" wrapText="1"/>
    </xf>
    <xf numFmtId="0" fontId="52" fillId="21" borderId="7" xfId="2" applyNumberFormat="1" applyFont="1" applyFill="1" applyBorder="1" applyAlignment="1">
      <alignment horizontal="right" vertical="center"/>
    </xf>
    <xf numFmtId="0" fontId="80" fillId="4" borderId="7" xfId="0" applyFont="1" applyFill="1" applyBorder="1" applyAlignment="1">
      <alignment vertical="center"/>
    </xf>
    <xf numFmtId="0" fontId="52" fillId="21" borderId="7" xfId="0" applyFont="1" applyFill="1" applyBorder="1" applyAlignment="1">
      <alignment horizontal="left" vertical="center" wrapText="1"/>
    </xf>
    <xf numFmtId="0" fontId="46" fillId="23" borderId="7" xfId="0" applyFont="1" applyFill="1" applyBorder="1" applyAlignment="1">
      <alignment horizontal="left" vertical="center" wrapText="1"/>
    </xf>
    <xf numFmtId="0" fontId="85" fillId="22" borderId="7" xfId="0" applyFont="1" applyFill="1" applyBorder="1" applyAlignment="1">
      <alignment vertical="center"/>
    </xf>
    <xf numFmtId="169" fontId="85" fillId="8" borderId="7" xfId="0" applyNumberFormat="1" applyFont="1" applyFill="1" applyBorder="1" applyAlignment="1">
      <alignment vertical="center" wrapText="1"/>
    </xf>
    <xf numFmtId="0" fontId="81" fillId="22" borderId="7" xfId="0" applyFont="1" applyFill="1" applyBorder="1" applyAlignment="1">
      <alignment horizontal="center" vertical="center"/>
    </xf>
    <xf numFmtId="0" fontId="10" fillId="4" borderId="7" xfId="0" applyFont="1" applyFill="1" applyBorder="1" applyAlignment="1">
      <alignment horizontal="center" vertical="center" wrapText="1"/>
    </xf>
    <xf numFmtId="3" fontId="10" fillId="4" borderId="7" xfId="0" applyNumberFormat="1" applyFont="1" applyFill="1" applyBorder="1" applyAlignment="1">
      <alignment vertical="center"/>
    </xf>
    <xf numFmtId="0" fontId="10" fillId="23" borderId="7" xfId="0" applyFont="1" applyFill="1" applyBorder="1" applyAlignment="1">
      <alignment horizontal="center" vertical="center" wrapText="1"/>
    </xf>
    <xf numFmtId="166" fontId="10" fillId="23" borderId="7" xfId="2" applyNumberFormat="1" applyFont="1" applyFill="1" applyBorder="1" applyAlignment="1">
      <alignment horizontal="right" vertical="center"/>
    </xf>
    <xf numFmtId="171" fontId="29" fillId="4" borderId="7" xfId="0" applyNumberFormat="1" applyFont="1" applyFill="1" applyBorder="1" applyAlignment="1">
      <alignment horizontal="right" vertical="center"/>
    </xf>
    <xf numFmtId="0" fontId="29" fillId="4" borderId="7" xfId="0" applyFont="1" applyFill="1" applyBorder="1" applyAlignment="1">
      <alignment horizontal="right" vertical="center"/>
    </xf>
    <xf numFmtId="10" fontId="10" fillId="4" borderId="7" xfId="0" applyNumberFormat="1" applyFont="1" applyFill="1" applyBorder="1" applyAlignment="1">
      <alignment vertical="center"/>
    </xf>
    <xf numFmtId="167" fontId="10" fillId="4" borderId="7" xfId="2" applyNumberFormat="1" applyFont="1" applyFill="1" applyBorder="1" applyAlignment="1">
      <alignment horizontal="right" vertical="center"/>
    </xf>
    <xf numFmtId="0" fontId="52" fillId="21" borderId="7" xfId="0" applyFont="1" applyFill="1" applyBorder="1" applyAlignment="1">
      <alignment horizontal="center" vertical="center"/>
    </xf>
    <xf numFmtId="0" fontId="7" fillId="4" borderId="7" xfId="0" applyFont="1" applyFill="1" applyBorder="1" applyAlignment="1">
      <alignment vertical="center"/>
    </xf>
    <xf numFmtId="9" fontId="10" fillId="4" borderId="7" xfId="0" applyNumberFormat="1" applyFont="1" applyFill="1" applyBorder="1" applyAlignment="1">
      <alignment vertical="center"/>
    </xf>
    <xf numFmtId="166" fontId="7" fillId="4" borderId="7" xfId="2" applyNumberFormat="1" applyFont="1" applyFill="1" applyBorder="1" applyAlignment="1">
      <alignment horizontal="right" vertical="center"/>
    </xf>
    <xf numFmtId="166" fontId="22" fillId="4" borderId="7" xfId="2" applyNumberFormat="1" applyFont="1" applyFill="1" applyBorder="1" applyAlignment="1">
      <alignment horizontal="right" vertical="center"/>
    </xf>
    <xf numFmtId="164" fontId="7" fillId="4" borderId="7" xfId="2" applyNumberFormat="1" applyFont="1" applyFill="1" applyBorder="1" applyAlignment="1">
      <alignment horizontal="right" vertical="center"/>
    </xf>
    <xf numFmtId="1" fontId="22" fillId="4" borderId="7" xfId="2" applyNumberFormat="1" applyFont="1" applyFill="1" applyBorder="1" applyAlignment="1">
      <alignment horizontal="right" vertical="center"/>
    </xf>
    <xf numFmtId="0" fontId="52" fillId="21" borderId="7" xfId="0" applyFont="1" applyFill="1" applyBorder="1" applyAlignment="1">
      <alignment horizontal="right" vertical="center" wrapText="1"/>
    </xf>
    <xf numFmtId="0" fontId="81" fillId="21" borderId="7" xfId="0" applyFont="1" applyFill="1" applyBorder="1" applyAlignment="1">
      <alignment horizontal="right" vertical="center" wrapText="1"/>
    </xf>
    <xf numFmtId="0" fontId="81" fillId="21" borderId="7" xfId="0" applyFont="1" applyFill="1" applyBorder="1" applyAlignment="1">
      <alignment horizontal="right" vertical="center"/>
    </xf>
    <xf numFmtId="0" fontId="81" fillId="21" borderId="7" xfId="2" applyNumberFormat="1" applyFont="1" applyFill="1" applyBorder="1" applyAlignment="1">
      <alignment horizontal="right" vertical="center"/>
    </xf>
    <xf numFmtId="0" fontId="8" fillId="2" borderId="7" xfId="0" applyFont="1" applyFill="1" applyBorder="1" applyAlignment="1">
      <alignment wrapText="1"/>
    </xf>
    <xf numFmtId="0" fontId="7" fillId="2" borderId="7" xfId="0" applyFont="1" applyFill="1" applyBorder="1" applyAlignment="1">
      <alignment horizontal="left" vertical="center" wrapText="1"/>
    </xf>
    <xf numFmtId="0" fontId="82" fillId="24" borderId="7" xfId="0" applyFont="1" applyFill="1" applyBorder="1" applyAlignment="1">
      <alignment vertical="center" wrapText="1"/>
    </xf>
    <xf numFmtId="0" fontId="7" fillId="24" borderId="7" xfId="0" applyFont="1" applyFill="1" applyBorder="1" applyAlignment="1">
      <alignment horizontal="center" vertical="center"/>
    </xf>
    <xf numFmtId="164" fontId="8" fillId="25" borderId="7" xfId="3" applyNumberFormat="1" applyFont="1" applyFill="1" applyBorder="1" applyAlignment="1">
      <alignment vertical="center"/>
    </xf>
    <xf numFmtId="0" fontId="8" fillId="25" borderId="7" xfId="0" applyFont="1" applyFill="1" applyBorder="1" applyAlignment="1">
      <alignment vertical="center"/>
    </xf>
    <xf numFmtId="9" fontId="8" fillId="25" borderId="7" xfId="3" applyFont="1" applyFill="1" applyBorder="1" applyAlignment="1">
      <alignment vertical="center"/>
    </xf>
    <xf numFmtId="0" fontId="82" fillId="24" borderId="7" xfId="0" applyFont="1" applyFill="1" applyBorder="1" applyAlignment="1">
      <alignment horizontal="right" vertical="center" wrapText="1"/>
    </xf>
    <xf numFmtId="0" fontId="82" fillId="24" borderId="7" xfId="0" applyFont="1" applyFill="1" applyBorder="1" applyAlignment="1">
      <alignment horizontal="center" vertical="center" wrapText="1"/>
    </xf>
    <xf numFmtId="0" fontId="81" fillId="24" borderId="7" xfId="0" applyFont="1" applyFill="1" applyBorder="1" applyAlignment="1">
      <alignment horizontal="center" vertical="center"/>
    </xf>
    <xf numFmtId="9" fontId="21" fillId="25" borderId="7" xfId="3" applyFont="1" applyFill="1" applyBorder="1" applyAlignment="1">
      <alignment vertical="center"/>
    </xf>
    <xf numFmtId="0" fontId="25" fillId="26" borderId="7" xfId="0" applyFont="1" applyFill="1" applyBorder="1" applyAlignment="1">
      <alignment horizontal="right" vertical="center" wrapText="1"/>
    </xf>
    <xf numFmtId="0" fontId="8" fillId="0" borderId="7" xfId="0" applyFont="1" applyBorder="1" applyAlignment="1">
      <alignment horizontal="right" wrapText="1"/>
    </xf>
    <xf numFmtId="0" fontId="58" fillId="11" borderId="7" xfId="0" applyFont="1" applyFill="1" applyBorder="1" applyAlignment="1">
      <alignment vertical="center"/>
    </xf>
    <xf numFmtId="0" fontId="10" fillId="21" borderId="7" xfId="0" applyFont="1" applyFill="1" applyBorder="1" applyAlignment="1">
      <alignment horizontal="left" vertical="center"/>
    </xf>
    <xf numFmtId="0" fontId="12" fillId="21" borderId="7" xfId="0" applyFont="1" applyFill="1" applyBorder="1" applyAlignment="1">
      <alignment vertical="center" wrapText="1"/>
    </xf>
    <xf numFmtId="0" fontId="7" fillId="21" borderId="7" xfId="0" applyFont="1" applyFill="1" applyBorder="1" applyAlignment="1">
      <alignment horizontal="center" vertical="center" wrapText="1"/>
    </xf>
    <xf numFmtId="0" fontId="8" fillId="2" borderId="7" xfId="0" applyFont="1" applyFill="1" applyBorder="1" applyAlignment="1">
      <alignment horizontal="left" indent="2"/>
    </xf>
    <xf numFmtId="0" fontId="8" fillId="2" borderId="7" xfId="0" applyFont="1" applyFill="1" applyBorder="1" applyAlignment="1">
      <alignment horizontal="left" wrapText="1" indent="2"/>
    </xf>
    <xf numFmtId="0" fontId="11" fillId="2" borderId="7" xfId="0" applyFont="1" applyFill="1" applyBorder="1" applyAlignment="1">
      <alignment vertical="center" wrapText="1"/>
    </xf>
    <xf numFmtId="166" fontId="7" fillId="0" borderId="7" xfId="2" applyNumberFormat="1" applyFont="1" applyBorder="1" applyAlignment="1">
      <alignment horizontal="center" vertical="center" wrapText="1"/>
    </xf>
    <xf numFmtId="0" fontId="64" fillId="0" borderId="7" xfId="0" applyFont="1" applyBorder="1" applyAlignment="1">
      <alignment vertical="center" wrapText="1"/>
    </xf>
    <xf numFmtId="166" fontId="10" fillId="0" borderId="7" xfId="2" applyNumberFormat="1" applyFont="1" applyBorder="1" applyAlignment="1">
      <alignment horizontal="center" vertical="center" wrapText="1"/>
    </xf>
    <xf numFmtId="166" fontId="8" fillId="17" borderId="7" xfId="2" applyNumberFormat="1" applyFont="1" applyFill="1" applyBorder="1" applyAlignment="1">
      <alignment horizontal="center" vertical="center" wrapText="1"/>
    </xf>
    <xf numFmtId="166" fontId="7" fillId="17" borderId="7" xfId="2" applyNumberFormat="1" applyFont="1" applyFill="1" applyBorder="1" applyAlignment="1">
      <alignment horizontal="center" vertical="center" wrapText="1"/>
    </xf>
    <xf numFmtId="0" fontId="13" fillId="2" borderId="7" xfId="0" applyFont="1" applyFill="1" applyBorder="1" applyAlignment="1">
      <alignment vertical="center"/>
    </xf>
    <xf numFmtId="166" fontId="10" fillId="2" borderId="7" xfId="2" applyNumberFormat="1" applyFont="1" applyFill="1" applyBorder="1" applyAlignment="1">
      <alignment horizontal="center" vertical="center" wrapText="1"/>
    </xf>
    <xf numFmtId="0" fontId="8" fillId="2" borderId="7" xfId="0" applyFont="1" applyFill="1" applyBorder="1"/>
    <xf numFmtId="166" fontId="7" fillId="16" borderId="7" xfId="2" applyNumberFormat="1" applyFont="1" applyFill="1" applyBorder="1" applyAlignment="1">
      <alignment horizontal="center" vertical="center" wrapText="1"/>
    </xf>
    <xf numFmtId="166" fontId="7" fillId="0" borderId="7" xfId="2" applyNumberFormat="1" applyFont="1" applyBorder="1" applyAlignment="1">
      <alignment horizontal="center" vertical="top" wrapText="1"/>
    </xf>
    <xf numFmtId="166" fontId="7" fillId="2" borderId="7" xfId="2" applyNumberFormat="1" applyFont="1" applyFill="1" applyBorder="1" applyAlignment="1">
      <alignment horizontal="center" vertical="center" wrapText="1"/>
    </xf>
    <xf numFmtId="164" fontId="7" fillId="2" borderId="7" xfId="2" applyNumberFormat="1" applyFont="1" applyFill="1" applyBorder="1" applyAlignment="1">
      <alignment horizontal="right" vertical="center" wrapText="1"/>
    </xf>
    <xf numFmtId="0" fontId="8" fillId="2" borderId="7" xfId="0" applyFont="1" applyFill="1" applyBorder="1" applyAlignment="1">
      <alignment horizontal="center" vertical="center" wrapText="1"/>
    </xf>
    <xf numFmtId="0" fontId="8" fillId="17" borderId="7" xfId="0" applyFont="1" applyFill="1" applyBorder="1" applyAlignment="1">
      <alignment horizontal="center" vertical="center" wrapText="1"/>
    </xf>
    <xf numFmtId="0" fontId="66" fillId="2" borderId="7" xfId="0" applyFont="1" applyFill="1" applyBorder="1" applyAlignment="1">
      <alignment vertical="center" wrapText="1"/>
    </xf>
    <xf numFmtId="9" fontId="8" fillId="2" borderId="7" xfId="3" applyFont="1" applyFill="1" applyBorder="1"/>
    <xf numFmtId="0" fontId="65" fillId="0" borderId="7" xfId="0" applyFont="1" applyBorder="1" applyAlignment="1">
      <alignment vertical="center" wrapText="1"/>
    </xf>
    <xf numFmtId="0" fontId="58" fillId="26" borderId="7" xfId="0" applyFont="1" applyFill="1" applyBorder="1" applyAlignment="1">
      <alignment vertical="center"/>
    </xf>
    <xf numFmtId="0" fontId="25" fillId="26" borderId="7" xfId="0" applyFont="1" applyFill="1" applyBorder="1" applyAlignment="1">
      <alignment horizontal="right" vertical="center"/>
    </xf>
    <xf numFmtId="0" fontId="25" fillId="26" borderId="7" xfId="0" applyFont="1" applyFill="1" applyBorder="1" applyAlignment="1">
      <alignment horizontal="center" vertical="center"/>
    </xf>
    <xf numFmtId="0" fontId="11" fillId="2" borderId="0" xfId="0" applyFont="1" applyFill="1" applyAlignment="1">
      <alignment vertical="center" wrapText="1"/>
    </xf>
    <xf numFmtId="0" fontId="11" fillId="3" borderId="3" xfId="0" applyFont="1" applyFill="1" applyBorder="1"/>
    <xf numFmtId="0" fontId="7" fillId="2" borderId="7" xfId="0" applyFont="1" applyFill="1" applyBorder="1" applyAlignment="1">
      <alignment horizontal="left" wrapText="1" indent="1"/>
    </xf>
    <xf numFmtId="0" fontId="10" fillId="2" borderId="7" xfId="0" applyFont="1" applyFill="1" applyBorder="1" applyAlignment="1">
      <alignment wrapText="1"/>
    </xf>
    <xf numFmtId="0" fontId="66" fillId="2" borderId="7" xfId="0" applyFont="1" applyFill="1" applyBorder="1" applyAlignment="1">
      <alignment vertical="center"/>
    </xf>
    <xf numFmtId="166" fontId="8" fillId="2" borderId="7" xfId="2" applyNumberFormat="1" applyFont="1" applyFill="1" applyBorder="1" applyAlignment="1">
      <alignment horizontal="center" vertical="center"/>
    </xf>
    <xf numFmtId="10" fontId="8" fillId="2" borderId="0" xfId="0" applyNumberFormat="1" applyFont="1" applyFill="1" applyAlignment="1">
      <alignment vertical="center"/>
    </xf>
    <xf numFmtId="2" fontId="8" fillId="2" borderId="0" xfId="0" applyNumberFormat="1" applyFont="1" applyFill="1" applyAlignment="1">
      <alignment vertical="center"/>
    </xf>
    <xf numFmtId="2" fontId="8" fillId="2" borderId="0" xfId="3" applyNumberFormat="1" applyFont="1" applyFill="1" applyBorder="1" applyAlignment="1">
      <alignment vertical="center"/>
    </xf>
    <xf numFmtId="2" fontId="8" fillId="2" borderId="0" xfId="3" applyNumberFormat="1" applyFont="1" applyFill="1" applyAlignment="1">
      <alignment vertical="center"/>
    </xf>
    <xf numFmtId="0" fontId="7" fillId="21" borderId="10" xfId="0" applyFont="1" applyFill="1" applyBorder="1" applyAlignment="1">
      <alignment horizontal="center" vertical="center" wrapText="1"/>
    </xf>
    <xf numFmtId="0" fontId="7" fillId="0" borderId="7" xfId="0" applyFont="1" applyBorder="1" applyAlignment="1">
      <alignment horizontal="left" vertical="center" indent="1"/>
    </xf>
    <xf numFmtId="0" fontId="7" fillId="0" borderId="7" xfId="0" applyFont="1" applyBorder="1" applyAlignment="1">
      <alignment horizontal="left" vertical="center" wrapText="1" indent="1"/>
    </xf>
    <xf numFmtId="170" fontId="7" fillId="0" borderId="7" xfId="0" applyNumberFormat="1" applyFont="1" applyBorder="1" applyAlignment="1">
      <alignment horizontal="center" vertical="center"/>
    </xf>
    <xf numFmtId="2" fontId="8" fillId="2" borderId="0" xfId="0" applyNumberFormat="1" applyFont="1" applyFill="1"/>
    <xf numFmtId="166" fontId="8" fillId="2" borderId="0" xfId="2" applyNumberFormat="1" applyFont="1" applyFill="1"/>
    <xf numFmtId="0" fontId="21" fillId="2" borderId="7" xfId="0" applyFont="1" applyFill="1" applyBorder="1" applyAlignment="1">
      <alignment vertical="center" wrapText="1"/>
    </xf>
    <xf numFmtId="0" fontId="10" fillId="0" borderId="8" xfId="0" applyFont="1" applyBorder="1" applyAlignment="1">
      <alignment vertical="center"/>
    </xf>
    <xf numFmtId="0" fontId="8" fillId="0" borderId="6" xfId="0" applyFont="1" applyBorder="1" applyAlignment="1">
      <alignment vertical="center" wrapText="1"/>
    </xf>
    <xf numFmtId="0" fontId="13" fillId="0" borderId="6" xfId="0" applyFont="1" applyBorder="1" applyAlignment="1">
      <alignment vertical="center" wrapText="1"/>
    </xf>
    <xf numFmtId="166" fontId="7" fillId="0" borderId="6" xfId="2" applyNumberFormat="1" applyFont="1" applyBorder="1" applyAlignment="1">
      <alignment horizontal="center" vertical="center" wrapText="1"/>
    </xf>
    <xf numFmtId="0" fontId="7" fillId="0" borderId="6" xfId="0" applyFont="1" applyBorder="1" applyAlignment="1">
      <alignment vertical="center" wrapText="1"/>
    </xf>
    <xf numFmtId="0" fontId="12" fillId="0" borderId="6" xfId="0" applyFont="1" applyBorder="1" applyAlignment="1">
      <alignment vertical="center" wrapText="1"/>
    </xf>
    <xf numFmtId="0" fontId="11" fillId="2" borderId="8" xfId="0" applyFont="1" applyFill="1" applyBorder="1" applyAlignment="1">
      <alignment vertical="center" wrapText="1"/>
    </xf>
    <xf numFmtId="166" fontId="7" fillId="0" borderId="8" xfId="2" applyNumberFormat="1" applyFont="1" applyBorder="1" applyAlignment="1">
      <alignment horizontal="center" vertical="center" wrapText="1"/>
    </xf>
    <xf numFmtId="0" fontId="8" fillId="2" borderId="6" xfId="0" applyFont="1" applyFill="1" applyBorder="1" applyAlignment="1">
      <alignment horizontal="left" indent="2"/>
    </xf>
    <xf numFmtId="166" fontId="10" fillId="0" borderId="6" xfId="2" applyNumberFormat="1" applyFont="1" applyBorder="1" applyAlignment="1">
      <alignment horizontal="center" vertical="center" wrapText="1"/>
    </xf>
    <xf numFmtId="9" fontId="35" fillId="5" borderId="0" xfId="3" applyFont="1" applyFill="1" applyAlignment="1">
      <alignment vertical="center" wrapText="1"/>
    </xf>
    <xf numFmtId="0" fontId="8" fillId="2" borderId="6" xfId="0" applyFont="1" applyFill="1" applyBorder="1" applyAlignment="1">
      <alignment horizontal="left" vertical="center" wrapText="1"/>
    </xf>
    <xf numFmtId="0" fontId="8" fillId="2" borderId="0" xfId="0" applyFont="1" applyFill="1" applyAlignment="1">
      <alignment horizontal="left" wrapText="1" indent="2"/>
    </xf>
    <xf numFmtId="0" fontId="12" fillId="2" borderId="0" xfId="0" applyFont="1" applyFill="1" applyAlignment="1">
      <alignment horizontal="left" vertical="center" wrapText="1"/>
    </xf>
    <xf numFmtId="9" fontId="8" fillId="2" borderId="0" xfId="0" applyNumberFormat="1" applyFont="1" applyFill="1"/>
    <xf numFmtId="9" fontId="82" fillId="24" borderId="6" xfId="3" applyFont="1" applyFill="1" applyBorder="1" applyAlignment="1">
      <alignment vertical="center" wrapText="1"/>
    </xf>
    <xf numFmtId="0" fontId="8" fillId="0" borderId="0" xfId="0" applyFont="1" applyAlignment="1">
      <alignment horizontal="right" wrapText="1"/>
    </xf>
    <xf numFmtId="0" fontId="10" fillId="0" borderId="6" xfId="0" applyFont="1" applyBorder="1" applyAlignment="1">
      <alignment vertical="center" wrapText="1"/>
    </xf>
    <xf numFmtId="0" fontId="14" fillId="0" borderId="6" xfId="0" applyFont="1" applyBorder="1" applyAlignment="1">
      <alignment vertical="center" wrapText="1"/>
    </xf>
    <xf numFmtId="166" fontId="23" fillId="27" borderId="6" xfId="2" applyNumberFormat="1" applyFont="1" applyFill="1" applyBorder="1" applyAlignment="1">
      <alignment horizontal="center" vertical="center" wrapText="1"/>
    </xf>
    <xf numFmtId="166" fontId="10" fillId="27" borderId="6" xfId="2" applyNumberFormat="1" applyFont="1" applyFill="1" applyBorder="1" applyAlignment="1">
      <alignment horizontal="center" vertical="center" wrapText="1"/>
    </xf>
    <xf numFmtId="166" fontId="8" fillId="27" borderId="7" xfId="2" applyNumberFormat="1" applyFont="1" applyFill="1" applyBorder="1" applyAlignment="1">
      <alignment horizontal="right" vertical="center"/>
    </xf>
    <xf numFmtId="168" fontId="8" fillId="2" borderId="6" xfId="2" applyNumberFormat="1" applyFont="1" applyFill="1" applyBorder="1" applyAlignment="1">
      <alignment horizontal="center" vertical="center" wrapText="1"/>
    </xf>
    <xf numFmtId="9" fontId="6" fillId="2" borderId="0" xfId="3" applyFont="1" applyFill="1" applyAlignment="1">
      <alignment wrapText="1"/>
    </xf>
    <xf numFmtId="166" fontId="7" fillId="18" borderId="7" xfId="2" applyNumberFormat="1" applyFont="1" applyFill="1" applyBorder="1" applyAlignment="1">
      <alignment horizontal="center" vertical="center" wrapText="1"/>
    </xf>
    <xf numFmtId="166" fontId="10" fillId="18" borderId="7" xfId="2" applyNumberFormat="1" applyFont="1" applyFill="1" applyBorder="1" applyAlignment="1">
      <alignment horizontal="center" vertical="center" wrapText="1"/>
    </xf>
    <xf numFmtId="3" fontId="21" fillId="2" borderId="7" xfId="0" applyNumberFormat="1" applyFont="1" applyFill="1" applyBorder="1" applyAlignment="1">
      <alignment horizontal="right" vertical="center" wrapText="1"/>
    </xf>
    <xf numFmtId="166" fontId="21" fillId="2" borderId="7" xfId="0" applyNumberFormat="1" applyFont="1" applyFill="1" applyBorder="1" applyAlignment="1">
      <alignment horizontal="right" vertical="center" wrapText="1"/>
    </xf>
    <xf numFmtId="0" fontId="38" fillId="0" borderId="0" xfId="0" applyFont="1" applyAlignment="1">
      <alignment vertical="center" wrapText="1"/>
    </xf>
    <xf numFmtId="0" fontId="23" fillId="0" borderId="0" xfId="0" applyFont="1" applyAlignment="1">
      <alignment vertical="center" wrapText="1"/>
    </xf>
    <xf numFmtId="166" fontId="23" fillId="3" borderId="7" xfId="2" applyNumberFormat="1" applyFont="1" applyFill="1" applyBorder="1" applyAlignment="1">
      <alignment horizontal="right" vertical="center"/>
    </xf>
    <xf numFmtId="166" fontId="7" fillId="27" borderId="7" xfId="2" applyNumberFormat="1" applyFont="1" applyFill="1" applyBorder="1" applyAlignment="1">
      <alignment horizontal="center" vertical="center" wrapText="1"/>
    </xf>
    <xf numFmtId="164" fontId="7" fillId="27" borderId="7" xfId="2" applyNumberFormat="1" applyFont="1" applyFill="1" applyBorder="1" applyAlignment="1">
      <alignment horizontal="right" vertical="center" wrapText="1"/>
    </xf>
    <xf numFmtId="0" fontId="58" fillId="26" borderId="13" xfId="0" applyFont="1" applyFill="1" applyBorder="1" applyAlignment="1">
      <alignment vertical="center"/>
    </xf>
    <xf numFmtId="0" fontId="93" fillId="0" borderId="13" xfId="0" applyFont="1" applyBorder="1" applyAlignment="1">
      <alignment vertical="center"/>
    </xf>
    <xf numFmtId="0" fontId="93" fillId="0" borderId="13" xfId="0" applyFont="1" applyBorder="1" applyAlignment="1">
      <alignment horizontal="center" vertical="center" wrapText="1"/>
    </xf>
    <xf numFmtId="9" fontId="94" fillId="0" borderId="13" xfId="3" applyFont="1" applyBorder="1" applyAlignment="1">
      <alignment vertical="center"/>
    </xf>
    <xf numFmtId="166" fontId="6" fillId="0" borderId="13" xfId="2" applyNumberFormat="1" applyFont="1" applyBorder="1" applyAlignment="1">
      <alignment vertical="center"/>
    </xf>
    <xf numFmtId="9" fontId="6" fillId="0" borderId="13" xfId="3" applyFont="1" applyBorder="1" applyAlignment="1">
      <alignment vertical="center"/>
    </xf>
    <xf numFmtId="0" fontId="6" fillId="0" borderId="13" xfId="0" applyFont="1" applyBorder="1" applyAlignment="1">
      <alignment vertical="center"/>
    </xf>
    <xf numFmtId="9" fontId="6" fillId="0" borderId="13" xfId="3" applyFont="1" applyBorder="1" applyAlignment="1">
      <alignment horizontal="center" vertical="center"/>
    </xf>
    <xf numFmtId="9" fontId="6" fillId="0" borderId="13" xfId="3" applyFont="1" applyBorder="1" applyAlignment="1">
      <alignment horizontal="right" vertical="center"/>
    </xf>
    <xf numFmtId="0" fontId="6" fillId="2" borderId="0" xfId="0" applyFont="1" applyFill="1" applyAlignment="1">
      <alignment horizontal="center"/>
    </xf>
    <xf numFmtId="166" fontId="21" fillId="2" borderId="0" xfId="0" applyNumberFormat="1" applyFont="1" applyFill="1" applyAlignment="1">
      <alignment horizontal="center"/>
    </xf>
    <xf numFmtId="0" fontId="6" fillId="3" borderId="7" xfId="0" applyFont="1" applyFill="1" applyBorder="1" applyAlignment="1">
      <alignment vertical="center"/>
    </xf>
    <xf numFmtId="0" fontId="6" fillId="2" borderId="13" xfId="0" applyFont="1" applyFill="1" applyBorder="1" applyAlignment="1">
      <alignment vertical="center" wrapText="1"/>
    </xf>
    <xf numFmtId="0" fontId="6" fillId="2" borderId="13" xfId="0" applyFont="1" applyFill="1" applyBorder="1" applyAlignment="1">
      <alignment vertical="center"/>
    </xf>
    <xf numFmtId="9" fontId="6" fillId="2" borderId="13" xfId="3" applyFont="1" applyFill="1" applyBorder="1" applyAlignment="1">
      <alignment vertical="center" wrapText="1"/>
    </xf>
    <xf numFmtId="0" fontId="10" fillId="21" borderId="13" xfId="0" applyFont="1" applyFill="1" applyBorder="1" applyAlignment="1">
      <alignment horizontal="left" vertical="center"/>
    </xf>
    <xf numFmtId="0" fontId="12" fillId="21" borderId="13" xfId="0" applyFont="1" applyFill="1" applyBorder="1" applyAlignment="1">
      <alignment vertical="center" wrapText="1"/>
    </xf>
    <xf numFmtId="164" fontId="8" fillId="2" borderId="0" xfId="0" applyNumberFormat="1" applyFont="1" applyFill="1"/>
    <xf numFmtId="9" fontId="8" fillId="2" borderId="0" xfId="3" applyFont="1" applyFill="1"/>
    <xf numFmtId="164" fontId="21" fillId="25" borderId="7" xfId="3" applyNumberFormat="1" applyFont="1" applyFill="1" applyBorder="1" applyAlignment="1">
      <alignment vertical="center"/>
    </xf>
    <xf numFmtId="164" fontId="49" fillId="5" borderId="0" xfId="3" applyNumberFormat="1" applyFont="1" applyFill="1" applyAlignment="1">
      <alignment horizontal="right" vertical="center"/>
    </xf>
    <xf numFmtId="0" fontId="8" fillId="28" borderId="0" xfId="0" applyFont="1" applyFill="1" applyAlignment="1">
      <alignment vertical="center"/>
    </xf>
    <xf numFmtId="0" fontId="10" fillId="28" borderId="0" xfId="2" applyNumberFormat="1" applyFont="1" applyFill="1" applyAlignment="1">
      <alignment horizontal="right" vertical="center"/>
    </xf>
    <xf numFmtId="0" fontId="10" fillId="28" borderId="0" xfId="0" applyFont="1" applyFill="1" applyAlignment="1">
      <alignment horizontal="right" vertical="center"/>
    </xf>
    <xf numFmtId="166" fontId="8" fillId="28" borderId="0" xfId="0" applyNumberFormat="1" applyFont="1" applyFill="1" applyAlignment="1">
      <alignment vertical="center"/>
    </xf>
    <xf numFmtId="166" fontId="21" fillId="4" borderId="7" xfId="2" applyNumberFormat="1" applyFont="1" applyFill="1" applyBorder="1" applyAlignment="1">
      <alignment vertical="center"/>
    </xf>
    <xf numFmtId="164" fontId="8" fillId="25" borderId="7" xfId="0" applyNumberFormat="1" applyFont="1" applyFill="1" applyBorder="1" applyAlignment="1">
      <alignment vertical="center"/>
    </xf>
    <xf numFmtId="9" fontId="10" fillId="0" borderId="7" xfId="0" applyNumberFormat="1" applyFont="1" applyBorder="1" applyAlignment="1">
      <alignment vertical="center"/>
    </xf>
    <xf numFmtId="9" fontId="10" fillId="0" borderId="7" xfId="3" applyFont="1" applyFill="1" applyBorder="1" applyAlignment="1">
      <alignment vertical="center"/>
    </xf>
    <xf numFmtId="3" fontId="30" fillId="5" borderId="0" xfId="0" applyNumberFormat="1" applyFont="1" applyFill="1"/>
    <xf numFmtId="0" fontId="46" fillId="5" borderId="13" xfId="0" applyFont="1" applyFill="1" applyBorder="1" applyAlignment="1">
      <alignment horizontal="left" vertical="center" wrapText="1"/>
    </xf>
    <xf numFmtId="0" fontId="52" fillId="22" borderId="13" xfId="0" applyFont="1" applyFill="1" applyBorder="1" applyAlignment="1">
      <alignment horizontal="center" vertical="center" wrapText="1"/>
    </xf>
    <xf numFmtId="0" fontId="52" fillId="22" borderId="13" xfId="0" applyFont="1" applyFill="1" applyBorder="1" applyAlignment="1">
      <alignment horizontal="right" vertical="center" wrapText="1"/>
    </xf>
    <xf numFmtId="0" fontId="81" fillId="22" borderId="13" xfId="0" applyFont="1" applyFill="1" applyBorder="1" applyAlignment="1">
      <alignment horizontal="right" vertical="center"/>
    </xf>
    <xf numFmtId="0" fontId="22" fillId="0" borderId="13" xfId="0" applyFont="1" applyBorder="1" applyAlignment="1">
      <alignment horizontal="left" vertical="center" wrapText="1"/>
    </xf>
    <xf numFmtId="0" fontId="22" fillId="0" borderId="13" xfId="0" applyFont="1" applyBorder="1" applyAlignment="1">
      <alignment vertical="center" wrapText="1"/>
    </xf>
    <xf numFmtId="3" fontId="29" fillId="4" borderId="13" xfId="0" applyNumberFormat="1" applyFont="1" applyFill="1" applyBorder="1" applyAlignment="1">
      <alignment horizontal="right" vertical="center" wrapText="1"/>
    </xf>
    <xf numFmtId="3" fontId="22" fillId="2" borderId="13" xfId="0" applyNumberFormat="1" applyFont="1" applyFill="1" applyBorder="1" applyAlignment="1">
      <alignment horizontal="right" vertical="center" wrapText="1"/>
    </xf>
    <xf numFmtId="0" fontId="29" fillId="0" borderId="13" xfId="0" applyFont="1" applyBorder="1" applyAlignment="1">
      <alignment vertical="center" wrapText="1"/>
    </xf>
    <xf numFmtId="3" fontId="29" fillId="2" borderId="13" xfId="0" applyNumberFormat="1" applyFont="1" applyFill="1" applyBorder="1" applyAlignment="1">
      <alignment horizontal="right" vertical="center" wrapText="1"/>
    </xf>
    <xf numFmtId="166" fontId="8" fillId="2" borderId="0" xfId="2" applyNumberFormat="1" applyFont="1" applyFill="1" applyBorder="1" applyAlignment="1">
      <alignment horizontal="right"/>
    </xf>
    <xf numFmtId="166" fontId="21" fillId="2" borderId="0" xfId="2" applyNumberFormat="1" applyFont="1" applyFill="1" applyBorder="1" applyAlignment="1">
      <alignment horizontal="right"/>
    </xf>
    <xf numFmtId="166" fontId="10" fillId="0" borderId="13" xfId="2" applyNumberFormat="1" applyFont="1" applyFill="1" applyBorder="1" applyAlignment="1">
      <alignment horizontal="right" vertical="center"/>
    </xf>
    <xf numFmtId="0" fontId="10" fillId="0" borderId="13" xfId="0" applyFont="1" applyBorder="1" applyAlignment="1">
      <alignment vertical="center" wrapText="1"/>
    </xf>
    <xf numFmtId="0" fontId="10" fillId="0" borderId="13" xfId="0" applyFont="1" applyBorder="1" applyAlignment="1">
      <alignment vertical="center"/>
    </xf>
    <xf numFmtId="170" fontId="6" fillId="3" borderId="7" xfId="0" applyNumberFormat="1" applyFont="1" applyFill="1" applyBorder="1" applyAlignment="1">
      <alignment vertical="center"/>
    </xf>
    <xf numFmtId="9" fontId="23" fillId="3" borderId="7" xfId="0" applyNumberFormat="1" applyFont="1" applyFill="1" applyBorder="1" applyAlignment="1">
      <alignment vertical="center"/>
    </xf>
    <xf numFmtId="9" fontId="23" fillId="3" borderId="7" xfId="3" applyFont="1" applyFill="1" applyBorder="1" applyAlignment="1">
      <alignment vertical="center"/>
    </xf>
    <xf numFmtId="164" fontId="90" fillId="24" borderId="6" xfId="3" applyNumberFormat="1" applyFont="1" applyFill="1" applyBorder="1" applyAlignment="1">
      <alignment vertical="center" wrapText="1"/>
    </xf>
    <xf numFmtId="164" fontId="82" fillId="24" borderId="6" xfId="3" applyNumberFormat="1" applyFont="1" applyFill="1" applyBorder="1" applyAlignment="1">
      <alignment vertical="center" wrapText="1"/>
    </xf>
    <xf numFmtId="3" fontId="6" fillId="2" borderId="13" xfId="0" applyNumberFormat="1" applyFont="1" applyFill="1" applyBorder="1" applyAlignment="1">
      <alignment horizontal="right" vertical="center" wrapText="1"/>
    </xf>
    <xf numFmtId="166" fontId="96" fillId="7" borderId="7" xfId="2" applyNumberFormat="1" applyFont="1" applyFill="1" applyBorder="1" applyAlignment="1">
      <alignment horizontal="right" vertical="center"/>
    </xf>
    <xf numFmtId="166" fontId="8" fillId="0" borderId="14" xfId="2" applyNumberFormat="1" applyFont="1" applyBorder="1" applyAlignment="1">
      <alignment horizontal="center" vertical="center" wrapText="1"/>
    </xf>
    <xf numFmtId="9" fontId="82" fillId="24" borderId="14" xfId="3" applyFont="1" applyFill="1" applyBorder="1" applyAlignment="1">
      <alignment vertical="center" wrapText="1"/>
    </xf>
    <xf numFmtId="9" fontId="82" fillId="24" borderId="15" xfId="3" applyFont="1" applyFill="1" applyBorder="1" applyAlignment="1">
      <alignment vertical="center" wrapText="1"/>
    </xf>
    <xf numFmtId="0" fontId="10" fillId="0" borderId="16" xfId="0" applyFont="1" applyBorder="1" applyAlignment="1">
      <alignment vertical="center"/>
    </xf>
    <xf numFmtId="0" fontId="64" fillId="0" borderId="16" xfId="0" applyFont="1" applyBorder="1" applyAlignment="1">
      <alignment vertical="center" wrapText="1"/>
    </xf>
    <xf numFmtId="0" fontId="8" fillId="2" borderId="16" xfId="0" applyFont="1" applyFill="1" applyBorder="1"/>
    <xf numFmtId="0" fontId="8" fillId="2" borderId="16" xfId="0" applyFont="1" applyFill="1" applyBorder="1" applyAlignment="1">
      <alignment horizontal="left" indent="2"/>
    </xf>
    <xf numFmtId="166" fontId="10" fillId="0" borderId="16" xfId="2" applyNumberFormat="1" applyFont="1" applyBorder="1" applyAlignment="1">
      <alignment horizontal="center" vertical="center" wrapText="1"/>
    </xf>
    <xf numFmtId="9" fontId="82" fillId="24" borderId="16" xfId="3" applyFont="1" applyFill="1" applyBorder="1" applyAlignment="1">
      <alignment vertical="center" wrapText="1"/>
    </xf>
    <xf numFmtId="0" fontId="10" fillId="2" borderId="16" xfId="0" applyFont="1" applyFill="1" applyBorder="1" applyAlignment="1">
      <alignment horizontal="left" wrapText="1" indent="2"/>
    </xf>
    <xf numFmtId="0" fontId="21" fillId="2" borderId="14" xfId="0" applyFont="1" applyFill="1" applyBorder="1" applyAlignment="1">
      <alignment horizontal="left" wrapText="1" indent="2"/>
    </xf>
    <xf numFmtId="0" fontId="21" fillId="2" borderId="7" xfId="0" applyFont="1" applyFill="1" applyBorder="1" applyAlignment="1">
      <alignment horizontal="left" wrapText="1" indent="2"/>
    </xf>
    <xf numFmtId="166" fontId="7" fillId="0" borderId="15" xfId="2" applyNumberFormat="1" applyFont="1" applyBorder="1" applyAlignment="1">
      <alignment horizontal="center" vertical="center" wrapText="1"/>
    </xf>
    <xf numFmtId="0" fontId="7" fillId="0" borderId="15" xfId="0" applyFont="1" applyBorder="1" applyAlignment="1">
      <alignment vertical="center" wrapText="1"/>
    </xf>
    <xf numFmtId="0" fontId="12" fillId="0" borderId="15" xfId="0" applyFont="1" applyBorder="1" applyAlignment="1">
      <alignment vertical="center" wrapText="1"/>
    </xf>
    <xf numFmtId="0" fontId="8" fillId="0" borderId="16" xfId="0" applyFont="1" applyBorder="1" applyAlignment="1">
      <alignment vertical="center" wrapText="1"/>
    </xf>
    <xf numFmtId="0" fontId="13" fillId="0" borderId="16" xfId="0" applyFont="1" applyBorder="1" applyAlignment="1">
      <alignment vertical="center" wrapText="1"/>
    </xf>
    <xf numFmtId="166" fontId="7" fillId="0" borderId="16" xfId="2" applyNumberFormat="1" applyFont="1" applyBorder="1" applyAlignment="1">
      <alignment horizontal="center" vertical="center" wrapText="1"/>
    </xf>
    <xf numFmtId="166" fontId="8" fillId="2" borderId="16" xfId="2" applyNumberFormat="1" applyFont="1" applyFill="1" applyBorder="1" applyAlignment="1">
      <alignment horizontal="center" vertical="center"/>
    </xf>
    <xf numFmtId="0" fontId="8" fillId="2" borderId="16" xfId="0" applyFont="1" applyFill="1" applyBorder="1" applyAlignment="1">
      <alignment wrapText="1"/>
    </xf>
    <xf numFmtId="0" fontId="97" fillId="26" borderId="8" xfId="0" applyFont="1" applyFill="1" applyBorder="1" applyAlignment="1">
      <alignment horizontal="center" vertical="center" wrapText="1"/>
    </xf>
    <xf numFmtId="166" fontId="8" fillId="2" borderId="16" xfId="0" applyNumberFormat="1" applyFont="1" applyFill="1" applyBorder="1" applyAlignment="1">
      <alignment wrapText="1"/>
    </xf>
    <xf numFmtId="9" fontId="7" fillId="2" borderId="16" xfId="3" applyFont="1" applyFill="1" applyBorder="1" applyAlignment="1">
      <alignment wrapText="1"/>
    </xf>
    <xf numFmtId="166" fontId="22" fillId="0" borderId="16" xfId="2" applyNumberFormat="1" applyFont="1" applyBorder="1" applyAlignment="1">
      <alignment horizontal="center" vertical="center" wrapText="1"/>
    </xf>
    <xf numFmtId="166" fontId="22" fillId="0" borderId="16" xfId="2" applyNumberFormat="1" applyFont="1" applyBorder="1" applyAlignment="1">
      <alignment horizontal="center" wrapText="1"/>
    </xf>
    <xf numFmtId="166" fontId="22" fillId="0" borderId="16" xfId="2" applyNumberFormat="1" applyFont="1" applyBorder="1" applyAlignment="1">
      <alignment horizontal="center" vertical="top" wrapText="1"/>
    </xf>
    <xf numFmtId="0" fontId="25" fillId="26" borderId="21" xfId="0" applyFont="1" applyFill="1" applyBorder="1" applyAlignment="1">
      <alignment horizontal="center" vertical="center"/>
    </xf>
    <xf numFmtId="0" fontId="7" fillId="21" borderId="22" xfId="0" applyFont="1" applyFill="1" applyBorder="1" applyAlignment="1">
      <alignment horizontal="center" vertical="center" wrapText="1"/>
    </xf>
    <xf numFmtId="9" fontId="22" fillId="0" borderId="16" xfId="3" applyFont="1" applyBorder="1" applyAlignment="1">
      <alignment horizontal="center" vertical="center" wrapText="1"/>
    </xf>
    <xf numFmtId="0" fontId="31" fillId="2" borderId="0" xfId="0" applyFont="1" applyFill="1" applyAlignment="1">
      <alignment horizontal="center"/>
    </xf>
    <xf numFmtId="0" fontId="6" fillId="19" borderId="13" xfId="0" applyFont="1" applyFill="1" applyBorder="1" applyAlignment="1">
      <alignment vertical="center" wrapText="1"/>
    </xf>
    <xf numFmtId="166" fontId="6" fillId="19" borderId="13" xfId="2" applyNumberFormat="1" applyFont="1" applyFill="1" applyBorder="1" applyAlignment="1">
      <alignment vertical="center"/>
    </xf>
    <xf numFmtId="9" fontId="6" fillId="19" borderId="13" xfId="3" applyFont="1" applyFill="1" applyBorder="1" applyAlignment="1">
      <alignment vertical="center"/>
    </xf>
    <xf numFmtId="166" fontId="6" fillId="19" borderId="13" xfId="2" applyNumberFormat="1" applyFont="1" applyFill="1" applyBorder="1" applyAlignment="1">
      <alignment vertical="center" wrapText="1"/>
    </xf>
    <xf numFmtId="9" fontId="6" fillId="19" borderId="13" xfId="3" applyFont="1" applyFill="1" applyBorder="1" applyAlignment="1">
      <alignment vertical="center" wrapText="1"/>
    </xf>
    <xf numFmtId="0" fontId="6" fillId="19" borderId="13" xfId="0" applyFont="1" applyFill="1" applyBorder="1" applyAlignment="1">
      <alignment vertical="center"/>
    </xf>
    <xf numFmtId="9" fontId="6" fillId="19" borderId="16" xfId="3" applyFont="1" applyFill="1" applyBorder="1" applyAlignment="1">
      <alignment horizontal="center" vertical="center"/>
    </xf>
    <xf numFmtId="9" fontId="6" fillId="19" borderId="16" xfId="3" applyFont="1" applyFill="1" applyBorder="1" applyAlignment="1">
      <alignment horizontal="center" wrapText="1"/>
    </xf>
    <xf numFmtId="166" fontId="6" fillId="19" borderId="16" xfId="2" applyNumberFormat="1" applyFont="1" applyFill="1" applyBorder="1" applyAlignment="1">
      <alignment horizontal="center" wrapText="1"/>
    </xf>
    <xf numFmtId="0" fontId="37" fillId="5" borderId="0" xfId="0" applyFont="1" applyFill="1" applyAlignment="1">
      <alignment vertical="center" wrapText="1"/>
    </xf>
    <xf numFmtId="0" fontId="80" fillId="19" borderId="8" xfId="0" applyFont="1" applyFill="1" applyBorder="1" applyAlignment="1">
      <alignment horizontal="left" vertical="center" wrapText="1"/>
    </xf>
    <xf numFmtId="0" fontId="13" fillId="2" borderId="0" xfId="0" applyFont="1" applyFill="1" applyAlignment="1">
      <alignment vertical="center"/>
    </xf>
    <xf numFmtId="0" fontId="103" fillId="2" borderId="0" xfId="0" applyFont="1" applyFill="1" applyAlignment="1">
      <alignment horizontal="left" vertical="center"/>
    </xf>
    <xf numFmtId="0" fontId="13" fillId="19" borderId="0" xfId="0" applyFont="1" applyFill="1" applyAlignment="1">
      <alignment vertical="center"/>
    </xf>
    <xf numFmtId="0" fontId="13" fillId="19" borderId="0" xfId="0" applyFont="1" applyFill="1" applyAlignment="1">
      <alignment horizontal="left" vertical="center"/>
    </xf>
    <xf numFmtId="0" fontId="12" fillId="19" borderId="0" xfId="0" applyFont="1" applyFill="1" applyAlignment="1">
      <alignment vertical="center"/>
    </xf>
    <xf numFmtId="0" fontId="102" fillId="5" borderId="0" xfId="0" applyFont="1" applyFill="1" applyAlignment="1">
      <alignment horizontal="left"/>
    </xf>
    <xf numFmtId="3" fontId="8" fillId="19" borderId="13" xfId="0" applyNumberFormat="1" applyFont="1" applyFill="1" applyBorder="1" applyAlignment="1">
      <alignment vertical="center"/>
    </xf>
    <xf numFmtId="164" fontId="8" fillId="19" borderId="13" xfId="3" applyNumberFormat="1" applyFont="1" applyFill="1" applyBorder="1" applyAlignment="1">
      <alignment vertical="center"/>
    </xf>
    <xf numFmtId="0" fontId="35" fillId="30" borderId="13" xfId="0" applyFont="1" applyFill="1" applyBorder="1" applyAlignment="1">
      <alignment vertical="center" wrapText="1"/>
    </xf>
    <xf numFmtId="9" fontId="8" fillId="19" borderId="13" xfId="0" applyNumberFormat="1" applyFont="1" applyFill="1" applyBorder="1" applyAlignment="1">
      <alignment vertical="center"/>
    </xf>
    <xf numFmtId="0" fontId="25" fillId="19" borderId="8" xfId="0" applyFont="1" applyFill="1" applyBorder="1" applyAlignment="1">
      <alignment horizontal="center" vertical="center"/>
    </xf>
    <xf numFmtId="0" fontId="10" fillId="19" borderId="13" xfId="0" applyFont="1" applyFill="1" applyBorder="1" applyAlignment="1">
      <alignment horizontal="left" vertical="center"/>
    </xf>
    <xf numFmtId="0" fontId="12" fillId="19" borderId="13" xfId="0" applyFont="1" applyFill="1" applyBorder="1" applyAlignment="1">
      <alignment vertical="center" wrapText="1"/>
    </xf>
    <xf numFmtId="0" fontId="7" fillId="19" borderId="13" xfId="0" applyFont="1" applyFill="1" applyBorder="1" applyAlignment="1">
      <alignment horizontal="center" vertical="center" wrapText="1"/>
    </xf>
    <xf numFmtId="0" fontId="6" fillId="19" borderId="13" xfId="0" applyFont="1" applyFill="1" applyBorder="1" applyAlignment="1">
      <alignment horizontal="left" vertical="center" wrapText="1"/>
    </xf>
    <xf numFmtId="0" fontId="11" fillId="19" borderId="13" xfId="0" applyFont="1" applyFill="1" applyBorder="1" applyAlignment="1">
      <alignment horizontal="center" vertical="center" wrapText="1"/>
    </xf>
    <xf numFmtId="166" fontId="6" fillId="19" borderId="13" xfId="2" applyNumberFormat="1" applyFont="1" applyFill="1" applyBorder="1" applyAlignment="1">
      <alignment horizontal="center" vertical="center" wrapText="1"/>
    </xf>
    <xf numFmtId="0" fontId="12" fillId="19" borderId="13" xfId="0" applyFont="1" applyFill="1" applyBorder="1" applyAlignment="1">
      <alignment horizontal="left" vertical="center" wrapText="1"/>
    </xf>
    <xf numFmtId="1" fontId="8" fillId="2" borderId="0" xfId="0" applyNumberFormat="1" applyFont="1" applyFill="1" applyAlignment="1">
      <alignment wrapText="1"/>
    </xf>
    <xf numFmtId="164" fontId="8" fillId="2" borderId="0" xfId="3" applyNumberFormat="1" applyFont="1" applyFill="1" applyAlignment="1">
      <alignment wrapText="1"/>
    </xf>
    <xf numFmtId="3" fontId="52" fillId="21" borderId="7" xfId="0" applyNumberFormat="1" applyFont="1" applyFill="1" applyBorder="1" applyAlignment="1">
      <alignment horizontal="right" vertical="center" wrapText="1"/>
    </xf>
    <xf numFmtId="0" fontId="16" fillId="11" borderId="7" xfId="0" applyFont="1" applyFill="1" applyBorder="1" applyAlignment="1">
      <alignment vertical="center"/>
    </xf>
    <xf numFmtId="166" fontId="8" fillId="0" borderId="6" xfId="2" applyNumberFormat="1" applyFont="1" applyBorder="1" applyAlignment="1">
      <alignment horizontal="center" vertical="center" wrapText="1"/>
    </xf>
    <xf numFmtId="0" fontId="25" fillId="26" borderId="13" xfId="0" applyFont="1" applyFill="1" applyBorder="1" applyAlignment="1">
      <alignment horizontal="center" vertical="center"/>
    </xf>
    <xf numFmtId="166" fontId="8" fillId="0" borderId="7" xfId="2" applyNumberFormat="1" applyFont="1" applyBorder="1" applyAlignment="1">
      <alignment horizontal="center" vertical="center" wrapText="1"/>
    </xf>
    <xf numFmtId="0" fontId="13" fillId="2" borderId="7" xfId="0" applyFont="1" applyFill="1" applyBorder="1" applyAlignment="1">
      <alignment vertical="center" wrapText="1"/>
    </xf>
    <xf numFmtId="0" fontId="8" fillId="2" borderId="0" xfId="0" applyFont="1" applyFill="1" applyAlignment="1">
      <alignment horizontal="center" vertical="center" wrapText="1"/>
    </xf>
    <xf numFmtId="0" fontId="13" fillId="18" borderId="2" xfId="0" applyFont="1" applyFill="1" applyBorder="1" applyAlignment="1">
      <alignment vertical="center" wrapText="1"/>
    </xf>
    <xf numFmtId="166" fontId="6" fillId="19" borderId="16" xfId="2" applyNumberFormat="1" applyFont="1" applyFill="1" applyBorder="1" applyAlignment="1">
      <alignment horizontal="center" vertical="center"/>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81" fillId="2" borderId="0" xfId="0" applyFont="1" applyFill="1" applyAlignment="1">
      <alignment horizontal="left" vertical="center" wrapText="1"/>
    </xf>
    <xf numFmtId="1" fontId="45" fillId="2" borderId="0" xfId="0" applyNumberFormat="1" applyFont="1" applyFill="1" applyAlignment="1">
      <alignment horizontal="right" vertical="center"/>
    </xf>
    <xf numFmtId="0" fontId="13" fillId="2" borderId="0" xfId="0" applyFont="1" applyFill="1" applyAlignment="1">
      <alignment horizontal="center"/>
    </xf>
    <xf numFmtId="0" fontId="102" fillId="7" borderId="0" xfId="0" applyFont="1" applyFill="1" applyAlignment="1">
      <alignment horizontal="left"/>
    </xf>
    <xf numFmtId="0" fontId="102" fillId="30" borderId="0" xfId="0" applyFont="1" applyFill="1" applyAlignment="1">
      <alignment horizontal="left"/>
    </xf>
    <xf numFmtId="0" fontId="13" fillId="19" borderId="0" xfId="0" applyFont="1" applyFill="1"/>
    <xf numFmtId="3" fontId="105" fillId="19" borderId="0" xfId="0" applyNumberFormat="1" applyFont="1" applyFill="1"/>
    <xf numFmtId="3" fontId="105" fillId="19" borderId="0" xfId="0" applyNumberFormat="1" applyFont="1" applyFill="1" applyAlignment="1">
      <alignment vertical="center"/>
    </xf>
    <xf numFmtId="0" fontId="105" fillId="19" borderId="0" xfId="0" applyFont="1" applyFill="1"/>
    <xf numFmtId="0" fontId="105" fillId="19" borderId="0" xfId="0" applyFont="1" applyFill="1" applyAlignment="1">
      <alignment vertical="center"/>
    </xf>
    <xf numFmtId="9" fontId="105" fillId="19" borderId="0" xfId="3" applyFont="1" applyFill="1" applyBorder="1"/>
    <xf numFmtId="9" fontId="105" fillId="19" borderId="0" xfId="0" applyNumberFormat="1" applyFont="1" applyFill="1" applyAlignment="1">
      <alignment vertical="center"/>
    </xf>
    <xf numFmtId="166" fontId="105" fillId="19" borderId="0" xfId="2" applyNumberFormat="1" applyFont="1" applyFill="1" applyBorder="1"/>
    <xf numFmtId="9" fontId="105" fillId="19" borderId="0" xfId="0" applyNumberFormat="1" applyFont="1" applyFill="1"/>
    <xf numFmtId="1" fontId="105" fillId="19" borderId="0" xfId="0" applyNumberFormat="1" applyFont="1" applyFill="1"/>
    <xf numFmtId="2" fontId="105" fillId="19" borderId="0" xfId="0" applyNumberFormat="1" applyFont="1" applyFill="1"/>
    <xf numFmtId="0" fontId="102" fillId="5" borderId="0" xfId="0" applyFont="1" applyFill="1" applyAlignment="1">
      <alignment vertical="center"/>
    </xf>
    <xf numFmtId="0" fontId="111" fillId="2" borderId="0" xfId="0" applyFont="1" applyFill="1" applyAlignment="1">
      <alignment horizontal="right" vertical="center"/>
    </xf>
    <xf numFmtId="0" fontId="12" fillId="2" borderId="0" xfId="1" applyFont="1" applyFill="1" applyAlignment="1">
      <alignment horizontal="center" vertical="center"/>
    </xf>
    <xf numFmtId="0" fontId="13" fillId="0" borderId="7" xfId="0" applyFont="1" applyBorder="1" applyAlignment="1">
      <alignment vertical="center"/>
    </xf>
    <xf numFmtId="9" fontId="13" fillId="2" borderId="0" xfId="3" applyFont="1" applyFill="1"/>
    <xf numFmtId="0" fontId="66" fillId="2" borderId="0" xfId="0" applyFont="1" applyFill="1"/>
    <xf numFmtId="0" fontId="109" fillId="5" borderId="0" xfId="0" applyFont="1" applyFill="1"/>
    <xf numFmtId="49" fontId="13" fillId="0" borderId="0" xfId="0" applyNumberFormat="1" applyFont="1" applyAlignment="1">
      <alignment horizontal="center"/>
    </xf>
    <xf numFmtId="49" fontId="12" fillId="2" borderId="0" xfId="0" applyNumberFormat="1" applyFont="1" applyFill="1" applyAlignment="1">
      <alignment horizontal="center"/>
    </xf>
    <xf numFmtId="0" fontId="64" fillId="2" borderId="0" xfId="0" applyFont="1" applyFill="1" applyAlignment="1">
      <alignment horizontal="right" vertical="top" indent="2"/>
    </xf>
    <xf numFmtId="0" fontId="65" fillId="2" borderId="0" xfId="0" applyFont="1" applyFill="1" applyAlignment="1">
      <alignment horizontal="left" vertical="top"/>
    </xf>
    <xf numFmtId="0" fontId="64" fillId="2" borderId="0" xfId="0" applyFont="1" applyFill="1" applyAlignment="1">
      <alignment horizontal="right" indent="2"/>
    </xf>
    <xf numFmtId="0" fontId="12" fillId="2" borderId="0" xfId="0" applyFont="1" applyFill="1"/>
    <xf numFmtId="0" fontId="104" fillId="2" borderId="0" xfId="0" applyFont="1" applyFill="1" applyAlignment="1">
      <alignment horizontal="left" vertical="center"/>
    </xf>
    <xf numFmtId="0" fontId="113" fillId="2" borderId="0" xfId="0" applyFont="1" applyFill="1" applyAlignment="1">
      <alignment horizontal="left" vertical="center"/>
    </xf>
    <xf numFmtId="0" fontId="22" fillId="30" borderId="7" xfId="0" applyFont="1" applyFill="1" applyBorder="1" applyAlignment="1">
      <alignment vertical="center" wrapText="1"/>
    </xf>
    <xf numFmtId="168" fontId="110" fillId="5" borderId="0" xfId="0" applyNumberFormat="1" applyFont="1" applyFill="1" applyAlignment="1">
      <alignment vertical="center"/>
    </xf>
    <xf numFmtId="10" fontId="21" fillId="2" borderId="0" xfId="3" applyNumberFormat="1" applyFont="1" applyFill="1" applyBorder="1" applyAlignment="1">
      <alignment horizontal="right" vertical="center"/>
    </xf>
    <xf numFmtId="172" fontId="13" fillId="2" borderId="0" xfId="0" applyNumberFormat="1" applyFont="1" applyFill="1" applyAlignment="1">
      <alignment vertical="center"/>
    </xf>
    <xf numFmtId="0" fontId="8" fillId="0" borderId="0" xfId="0" applyFont="1" applyAlignment="1">
      <alignment vertical="center"/>
    </xf>
    <xf numFmtId="0" fontId="8" fillId="19" borderId="13" xfId="0" applyFont="1" applyFill="1" applyBorder="1"/>
    <xf numFmtId="3" fontId="8" fillId="19" borderId="13" xfId="0" applyNumberFormat="1" applyFont="1" applyFill="1" applyBorder="1"/>
    <xf numFmtId="171" fontId="13" fillId="0" borderId="0" xfId="0" applyNumberFormat="1" applyFont="1" applyAlignment="1">
      <alignment vertical="center"/>
    </xf>
    <xf numFmtId="0" fontId="13" fillId="0" borderId="0" xfId="0" applyFont="1" applyAlignment="1">
      <alignment vertical="center"/>
    </xf>
    <xf numFmtId="0" fontId="114" fillId="2" borderId="0" xfId="0" applyFont="1" applyFill="1" applyAlignment="1">
      <alignment vertical="center"/>
    </xf>
    <xf numFmtId="0" fontId="105" fillId="2" borderId="0" xfId="0" applyFont="1" applyFill="1"/>
    <xf numFmtId="0" fontId="25" fillId="2" borderId="0" xfId="0" applyFont="1" applyFill="1" applyAlignment="1">
      <alignment horizontal="center" vertical="center" wrapText="1"/>
    </xf>
    <xf numFmtId="0" fontId="6" fillId="2" borderId="0" xfId="0" applyFont="1" applyFill="1" applyAlignment="1">
      <alignment vertical="center"/>
    </xf>
    <xf numFmtId="0" fontId="12" fillId="0" borderId="31" xfId="0" applyFont="1" applyBorder="1" applyAlignment="1">
      <alignment vertical="center" wrapText="1"/>
    </xf>
    <xf numFmtId="0" fontId="116" fillId="2" borderId="0" xfId="0" applyFont="1" applyFill="1" applyAlignment="1">
      <alignment horizontal="center" vertical="center" wrapText="1"/>
    </xf>
    <xf numFmtId="0" fontId="73" fillId="2" borderId="0" xfId="0" applyFont="1" applyFill="1" applyAlignment="1">
      <alignment vertical="center"/>
    </xf>
    <xf numFmtId="0" fontId="8" fillId="19" borderId="0" xfId="0" applyFont="1" applyFill="1" applyAlignment="1">
      <alignment vertical="center"/>
    </xf>
    <xf numFmtId="0" fontId="6" fillId="19" borderId="0" xfId="0" applyFont="1" applyFill="1" applyAlignment="1">
      <alignment vertical="center"/>
    </xf>
    <xf numFmtId="0" fontId="11" fillId="2" borderId="0" xfId="0" applyFont="1" applyFill="1" applyAlignment="1">
      <alignment vertical="center"/>
    </xf>
    <xf numFmtId="0" fontId="13" fillId="2" borderId="31" xfId="0" applyFont="1" applyFill="1" applyBorder="1" applyAlignment="1">
      <alignment vertical="center"/>
    </xf>
    <xf numFmtId="0" fontId="12" fillId="2" borderId="31" xfId="0" applyFont="1" applyFill="1" applyBorder="1" applyAlignment="1">
      <alignment vertical="center" wrapText="1"/>
    </xf>
    <xf numFmtId="0" fontId="11" fillId="19" borderId="31" xfId="0" applyFont="1" applyFill="1" applyBorder="1" applyAlignment="1">
      <alignment vertical="center" wrapText="1"/>
    </xf>
    <xf numFmtId="0" fontId="13" fillId="19" borderId="31" xfId="0" applyFont="1" applyFill="1" applyBorder="1" applyAlignment="1">
      <alignment vertical="center" wrapText="1"/>
    </xf>
    <xf numFmtId="0" fontId="13" fillId="0" borderId="31" xfId="0" applyFont="1" applyBorder="1" applyAlignment="1">
      <alignment vertical="center" wrapText="1"/>
    </xf>
    <xf numFmtId="0" fontId="12" fillId="19" borderId="31" xfId="0" applyFont="1" applyFill="1" applyBorder="1" applyAlignment="1">
      <alignment vertical="center" wrapText="1"/>
    </xf>
    <xf numFmtId="0" fontId="12" fillId="19" borderId="31" xfId="0" applyFont="1" applyFill="1" applyBorder="1" applyAlignment="1">
      <alignment vertical="center"/>
    </xf>
    <xf numFmtId="0" fontId="12" fillId="0" borderId="31" xfId="0" applyFont="1" applyBorder="1" applyAlignment="1">
      <alignment vertical="center"/>
    </xf>
    <xf numFmtId="0" fontId="65" fillId="0" borderId="31" xfId="0" applyFont="1" applyBorder="1" applyAlignment="1">
      <alignment vertical="center" wrapText="1"/>
    </xf>
    <xf numFmtId="0" fontId="12" fillId="0" borderId="31" xfId="0" applyFont="1" applyBorder="1" applyAlignment="1">
      <alignment horizontal="left" vertical="center" wrapText="1"/>
    </xf>
    <xf numFmtId="0" fontId="12" fillId="29" borderId="31" xfId="0" applyFont="1" applyFill="1" applyBorder="1" applyAlignment="1">
      <alignment vertical="center"/>
    </xf>
    <xf numFmtId="0" fontId="13" fillId="0" borderId="35" xfId="0" applyFont="1" applyBorder="1" applyAlignment="1">
      <alignment vertical="center" wrapText="1"/>
    </xf>
    <xf numFmtId="164" fontId="6" fillId="19" borderId="13" xfId="3" applyNumberFormat="1" applyFont="1" applyFill="1" applyBorder="1" applyAlignment="1">
      <alignment horizontal="right" vertical="center" wrapText="1"/>
    </xf>
    <xf numFmtId="166" fontId="6" fillId="19" borderId="13" xfId="2" applyNumberFormat="1" applyFont="1" applyFill="1" applyBorder="1" applyAlignment="1">
      <alignment horizontal="right" vertical="center" wrapText="1"/>
    </xf>
    <xf numFmtId="49" fontId="6" fillId="19" borderId="13" xfId="2" applyNumberFormat="1" applyFont="1" applyFill="1" applyBorder="1" applyAlignment="1">
      <alignment horizontal="right" vertical="center" wrapText="1"/>
    </xf>
    <xf numFmtId="0" fontId="7" fillId="19" borderId="8" xfId="0" applyFont="1" applyFill="1" applyBorder="1" applyAlignment="1">
      <alignment horizontal="center" vertical="center"/>
    </xf>
    <xf numFmtId="166" fontId="6" fillId="19" borderId="16" xfId="2" applyNumberFormat="1" applyFont="1" applyFill="1" applyBorder="1" applyAlignment="1">
      <alignment horizontal="center" vertical="center" wrapText="1"/>
    </xf>
    <xf numFmtId="164" fontId="6" fillId="19" borderId="7" xfId="3" applyNumberFormat="1" applyFont="1" applyFill="1" applyBorder="1" applyAlignment="1">
      <alignment horizontal="center" vertical="center"/>
    </xf>
    <xf numFmtId="0" fontId="7" fillId="19" borderId="13" xfId="0" applyFont="1" applyFill="1" applyBorder="1" applyAlignment="1">
      <alignment horizontal="left" vertical="center" wrapText="1"/>
    </xf>
    <xf numFmtId="0" fontId="93" fillId="19" borderId="13" xfId="0" applyFont="1" applyFill="1" applyBorder="1" applyAlignment="1">
      <alignment horizontal="center" vertical="center" wrapText="1"/>
    </xf>
    <xf numFmtId="0" fontId="93" fillId="19" borderId="13" xfId="0" applyFont="1" applyFill="1" applyBorder="1" applyAlignment="1">
      <alignment vertical="center"/>
    </xf>
    <xf numFmtId="166" fontId="6" fillId="19" borderId="13" xfId="2" applyNumberFormat="1" applyFont="1" applyFill="1" applyBorder="1" applyAlignment="1">
      <alignment horizontal="right" vertical="center"/>
    </xf>
    <xf numFmtId="166" fontId="8" fillId="2" borderId="0" xfId="2" applyNumberFormat="1" applyFont="1" applyFill="1" applyAlignment="1">
      <alignment horizontal="center" vertical="center" wrapText="1"/>
    </xf>
    <xf numFmtId="166" fontId="6" fillId="0" borderId="0" xfId="2" applyNumberFormat="1" applyFont="1" applyAlignment="1">
      <alignment wrapText="1"/>
    </xf>
    <xf numFmtId="166" fontId="6" fillId="2" borderId="0" xfId="2" applyNumberFormat="1" applyFont="1" applyFill="1" applyAlignment="1">
      <alignment horizontal="center" vertical="center" wrapText="1"/>
    </xf>
    <xf numFmtId="166" fontId="6" fillId="2" borderId="0" xfId="2" applyNumberFormat="1" applyFont="1" applyFill="1" applyAlignment="1">
      <alignment wrapText="1"/>
    </xf>
    <xf numFmtId="166" fontId="6" fillId="0" borderId="0" xfId="2" applyNumberFormat="1" applyFont="1" applyAlignment="1">
      <alignment horizontal="center" vertical="center" wrapText="1"/>
    </xf>
    <xf numFmtId="166" fontId="7" fillId="0" borderId="16" xfId="2" applyNumberFormat="1" applyFont="1" applyBorder="1" applyAlignment="1">
      <alignment horizontal="center" vertical="center"/>
    </xf>
    <xf numFmtId="9" fontId="8" fillId="0" borderId="7" xfId="3" applyFont="1" applyBorder="1"/>
    <xf numFmtId="0" fontId="8" fillId="0" borderId="7" xfId="0" applyFont="1" applyBorder="1"/>
    <xf numFmtId="166" fontId="7" fillId="2" borderId="0" xfId="2" applyNumberFormat="1" applyFont="1" applyFill="1" applyBorder="1" applyAlignment="1">
      <alignment horizontal="center" vertical="center" wrapText="1"/>
    </xf>
    <xf numFmtId="9" fontId="82" fillId="7" borderId="0" xfId="3" applyFont="1" applyFill="1" applyBorder="1" applyAlignment="1">
      <alignment vertical="center" wrapText="1"/>
    </xf>
    <xf numFmtId="166" fontId="10" fillId="2" borderId="0" xfId="2" applyNumberFormat="1" applyFont="1" applyFill="1" applyBorder="1" applyAlignment="1">
      <alignment horizontal="center" vertical="center" wrapText="1"/>
    </xf>
    <xf numFmtId="0" fontId="10" fillId="2" borderId="0" xfId="0" applyFont="1" applyFill="1" applyAlignment="1">
      <alignment vertical="center"/>
    </xf>
    <xf numFmtId="0" fontId="64" fillId="2" borderId="0" xfId="0" applyFont="1" applyFill="1" applyAlignment="1">
      <alignment vertical="center" wrapText="1"/>
    </xf>
    <xf numFmtId="168" fontId="8" fillId="2" borderId="0" xfId="2" applyNumberFormat="1" applyFont="1" applyFill="1" applyBorder="1" applyAlignment="1">
      <alignment horizontal="center" vertical="center" wrapText="1"/>
    </xf>
    <xf numFmtId="0" fontId="11" fillId="2" borderId="0" xfId="0" applyFont="1" applyFill="1"/>
    <xf numFmtId="0" fontId="22"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pplyAlignment="1">
      <alignment horizontal="left" vertical="center" wrapText="1" indent="1"/>
    </xf>
    <xf numFmtId="0" fontId="7" fillId="2" borderId="0" xfId="0" applyFont="1" applyFill="1" applyAlignment="1">
      <alignment horizontal="left" vertical="center"/>
    </xf>
    <xf numFmtId="166" fontId="10" fillId="2" borderId="0" xfId="2" applyNumberFormat="1" applyFont="1" applyFill="1" applyAlignment="1">
      <alignment horizontal="center" vertical="center" wrapText="1"/>
    </xf>
    <xf numFmtId="0" fontId="121" fillId="21" borderId="31" xfId="0" applyFont="1" applyFill="1" applyBorder="1" applyAlignment="1">
      <alignment horizontal="left" vertical="center"/>
    </xf>
    <xf numFmtId="0" fontId="7" fillId="21" borderId="31" xfId="0" applyFont="1" applyFill="1" applyBorder="1" applyAlignment="1">
      <alignment horizontal="center" vertical="center" wrapText="1"/>
    </xf>
    <xf numFmtId="0" fontId="8" fillId="2" borderId="31" xfId="0" applyFont="1" applyFill="1" applyBorder="1" applyAlignment="1">
      <alignment vertical="center"/>
    </xf>
    <xf numFmtId="0" fontId="115" fillId="21" borderId="31" xfId="0" applyFont="1" applyFill="1" applyBorder="1" applyAlignment="1">
      <alignment horizontal="center" vertical="center" wrapText="1"/>
    </xf>
    <xf numFmtId="0" fontId="121" fillId="0" borderId="31" xfId="0" applyFont="1" applyBorder="1" applyAlignment="1">
      <alignment vertical="center"/>
    </xf>
    <xf numFmtId="0" fontId="114" fillId="0" borderId="31" xfId="0" applyFont="1" applyBorder="1" applyAlignment="1">
      <alignment horizontal="right" wrapText="1"/>
    </xf>
    <xf numFmtId="0" fontId="8" fillId="0" borderId="31" xfId="0" applyFont="1" applyBorder="1" applyAlignment="1">
      <alignment horizontal="right" wrapText="1"/>
    </xf>
    <xf numFmtId="0" fontId="115" fillId="2" borderId="31" xfId="0" applyFont="1" applyFill="1" applyBorder="1" applyAlignment="1">
      <alignment horizontal="left" wrapText="1" indent="1"/>
    </xf>
    <xf numFmtId="166" fontId="115" fillId="0" borderId="31" xfId="2" applyNumberFormat="1" applyFont="1" applyBorder="1" applyAlignment="1">
      <alignment horizontal="center" vertical="center" wrapText="1"/>
    </xf>
    <xf numFmtId="0" fontId="121" fillId="2" borderId="31" xfId="0" applyFont="1" applyFill="1" applyBorder="1" applyAlignment="1">
      <alignment vertical="center" wrapText="1"/>
    </xf>
    <xf numFmtId="0" fontId="115" fillId="2" borderId="31" xfId="0" applyFont="1" applyFill="1" applyBorder="1" applyAlignment="1">
      <alignment horizontal="left" vertical="center" wrapText="1"/>
    </xf>
    <xf numFmtId="0" fontId="114" fillId="2" borderId="31" xfId="0" applyFont="1" applyFill="1" applyBorder="1" applyAlignment="1">
      <alignment horizontal="left" indent="2"/>
    </xf>
    <xf numFmtId="166" fontId="114" fillId="0" borderId="31" xfId="2" applyNumberFormat="1" applyFont="1" applyBorder="1" applyAlignment="1">
      <alignment horizontal="center" vertical="center" wrapText="1"/>
    </xf>
    <xf numFmtId="0" fontId="118" fillId="2" borderId="31" xfId="0" applyFont="1" applyFill="1" applyBorder="1" applyAlignment="1">
      <alignment horizontal="left" wrapText="1" indent="2"/>
    </xf>
    <xf numFmtId="0" fontId="114" fillId="2" borderId="31" xfId="0" applyFont="1" applyFill="1" applyBorder="1"/>
    <xf numFmtId="0" fontId="121" fillId="0" borderId="31" xfId="0" applyFont="1" applyBorder="1" applyAlignment="1">
      <alignment vertical="center" wrapText="1"/>
    </xf>
    <xf numFmtId="0" fontId="118" fillId="2" borderId="31" xfId="0" applyFont="1" applyFill="1" applyBorder="1" applyAlignment="1">
      <alignment vertical="center" wrapText="1"/>
    </xf>
    <xf numFmtId="0" fontId="114" fillId="2" borderId="31" xfId="0" applyFont="1" applyFill="1" applyBorder="1" applyAlignment="1">
      <alignment vertical="center"/>
    </xf>
    <xf numFmtId="166" fontId="114" fillId="2" borderId="31" xfId="0" applyNumberFormat="1" applyFont="1" applyFill="1" applyBorder="1" applyAlignment="1">
      <alignment vertical="center"/>
    </xf>
    <xf numFmtId="166" fontId="115" fillId="2" borderId="31" xfId="2" applyNumberFormat="1" applyFont="1" applyFill="1" applyBorder="1" applyAlignment="1">
      <alignment horizontal="right" vertical="center"/>
    </xf>
    <xf numFmtId="0" fontId="118" fillId="2" borderId="31" xfId="0" applyFont="1" applyFill="1" applyBorder="1" applyAlignment="1">
      <alignment vertical="center"/>
    </xf>
    <xf numFmtId="166" fontId="118" fillId="2" borderId="31" xfId="2" applyNumberFormat="1" applyFont="1" applyFill="1" applyBorder="1" applyAlignment="1">
      <alignment horizontal="right" vertical="center"/>
    </xf>
    <xf numFmtId="0" fontId="25" fillId="26" borderId="31" xfId="0" applyFont="1" applyFill="1" applyBorder="1" applyAlignment="1">
      <alignment horizontal="center" vertical="center" wrapText="1"/>
    </xf>
    <xf numFmtId="0" fontId="7" fillId="0" borderId="31" xfId="0" applyFont="1" applyBorder="1" applyAlignment="1">
      <alignment horizontal="left" vertical="center" wrapText="1"/>
    </xf>
    <xf numFmtId="0" fontId="12" fillId="0" borderId="31" xfId="0" applyFont="1" applyBorder="1" applyAlignment="1">
      <alignment horizontal="right" vertical="center" wrapText="1"/>
    </xf>
    <xf numFmtId="0" fontId="12" fillId="0" borderId="31" xfId="0" applyFont="1" applyBorder="1" applyAlignment="1">
      <alignment horizontal="right" vertical="center"/>
    </xf>
    <xf numFmtId="0" fontId="121" fillId="2" borderId="31" xfId="0" applyFont="1" applyFill="1" applyBorder="1" applyAlignment="1">
      <alignment horizontal="left" wrapText="1"/>
    </xf>
    <xf numFmtId="0" fontId="114" fillId="0" borderId="31" xfId="0" applyFont="1" applyBorder="1" applyAlignment="1">
      <alignment vertical="center" wrapText="1"/>
    </xf>
    <xf numFmtId="0" fontId="115" fillId="0" borderId="31" xfId="0" applyFont="1" applyBorder="1" applyAlignment="1">
      <alignment vertical="center" wrapText="1"/>
    </xf>
    <xf numFmtId="0" fontId="114" fillId="2" borderId="31" xfId="0" applyFont="1" applyFill="1" applyBorder="1" applyAlignment="1">
      <alignment vertical="center" wrapText="1"/>
    </xf>
    <xf numFmtId="0" fontId="7" fillId="0" borderId="31" xfId="0" applyFont="1" applyBorder="1" applyAlignment="1">
      <alignment vertical="center"/>
    </xf>
    <xf numFmtId="0" fontId="7" fillId="0" borderId="31" xfId="0" applyFont="1" applyBorder="1" applyAlignment="1">
      <alignment horizontal="left" vertical="center" indent="1"/>
    </xf>
    <xf numFmtId="0" fontId="7" fillId="0" borderId="31" xfId="0" applyFont="1" applyBorder="1" applyAlignment="1">
      <alignment horizontal="left" vertical="center" wrapText="1" indent="1"/>
    </xf>
    <xf numFmtId="0" fontId="7" fillId="0" borderId="31" xfId="0" applyFont="1" applyBorder="1" applyAlignment="1">
      <alignment horizontal="left" vertical="center"/>
    </xf>
    <xf numFmtId="0" fontId="115" fillId="5" borderId="31" xfId="0" applyFont="1" applyFill="1" applyBorder="1" applyAlignment="1">
      <alignment vertical="center"/>
    </xf>
    <xf numFmtId="166" fontId="115" fillId="7" borderId="31" xfId="2" applyNumberFormat="1" applyFont="1" applyFill="1" applyBorder="1" applyAlignment="1">
      <alignment horizontal="right" vertical="center"/>
    </xf>
    <xf numFmtId="165" fontId="119" fillId="0" borderId="31" xfId="0" applyNumberFormat="1" applyFont="1" applyBorder="1" applyAlignment="1">
      <alignment horizontal="right" vertical="center"/>
    </xf>
    <xf numFmtId="0" fontId="115" fillId="0" borderId="31" xfId="0" applyFont="1" applyBorder="1" applyAlignment="1">
      <alignment horizontal="left" vertical="center"/>
    </xf>
    <xf numFmtId="0" fontId="115" fillId="0" borderId="31" xfId="0" applyFont="1" applyBorder="1" applyAlignment="1">
      <alignment vertical="center"/>
    </xf>
    <xf numFmtId="0" fontId="120" fillId="0" borderId="31" xfId="0" applyFont="1" applyBorder="1" applyAlignment="1">
      <alignment vertical="center" wrapText="1"/>
    </xf>
    <xf numFmtId="0" fontId="119" fillId="0" borderId="31" xfId="0" applyFont="1" applyBorder="1" applyAlignment="1">
      <alignment horizontal="left" vertical="center" wrapText="1"/>
    </xf>
    <xf numFmtId="0" fontId="114" fillId="0" borderId="31" xfId="0" applyFont="1" applyBorder="1" applyAlignment="1">
      <alignment vertical="center"/>
    </xf>
    <xf numFmtId="3" fontId="115" fillId="5" borderId="31" xfId="0" applyNumberFormat="1" applyFont="1" applyFill="1" applyBorder="1" applyAlignment="1">
      <alignment horizontal="right" vertical="center"/>
    </xf>
    <xf numFmtId="0" fontId="118" fillId="0" borderId="31" xfId="0" applyFont="1" applyBorder="1" applyAlignment="1">
      <alignment vertical="center"/>
    </xf>
    <xf numFmtId="3" fontId="121" fillId="5" borderId="31" xfId="0" applyNumberFormat="1" applyFont="1" applyFill="1" applyBorder="1" applyAlignment="1">
      <alignment horizontal="right" vertical="center"/>
    </xf>
    <xf numFmtId="0" fontId="72" fillId="4" borderId="31" xfId="0" applyFont="1" applyFill="1" applyBorder="1" applyAlignment="1">
      <alignment vertical="center"/>
    </xf>
    <xf numFmtId="0" fontId="80" fillId="4" borderId="31" xfId="0" applyFont="1" applyFill="1" applyBorder="1" applyAlignment="1">
      <alignment vertical="center"/>
    </xf>
    <xf numFmtId="0" fontId="52" fillId="2" borderId="0" xfId="0" applyFont="1" applyFill="1" applyAlignment="1">
      <alignment horizontal="left" vertical="top" wrapText="1"/>
    </xf>
    <xf numFmtId="0" fontId="8" fillId="0" borderId="0" xfId="0" applyFont="1" applyAlignment="1">
      <alignment vertical="center" wrapText="1"/>
    </xf>
    <xf numFmtId="0" fontId="133" fillId="2" borderId="0" xfId="0" applyFont="1" applyFill="1" applyAlignment="1">
      <alignment vertical="center"/>
    </xf>
    <xf numFmtId="0" fontId="58" fillId="35" borderId="0" xfId="0" applyFont="1" applyFill="1" applyAlignment="1">
      <alignment vertical="center"/>
    </xf>
    <xf numFmtId="0" fontId="134" fillId="2" borderId="0" xfId="0" applyFont="1" applyFill="1" applyAlignment="1">
      <alignment horizontal="left" vertical="center"/>
    </xf>
    <xf numFmtId="0" fontId="80" fillId="12" borderId="34" xfId="0" applyFont="1" applyFill="1" applyBorder="1" applyAlignment="1">
      <alignment horizontal="left" vertical="center" wrapText="1"/>
    </xf>
    <xf numFmtId="0" fontId="80" fillId="12" borderId="33" xfId="0" applyFont="1" applyFill="1" applyBorder="1" applyAlignment="1">
      <alignment horizontal="left" vertical="center" wrapText="1"/>
    </xf>
    <xf numFmtId="0" fontId="135" fillId="13" borderId="32" xfId="0" applyFont="1" applyFill="1" applyBorder="1" applyAlignment="1">
      <alignment vertical="center"/>
    </xf>
    <xf numFmtId="0" fontId="135" fillId="13" borderId="33" xfId="0" applyFont="1" applyFill="1" applyBorder="1" applyAlignment="1">
      <alignment vertical="center"/>
    </xf>
    <xf numFmtId="0" fontId="11" fillId="19" borderId="9" xfId="0" applyFont="1" applyFill="1" applyBorder="1" applyAlignment="1">
      <alignment vertical="center"/>
    </xf>
    <xf numFmtId="0" fontId="72" fillId="2" borderId="0" xfId="0" applyFont="1" applyFill="1" applyAlignment="1">
      <alignment vertical="center"/>
    </xf>
    <xf numFmtId="0" fontId="72" fillId="2" borderId="34" xfId="0" applyFont="1" applyFill="1" applyBorder="1" applyAlignment="1">
      <alignment vertical="center"/>
    </xf>
    <xf numFmtId="0" fontId="72" fillId="19" borderId="34" xfId="0" applyFont="1" applyFill="1" applyBorder="1" applyAlignment="1">
      <alignment vertical="center"/>
    </xf>
    <xf numFmtId="9" fontId="82" fillId="23" borderId="31" xfId="3" applyFont="1" applyFill="1" applyBorder="1" applyAlignment="1">
      <alignment vertical="center" wrapText="1"/>
    </xf>
    <xf numFmtId="0" fontId="13" fillId="19" borderId="31" xfId="0" applyFont="1" applyFill="1" applyBorder="1" applyAlignment="1">
      <alignment vertical="center"/>
    </xf>
    <xf numFmtId="0" fontId="13" fillId="2" borderId="31" xfId="0" applyFont="1" applyFill="1" applyBorder="1" applyAlignment="1">
      <alignment vertical="center" wrapText="1"/>
    </xf>
    <xf numFmtId="0" fontId="13" fillId="19" borderId="31" xfId="0" applyFont="1" applyFill="1" applyBorder="1" applyAlignment="1">
      <alignment horizontal="left" vertical="center" wrapText="1"/>
    </xf>
    <xf numFmtId="0" fontId="11" fillId="19" borderId="31" xfId="0" applyFont="1" applyFill="1" applyBorder="1" applyAlignment="1">
      <alignment horizontal="left" vertical="center" wrapText="1"/>
    </xf>
    <xf numFmtId="0" fontId="13" fillId="19" borderId="35" xfId="0" applyFont="1" applyFill="1" applyBorder="1" applyAlignment="1">
      <alignment horizontal="left" vertical="center" wrapText="1"/>
    </xf>
    <xf numFmtId="0" fontId="118" fillId="12" borderId="31" xfId="0" applyFont="1" applyFill="1" applyBorder="1" applyAlignment="1">
      <alignment vertical="center" wrapText="1"/>
    </xf>
    <xf numFmtId="0" fontId="60" fillId="5" borderId="0" xfId="0" applyFont="1" applyFill="1"/>
    <xf numFmtId="0" fontId="89" fillId="5" borderId="0" xfId="0" applyFont="1" applyFill="1" applyAlignment="1">
      <alignment vertical="center"/>
    </xf>
    <xf numFmtId="0" fontId="88" fillId="5" borderId="0" xfId="0" applyFont="1" applyFill="1" applyAlignment="1">
      <alignment vertical="center" wrapText="1"/>
    </xf>
    <xf numFmtId="0" fontId="81" fillId="0" borderId="0" xfId="0" applyFont="1" applyAlignment="1">
      <alignment vertical="center" wrapText="1"/>
    </xf>
    <xf numFmtId="0" fontId="81" fillId="2" borderId="0" xfId="0" applyFont="1" applyFill="1" applyAlignment="1">
      <alignment vertical="top" wrapText="1"/>
    </xf>
    <xf numFmtId="0" fontId="13" fillId="19" borderId="45" xfId="0" applyFont="1" applyFill="1" applyBorder="1" applyAlignment="1">
      <alignment horizontal="left" vertical="center" wrapText="1"/>
    </xf>
    <xf numFmtId="0" fontId="13" fillId="2" borderId="45" xfId="0" applyFont="1" applyFill="1" applyBorder="1" applyAlignment="1">
      <alignment vertical="center" wrapText="1"/>
    </xf>
    <xf numFmtId="0" fontId="13" fillId="2" borderId="46" xfId="0" applyFont="1" applyFill="1" applyBorder="1" applyAlignment="1">
      <alignment vertical="center" wrapText="1"/>
    </xf>
    <xf numFmtId="0" fontId="13" fillId="2" borderId="44" xfId="0" applyFont="1" applyFill="1" applyBorder="1" applyAlignment="1">
      <alignment vertical="center" wrapText="1"/>
    </xf>
    <xf numFmtId="0" fontId="12" fillId="19" borderId="44" xfId="0" applyFont="1" applyFill="1" applyBorder="1" applyAlignment="1">
      <alignment vertical="center" wrapText="1"/>
    </xf>
    <xf numFmtId="0" fontId="13" fillId="19" borderId="44" xfId="0" applyFont="1" applyFill="1" applyBorder="1" applyAlignment="1">
      <alignment horizontal="left" vertical="center" wrapText="1"/>
    </xf>
    <xf numFmtId="0" fontId="13" fillId="0" borderId="44" xfId="0" applyFont="1" applyBorder="1" applyAlignment="1">
      <alignment vertical="center" wrapText="1"/>
    </xf>
    <xf numFmtId="0" fontId="12" fillId="19" borderId="45" xfId="0" applyFont="1" applyFill="1" applyBorder="1" applyAlignment="1">
      <alignment vertical="center"/>
    </xf>
    <xf numFmtId="0" fontId="12" fillId="19" borderId="46" xfId="0" applyFont="1" applyFill="1" applyBorder="1" applyAlignment="1">
      <alignment vertical="center"/>
    </xf>
    <xf numFmtId="0" fontId="13" fillId="19" borderId="46" xfId="0" applyFont="1" applyFill="1" applyBorder="1" applyAlignment="1">
      <alignment horizontal="left" vertical="center" wrapText="1"/>
    </xf>
    <xf numFmtId="169" fontId="83" fillId="8" borderId="31" xfId="0" applyNumberFormat="1" applyFont="1" applyFill="1" applyBorder="1" applyAlignment="1">
      <alignment vertical="center" wrapText="1"/>
    </xf>
    <xf numFmtId="3" fontId="87" fillId="4" borderId="31" xfId="0" applyNumberFormat="1" applyFont="1" applyFill="1" applyBorder="1" applyAlignment="1">
      <alignment horizontal="right" vertical="center" wrapText="1"/>
    </xf>
    <xf numFmtId="166" fontId="115" fillId="0" borderId="31" xfId="2" applyNumberFormat="1" applyFont="1" applyFill="1" applyBorder="1" applyAlignment="1">
      <alignment horizontal="right" vertical="center"/>
    </xf>
    <xf numFmtId="3" fontId="87" fillId="4" borderId="31" xfId="0" applyNumberFormat="1" applyFont="1" applyFill="1" applyBorder="1" applyAlignment="1">
      <alignment horizontal="right" vertical="center"/>
    </xf>
    <xf numFmtId="0" fontId="87" fillId="4" borderId="31" xfId="0" applyFont="1" applyFill="1" applyBorder="1" applyAlignment="1">
      <alignment horizontal="right" vertical="center"/>
    </xf>
    <xf numFmtId="165" fontId="87" fillId="4" borderId="31" xfId="0" applyNumberFormat="1" applyFont="1" applyFill="1" applyBorder="1" applyAlignment="1">
      <alignment horizontal="right" vertical="center" wrapText="1"/>
    </xf>
    <xf numFmtId="166" fontId="87" fillId="23" borderId="31" xfId="2" applyNumberFormat="1" applyFont="1" applyFill="1" applyBorder="1" applyAlignment="1">
      <alignment horizontal="right" vertical="center"/>
    </xf>
    <xf numFmtId="171" fontId="87" fillId="4" borderId="31" xfId="0" applyNumberFormat="1" applyFont="1" applyFill="1" applyBorder="1" applyAlignment="1">
      <alignment horizontal="right" vertical="center"/>
    </xf>
    <xf numFmtId="166" fontId="118" fillId="4" borderId="31" xfId="2" applyNumberFormat="1" applyFont="1" applyFill="1" applyBorder="1" applyAlignment="1">
      <alignment horizontal="right" vertical="center"/>
    </xf>
    <xf numFmtId="166" fontId="121" fillId="4" borderId="31" xfId="2" applyNumberFormat="1" applyFont="1" applyFill="1" applyBorder="1" applyAlignment="1">
      <alignment horizontal="right" vertical="center"/>
    </xf>
    <xf numFmtId="167" fontId="114" fillId="2" borderId="31" xfId="2" applyNumberFormat="1" applyFont="1" applyFill="1" applyBorder="1" applyAlignment="1">
      <alignment horizontal="right" vertical="center"/>
    </xf>
    <xf numFmtId="166" fontId="114" fillId="2" borderId="31" xfId="2" applyNumberFormat="1" applyFont="1" applyFill="1" applyBorder="1" applyAlignment="1">
      <alignment horizontal="right" vertical="center"/>
    </xf>
    <xf numFmtId="166" fontId="118" fillId="2" borderId="0" xfId="2" applyNumberFormat="1" applyFont="1" applyFill="1" applyBorder="1" applyAlignment="1">
      <alignment horizontal="right" vertical="center"/>
    </xf>
    <xf numFmtId="9" fontId="118" fillId="4" borderId="31" xfId="3" applyFont="1" applyFill="1" applyBorder="1" applyAlignment="1">
      <alignment horizontal="right" vertical="center"/>
    </xf>
    <xf numFmtId="166" fontId="121" fillId="0" borderId="31" xfId="2" applyNumberFormat="1" applyFont="1" applyBorder="1" applyAlignment="1">
      <alignment horizontal="right" vertical="center"/>
    </xf>
    <xf numFmtId="9" fontId="115" fillId="0" borderId="31" xfId="3" applyFont="1" applyFill="1" applyBorder="1" applyAlignment="1">
      <alignment horizontal="right" vertical="center"/>
    </xf>
    <xf numFmtId="166" fontId="87" fillId="4" borderId="31" xfId="2" applyNumberFormat="1" applyFont="1" applyFill="1" applyBorder="1" applyAlignment="1">
      <alignment horizontal="right" vertical="center"/>
    </xf>
    <xf numFmtId="10" fontId="87" fillId="2" borderId="0" xfId="3" applyNumberFormat="1" applyFont="1" applyFill="1" applyBorder="1" applyAlignment="1">
      <alignment horizontal="right" vertical="center"/>
    </xf>
    <xf numFmtId="3" fontId="114" fillId="0" borderId="31" xfId="0" applyNumberFormat="1" applyFont="1" applyBorder="1" applyAlignment="1">
      <alignment horizontal="right" vertical="center" wrapText="1"/>
    </xf>
    <xf numFmtId="166" fontId="115" fillId="0" borderId="31" xfId="2" applyNumberFormat="1" applyFont="1" applyBorder="1" applyAlignment="1">
      <alignment horizontal="right" vertical="center"/>
    </xf>
    <xf numFmtId="3" fontId="115" fillId="0" borderId="31" xfId="0" applyNumberFormat="1" applyFont="1" applyBorder="1" applyAlignment="1">
      <alignment horizontal="right" vertical="center" wrapText="1"/>
    </xf>
    <xf numFmtId="3" fontId="118" fillId="0" borderId="31" xfId="0" applyNumberFormat="1" applyFont="1" applyBorder="1" applyAlignment="1">
      <alignment horizontal="right" vertical="center" wrapText="1"/>
    </xf>
    <xf numFmtId="166" fontId="121" fillId="2" borderId="31" xfId="2" applyNumberFormat="1" applyFont="1" applyFill="1" applyBorder="1" applyAlignment="1">
      <alignment horizontal="right" vertical="center"/>
    </xf>
    <xf numFmtId="166" fontId="121" fillId="2" borderId="0" xfId="2" applyNumberFormat="1" applyFont="1" applyFill="1" applyBorder="1" applyAlignment="1">
      <alignment horizontal="right" vertical="center"/>
    </xf>
    <xf numFmtId="166" fontId="86" fillId="4" borderId="31" xfId="2" applyNumberFormat="1" applyFont="1" applyFill="1" applyBorder="1" applyAlignment="1">
      <alignment horizontal="right" vertical="center"/>
    </xf>
    <xf numFmtId="167" fontId="87" fillId="4" borderId="31" xfId="2" applyNumberFormat="1" applyFont="1" applyFill="1" applyBorder="1" applyAlignment="1">
      <alignment horizontal="right" vertical="center"/>
    </xf>
    <xf numFmtId="9" fontId="87" fillId="4" borderId="31" xfId="3" applyFont="1" applyFill="1" applyBorder="1" applyAlignment="1">
      <alignment horizontal="right" vertical="center"/>
    </xf>
    <xf numFmtId="166" fontId="87" fillId="2" borderId="0" xfId="2" applyNumberFormat="1" applyFont="1" applyFill="1" applyBorder="1" applyAlignment="1">
      <alignment horizontal="right" vertical="center"/>
    </xf>
    <xf numFmtId="9" fontId="114" fillId="0" borderId="31" xfId="3" applyFont="1" applyBorder="1"/>
    <xf numFmtId="0" fontId="114" fillId="0" borderId="31" xfId="0" applyFont="1" applyBorder="1"/>
    <xf numFmtId="0" fontId="115" fillId="0" borderId="31" xfId="0" applyFont="1" applyBorder="1" applyAlignment="1">
      <alignment horizontal="left" vertical="center" indent="1"/>
    </xf>
    <xf numFmtId="0" fontId="115" fillId="0" borderId="31" xfId="0" applyFont="1" applyBorder="1" applyAlignment="1">
      <alignment horizontal="left" vertical="center" wrapText="1" indent="1"/>
    </xf>
    <xf numFmtId="0" fontId="115" fillId="2" borderId="31" xfId="0" applyFont="1" applyFill="1" applyBorder="1" applyAlignment="1">
      <alignment horizontal="left" vertical="center"/>
    </xf>
    <xf numFmtId="0" fontId="115" fillId="2" borderId="31" xfId="0" applyFont="1" applyFill="1" applyBorder="1" applyAlignment="1">
      <alignment horizontal="left" vertical="center" indent="1"/>
    </xf>
    <xf numFmtId="0" fontId="114" fillId="0" borderId="31" xfId="0" applyFont="1" applyBorder="1" applyAlignment="1">
      <alignment horizontal="left" vertical="center"/>
    </xf>
    <xf numFmtId="0" fontId="114" fillId="2" borderId="31" xfId="0" applyFont="1" applyFill="1" applyBorder="1" applyAlignment="1">
      <alignment horizontal="left" vertical="center"/>
    </xf>
    <xf numFmtId="0" fontId="118" fillId="2" borderId="0" xfId="0" applyFont="1" applyFill="1" applyAlignment="1">
      <alignment vertical="center"/>
    </xf>
    <xf numFmtId="0" fontId="114" fillId="0" borderId="31" xfId="0" applyFont="1" applyBorder="1" applyAlignment="1">
      <alignment horizontal="left" vertical="center" wrapText="1"/>
    </xf>
    <xf numFmtId="0" fontId="115" fillId="0" borderId="31" xfId="0" applyFont="1" applyBorder="1" applyAlignment="1">
      <alignment horizontal="left" vertical="center" wrapText="1"/>
    </xf>
    <xf numFmtId="0" fontId="115" fillId="2" borderId="31" xfId="0" applyFont="1" applyFill="1" applyBorder="1" applyAlignment="1">
      <alignment vertical="center"/>
    </xf>
    <xf numFmtId="0" fontId="114" fillId="2" borderId="31" xfId="0" applyFont="1" applyFill="1" applyBorder="1" applyAlignment="1">
      <alignment wrapText="1"/>
    </xf>
    <xf numFmtId="0" fontId="114" fillId="2" borderId="31" xfId="0" applyFont="1" applyFill="1" applyBorder="1" applyAlignment="1">
      <alignment horizontal="left" vertical="center" wrapText="1"/>
    </xf>
    <xf numFmtId="9" fontId="114" fillId="2" borderId="31" xfId="3" applyFont="1" applyFill="1" applyBorder="1" applyAlignment="1">
      <alignment horizontal="right"/>
    </xf>
    <xf numFmtId="0" fontId="8" fillId="2" borderId="0" xfId="0" applyFont="1" applyFill="1" applyAlignment="1">
      <alignment horizontal="right" wrapText="1"/>
    </xf>
    <xf numFmtId="166" fontId="115" fillId="0" borderId="31" xfId="2" applyNumberFormat="1" applyFont="1" applyBorder="1" applyAlignment="1">
      <alignment horizontal="right" vertical="center" wrapText="1"/>
    </xf>
    <xf numFmtId="166" fontId="121" fillId="0" borderId="31" xfId="2" applyNumberFormat="1" applyFont="1" applyBorder="1" applyAlignment="1">
      <alignment horizontal="right" vertical="center" wrapText="1"/>
    </xf>
    <xf numFmtId="166" fontId="115" fillId="2" borderId="31" xfId="2" applyNumberFormat="1" applyFont="1" applyFill="1" applyBorder="1" applyAlignment="1">
      <alignment horizontal="right" vertical="center" wrapText="1"/>
    </xf>
    <xf numFmtId="166" fontId="121" fillId="2" borderId="31" xfId="2" applyNumberFormat="1" applyFont="1" applyFill="1" applyBorder="1" applyAlignment="1">
      <alignment horizontal="right" vertical="center" wrapText="1"/>
    </xf>
    <xf numFmtId="3" fontId="118" fillId="2" borderId="31" xfId="0" applyNumberFormat="1" applyFont="1" applyFill="1" applyBorder="1" applyAlignment="1">
      <alignment vertical="center" wrapText="1"/>
    </xf>
    <xf numFmtId="166" fontId="115" fillId="2" borderId="31" xfId="2" applyNumberFormat="1" applyFont="1" applyFill="1" applyBorder="1" applyAlignment="1">
      <alignment vertical="center"/>
    </xf>
    <xf numFmtId="0" fontId="115" fillId="0" borderId="31" xfId="0" applyFont="1" applyBorder="1" applyAlignment="1">
      <alignment horizontal="right" vertical="center" wrapText="1"/>
    </xf>
    <xf numFmtId="2" fontId="115" fillId="0" borderId="31" xfId="0" applyNumberFormat="1" applyFont="1" applyBorder="1" applyAlignment="1">
      <alignment horizontal="right" vertical="center" wrapText="1"/>
    </xf>
    <xf numFmtId="1" fontId="115" fillId="0" borderId="31" xfId="0" applyNumberFormat="1" applyFont="1" applyBorder="1" applyAlignment="1">
      <alignment vertical="center"/>
    </xf>
    <xf numFmtId="2" fontId="115" fillId="0" borderId="31" xfId="0" applyNumberFormat="1" applyFont="1" applyBorder="1" applyAlignment="1">
      <alignment vertical="center"/>
    </xf>
    <xf numFmtId="165" fontId="115" fillId="0" borderId="31" xfId="0" applyNumberFormat="1" applyFont="1" applyBorder="1" applyAlignment="1">
      <alignment horizontal="right" vertical="center"/>
    </xf>
    <xf numFmtId="0" fontId="115" fillId="0" borderId="31" xfId="0" applyFont="1" applyBorder="1" applyAlignment="1">
      <alignment horizontal="right" vertical="center"/>
    </xf>
    <xf numFmtId="0" fontId="115" fillId="2" borderId="31" xfId="0" applyFont="1" applyFill="1" applyBorder="1" applyAlignment="1">
      <alignment horizontal="right" vertical="center"/>
    </xf>
    <xf numFmtId="0" fontId="115" fillId="0" borderId="31" xfId="0" applyFont="1" applyBorder="1" applyAlignment="1">
      <alignment wrapText="1"/>
    </xf>
    <xf numFmtId="0" fontId="121" fillId="20" borderId="6" xfId="0" applyFont="1" applyFill="1" applyBorder="1" applyAlignment="1">
      <alignment vertical="center" wrapText="1"/>
    </xf>
    <xf numFmtId="0" fontId="121" fillId="20" borderId="6" xfId="0" applyFont="1" applyFill="1" applyBorder="1" applyAlignment="1">
      <alignment horizontal="center" vertical="center"/>
    </xf>
    <xf numFmtId="0" fontId="114" fillId="2" borderId="6" xfId="0" applyFont="1" applyFill="1" applyBorder="1" applyAlignment="1">
      <alignment vertical="center" wrapText="1"/>
    </xf>
    <xf numFmtId="0" fontId="114" fillId="2" borderId="6" xfId="0" applyFont="1" applyFill="1" applyBorder="1" applyAlignment="1">
      <alignment horizontal="center" vertical="center" wrapText="1"/>
    </xf>
    <xf numFmtId="0" fontId="114" fillId="2" borderId="6" xfId="0" applyFont="1" applyFill="1" applyBorder="1" applyAlignment="1">
      <alignment horizontal="left" vertical="center" wrapText="1"/>
    </xf>
    <xf numFmtId="0" fontId="118" fillId="2" borderId="6" xfId="0" applyFont="1" applyFill="1" applyBorder="1" applyAlignment="1">
      <alignment vertical="center" wrapText="1"/>
    </xf>
    <xf numFmtId="0" fontId="118" fillId="2" borderId="6" xfId="0" applyFont="1" applyFill="1" applyBorder="1" applyAlignment="1">
      <alignment horizontal="center" vertical="center" wrapText="1"/>
    </xf>
    <xf numFmtId="0" fontId="118" fillId="0" borderId="31" xfId="0" applyFont="1" applyBorder="1" applyAlignment="1">
      <alignment horizontal="left" wrapText="1"/>
    </xf>
    <xf numFmtId="0" fontId="114" fillId="2" borderId="0" xfId="0" applyFont="1" applyFill="1" applyAlignment="1">
      <alignment horizontal="left"/>
    </xf>
    <xf numFmtId="0" fontId="114" fillId="2" borderId="0" xfId="0" applyFont="1" applyFill="1"/>
    <xf numFmtId="0" fontId="114" fillId="0" borderId="31" xfId="0" applyFont="1" applyBorder="1" applyAlignment="1">
      <alignment horizontal="left" wrapText="1"/>
    </xf>
    <xf numFmtId="0" fontId="114" fillId="2" borderId="7" xfId="0" applyFont="1" applyFill="1" applyBorder="1" applyAlignment="1">
      <alignment vertical="center" wrapText="1"/>
    </xf>
    <xf numFmtId="0" fontId="114" fillId="2" borderId="49" xfId="0" applyFont="1" applyFill="1" applyBorder="1" applyAlignment="1">
      <alignment vertical="center" wrapText="1"/>
    </xf>
    <xf numFmtId="0" fontId="114" fillId="2" borderId="50" xfId="0" applyFont="1" applyFill="1" applyBorder="1" applyAlignment="1">
      <alignment vertical="center" wrapText="1"/>
    </xf>
    <xf numFmtId="0" fontId="8" fillId="26" borderId="0" xfId="0" applyFont="1" applyFill="1"/>
    <xf numFmtId="0" fontId="8" fillId="4" borderId="0" xfId="0" applyFont="1" applyFill="1"/>
    <xf numFmtId="0" fontId="15" fillId="23" borderId="0" xfId="0" applyFont="1" applyFill="1" applyAlignment="1">
      <alignment vertical="center"/>
    </xf>
    <xf numFmtId="0" fontId="7" fillId="4" borderId="0" xfId="1" applyFont="1" applyFill="1" applyAlignment="1">
      <alignment horizontal="center" vertical="center"/>
    </xf>
    <xf numFmtId="0" fontId="9" fillId="4" borderId="0" xfId="0" applyFont="1" applyFill="1" applyAlignment="1">
      <alignment horizontal="right" vertical="center"/>
    </xf>
    <xf numFmtId="0" fontId="13" fillId="0" borderId="31" xfId="0" applyFont="1" applyBorder="1" applyAlignment="1">
      <alignment horizontal="right" vertical="center" wrapText="1"/>
    </xf>
    <xf numFmtId="0" fontId="66" fillId="0" borderId="48" xfId="0" applyFont="1" applyBorder="1" applyAlignment="1">
      <alignment vertical="center" wrapText="1"/>
    </xf>
    <xf numFmtId="0" fontId="13" fillId="0" borderId="48" xfId="0" applyFont="1" applyBorder="1" applyAlignment="1">
      <alignment vertical="center" wrapText="1"/>
    </xf>
    <xf numFmtId="0" fontId="13" fillId="0" borderId="48" xfId="0" applyFont="1" applyBorder="1" applyAlignment="1">
      <alignment vertical="center"/>
    </xf>
    <xf numFmtId="0" fontId="13" fillId="0" borderId="49" xfId="0" applyFont="1" applyBorder="1" applyAlignment="1">
      <alignment vertical="center" wrapText="1"/>
    </xf>
    <xf numFmtId="0" fontId="13" fillId="0" borderId="49" xfId="0" applyFont="1" applyBorder="1" applyAlignment="1">
      <alignment vertical="center"/>
    </xf>
    <xf numFmtId="0" fontId="13" fillId="0" borderId="50" xfId="0" applyFont="1" applyBorder="1" applyAlignment="1">
      <alignment vertical="center" wrapText="1"/>
    </xf>
    <xf numFmtId="0" fontId="13" fillId="0" borderId="50" xfId="0" applyFont="1" applyBorder="1" applyAlignment="1">
      <alignment vertical="center"/>
    </xf>
    <xf numFmtId="0" fontId="66" fillId="0" borderId="48" xfId="0" applyFont="1" applyBorder="1" applyAlignment="1">
      <alignment horizontal="left" vertical="center" wrapText="1"/>
    </xf>
    <xf numFmtId="0" fontId="14" fillId="0" borderId="48" xfId="0" applyFont="1" applyBorder="1" applyAlignment="1">
      <alignment horizontal="left" vertical="center" wrapText="1"/>
    </xf>
    <xf numFmtId="0" fontId="12" fillId="0" borderId="48" xfId="0" applyFont="1" applyBorder="1" applyAlignment="1">
      <alignment vertical="center"/>
    </xf>
    <xf numFmtId="0" fontId="112" fillId="2" borderId="0" xfId="0" applyFont="1" applyFill="1" applyAlignment="1">
      <alignment vertical="center"/>
    </xf>
    <xf numFmtId="0" fontId="13" fillId="2" borderId="51" xfId="0" applyFont="1" applyFill="1" applyBorder="1" applyAlignment="1">
      <alignment vertical="center" wrapText="1"/>
    </xf>
    <xf numFmtId="0" fontId="12" fillId="19" borderId="51" xfId="0" applyFont="1" applyFill="1" applyBorder="1" applyAlignment="1">
      <alignment vertical="center" wrapText="1"/>
    </xf>
    <xf numFmtId="0" fontId="13" fillId="19" borderId="51" xfId="0" applyFont="1" applyFill="1" applyBorder="1" applyAlignment="1">
      <alignment horizontal="left" vertical="center" wrapText="1"/>
    </xf>
    <xf numFmtId="0" fontId="13" fillId="2" borderId="52" xfId="0" applyFont="1" applyFill="1" applyBorder="1" applyAlignment="1">
      <alignment vertical="center"/>
    </xf>
    <xf numFmtId="0" fontId="13" fillId="19" borderId="52" xfId="0" applyFont="1" applyFill="1" applyBorder="1" applyAlignment="1">
      <alignment vertical="center"/>
    </xf>
    <xf numFmtId="0" fontId="13" fillId="2" borderId="53" xfId="0" applyFont="1" applyFill="1" applyBorder="1" applyAlignment="1">
      <alignment vertical="center" wrapText="1"/>
    </xf>
    <xf numFmtId="0" fontId="13" fillId="19" borderId="53" xfId="0" quotePrefix="1" applyFont="1" applyFill="1" applyBorder="1" applyAlignment="1">
      <alignment vertical="center" wrapText="1"/>
    </xf>
    <xf numFmtId="0" fontId="13" fillId="19" borderId="53" xfId="0" quotePrefix="1" applyFont="1" applyFill="1" applyBorder="1" applyAlignment="1">
      <alignment horizontal="left" vertical="center" wrapText="1"/>
    </xf>
    <xf numFmtId="0" fontId="115" fillId="2" borderId="31" xfId="0" applyFont="1" applyFill="1" applyBorder="1"/>
    <xf numFmtId="0" fontId="115" fillId="0" borderId="31" xfId="0" applyFont="1" applyBorder="1"/>
    <xf numFmtId="0" fontId="66" fillId="0" borderId="54" xfId="0" applyFont="1" applyBorder="1" applyAlignment="1">
      <alignment vertical="center" wrapText="1"/>
    </xf>
    <xf numFmtId="0" fontId="13" fillId="0" borderId="54" xfId="0" applyFont="1" applyBorder="1" applyAlignment="1">
      <alignment vertical="center"/>
    </xf>
    <xf numFmtId="0" fontId="13" fillId="0" borderId="54" xfId="0" applyFont="1" applyBorder="1" applyAlignment="1">
      <alignment horizontal="center" vertical="center" wrapText="1"/>
    </xf>
    <xf numFmtId="9" fontId="112" fillId="0" borderId="54" xfId="3" applyFont="1" applyFill="1" applyBorder="1" applyAlignment="1">
      <alignment vertical="center"/>
    </xf>
    <xf numFmtId="0" fontId="66" fillId="0" borderId="48" xfId="0" applyFont="1" applyBorder="1" applyAlignment="1">
      <alignment vertical="center"/>
    </xf>
    <xf numFmtId="0" fontId="141" fillId="0" borderId="54" xfId="0" applyFont="1" applyBorder="1" applyAlignment="1">
      <alignment vertical="center" wrapText="1"/>
    </xf>
    <xf numFmtId="0" fontId="13" fillId="2" borderId="0" xfId="0" applyFont="1" applyFill="1" applyAlignment="1">
      <alignment horizontal="right" vertical="center"/>
    </xf>
    <xf numFmtId="0" fontId="102" fillId="4" borderId="0" xfId="0" applyFont="1" applyFill="1" applyAlignment="1">
      <alignment horizontal="left" vertical="top" indent="1"/>
    </xf>
    <xf numFmtId="0" fontId="12" fillId="4" borderId="0" xfId="0" applyFont="1" applyFill="1" applyAlignment="1">
      <alignment horizontal="left" vertical="top" wrapText="1" indent="1"/>
    </xf>
    <xf numFmtId="0" fontId="8" fillId="2" borderId="0" xfId="0" applyFont="1" applyFill="1" applyAlignment="1">
      <alignment horizontal="left" indent="1"/>
    </xf>
    <xf numFmtId="0" fontId="12" fillId="4" borderId="0" xfId="0" applyFont="1" applyFill="1" applyAlignment="1">
      <alignment horizontal="left" vertical="top" indent="1"/>
    </xf>
    <xf numFmtId="0" fontId="8" fillId="4" borderId="0" xfId="0" applyFont="1" applyFill="1" applyAlignment="1">
      <alignment horizontal="left" indent="1"/>
    </xf>
    <xf numFmtId="0" fontId="66" fillId="4" borderId="51" xfId="0" applyFont="1" applyFill="1" applyBorder="1" applyAlignment="1">
      <alignment vertical="center"/>
    </xf>
    <xf numFmtId="0" fontId="66" fillId="4" borderId="44" xfId="0" applyFont="1" applyFill="1" applyBorder="1" applyAlignment="1">
      <alignment vertical="center"/>
    </xf>
    <xf numFmtId="0" fontId="83" fillId="8" borderId="31" xfId="0" applyFont="1" applyFill="1" applyBorder="1" applyAlignment="1">
      <alignment vertical="center"/>
    </xf>
    <xf numFmtId="9" fontId="87" fillId="4" borderId="31" xfId="0" applyNumberFormat="1" applyFont="1" applyFill="1" applyBorder="1" applyAlignment="1">
      <alignment horizontal="right" vertical="center"/>
    </xf>
    <xf numFmtId="9" fontId="87" fillId="2" borderId="0" xfId="0" applyNumberFormat="1" applyFont="1" applyFill="1" applyAlignment="1">
      <alignment horizontal="right" vertical="center"/>
    </xf>
    <xf numFmtId="166" fontId="86" fillId="4" borderId="31" xfId="0" applyNumberFormat="1" applyFont="1" applyFill="1" applyBorder="1" applyAlignment="1">
      <alignment horizontal="right" vertical="center"/>
    </xf>
    <xf numFmtId="9" fontId="10" fillId="2" borderId="0" xfId="3" applyFont="1" applyFill="1" applyAlignment="1">
      <alignment horizontal="right" vertical="center"/>
    </xf>
    <xf numFmtId="0" fontId="30" fillId="5" borderId="0" xfId="0" applyFont="1" applyFill="1" applyAlignment="1">
      <alignment horizontal="right" vertical="center"/>
    </xf>
    <xf numFmtId="164" fontId="114" fillId="4" borderId="31" xfId="3" applyNumberFormat="1" applyFont="1" applyFill="1" applyBorder="1" applyAlignment="1">
      <alignment horizontal="right" vertical="center"/>
    </xf>
    <xf numFmtId="3" fontId="115" fillId="0" borderId="31" xfId="0" applyNumberFormat="1" applyFont="1" applyBorder="1" applyAlignment="1">
      <alignment horizontal="right" vertical="center"/>
    </xf>
    <xf numFmtId="164" fontId="87" fillId="4" borderId="31" xfId="3" applyNumberFormat="1" applyFont="1" applyFill="1" applyBorder="1" applyAlignment="1">
      <alignment horizontal="right" vertical="center"/>
    </xf>
    <xf numFmtId="3" fontId="114" fillId="0" borderId="31" xfId="0" applyNumberFormat="1" applyFont="1" applyBorder="1" applyAlignment="1">
      <alignment horizontal="right" vertical="center"/>
    </xf>
    <xf numFmtId="0" fontId="114" fillId="2" borderId="0" xfId="0" applyFont="1" applyFill="1" applyAlignment="1">
      <alignment horizontal="right" vertical="center"/>
    </xf>
    <xf numFmtId="164" fontId="114" fillId="2" borderId="0" xfId="3" applyNumberFormat="1" applyFont="1" applyFill="1" applyBorder="1" applyAlignment="1">
      <alignment horizontal="right" vertical="center"/>
    </xf>
    <xf numFmtId="2" fontId="114" fillId="2" borderId="0" xfId="0" applyNumberFormat="1" applyFont="1" applyFill="1" applyAlignment="1">
      <alignment horizontal="right" vertical="center"/>
    </xf>
    <xf numFmtId="2" fontId="114" fillId="2" borderId="0" xfId="3" applyNumberFormat="1" applyFont="1" applyFill="1" applyBorder="1" applyAlignment="1">
      <alignment horizontal="right" vertical="center"/>
    </xf>
    <xf numFmtId="0" fontId="118" fillId="0" borderId="31" xfId="0" applyFont="1" applyBorder="1" applyAlignment="1">
      <alignment horizontal="right" vertical="center"/>
    </xf>
    <xf numFmtId="2" fontId="114" fillId="2" borderId="0" xfId="3" applyNumberFormat="1" applyFont="1" applyFill="1" applyAlignment="1">
      <alignment horizontal="right" vertical="center"/>
    </xf>
    <xf numFmtId="9" fontId="118" fillId="0" borderId="31" xfId="3" applyFont="1" applyBorder="1" applyAlignment="1">
      <alignment horizontal="right" vertical="center"/>
    </xf>
    <xf numFmtId="164" fontId="114" fillId="2" borderId="0" xfId="3" applyNumberFormat="1" applyFont="1" applyFill="1" applyAlignment="1">
      <alignment horizontal="right" vertical="center"/>
    </xf>
    <xf numFmtId="9" fontId="118" fillId="2" borderId="0" xfId="3" applyFont="1" applyFill="1" applyBorder="1" applyAlignment="1">
      <alignment horizontal="right" vertical="center"/>
    </xf>
    <xf numFmtId="0" fontId="114" fillId="4" borderId="31" xfId="0" applyFont="1" applyFill="1" applyBorder="1" applyAlignment="1">
      <alignment horizontal="right" vertical="center"/>
    </xf>
    <xf numFmtId="0" fontId="8" fillId="2" borderId="0" xfId="0" applyFont="1" applyFill="1" applyAlignment="1">
      <alignment horizontal="right" vertical="center"/>
    </xf>
    <xf numFmtId="9" fontId="114" fillId="4" borderId="31" xfId="3" applyFont="1" applyFill="1" applyBorder="1" applyAlignment="1">
      <alignment horizontal="right" vertical="center"/>
    </xf>
    <xf numFmtId="164" fontId="87" fillId="2" borderId="0" xfId="3" applyNumberFormat="1" applyFont="1" applyFill="1" applyBorder="1" applyAlignment="1">
      <alignment horizontal="right" vertical="center"/>
    </xf>
    <xf numFmtId="166" fontId="114" fillId="2" borderId="31" xfId="0" applyNumberFormat="1" applyFont="1" applyFill="1" applyBorder="1" applyAlignment="1">
      <alignment horizontal="right" vertical="center"/>
    </xf>
    <xf numFmtId="170" fontId="115" fillId="0" borderId="31" xfId="0" applyNumberFormat="1" applyFont="1" applyBorder="1" applyAlignment="1">
      <alignment horizontal="right" vertical="center"/>
    </xf>
    <xf numFmtId="9" fontId="7" fillId="2" borderId="0" xfId="3" applyFont="1" applyFill="1" applyAlignment="1">
      <alignment horizontal="right" vertical="center"/>
    </xf>
    <xf numFmtId="0" fontId="7" fillId="2" borderId="0" xfId="0" applyFont="1" applyFill="1" applyAlignment="1">
      <alignment horizontal="right" vertical="center"/>
    </xf>
    <xf numFmtId="164" fontId="8" fillId="2" borderId="0" xfId="3" applyNumberFormat="1" applyFont="1" applyFill="1" applyBorder="1" applyAlignment="1">
      <alignment horizontal="right" vertical="center"/>
    </xf>
    <xf numFmtId="0" fontId="35" fillId="5" borderId="0" xfId="0" applyFont="1" applyFill="1" applyAlignment="1">
      <alignment horizontal="right" vertical="center" wrapText="1"/>
    </xf>
    <xf numFmtId="10" fontId="7" fillId="2" borderId="0" xfId="0" applyNumberFormat="1" applyFont="1" applyFill="1" applyAlignment="1">
      <alignment horizontal="right" vertical="center"/>
    </xf>
    <xf numFmtId="168" fontId="110" fillId="5" borderId="0" xfId="0" applyNumberFormat="1" applyFont="1" applyFill="1" applyAlignment="1">
      <alignment horizontal="right" vertical="center"/>
    </xf>
    <xf numFmtId="3" fontId="10" fillId="4" borderId="31" xfId="0" applyNumberFormat="1" applyFont="1" applyFill="1" applyBorder="1" applyAlignment="1">
      <alignment horizontal="right" vertical="center"/>
    </xf>
    <xf numFmtId="3" fontId="7" fillId="0" borderId="31" xfId="0" applyNumberFormat="1" applyFont="1" applyBorder="1" applyAlignment="1">
      <alignment horizontal="right" vertical="center"/>
    </xf>
    <xf numFmtId="170" fontId="7" fillId="0" borderId="31" xfId="0" applyNumberFormat="1" applyFont="1" applyBorder="1" applyAlignment="1">
      <alignment horizontal="right" vertical="center"/>
    </xf>
    <xf numFmtId="164" fontId="8" fillId="4" borderId="31" xfId="3" applyNumberFormat="1" applyFont="1" applyFill="1" applyBorder="1" applyAlignment="1">
      <alignment horizontal="right" vertical="center"/>
    </xf>
    <xf numFmtId="0" fontId="8" fillId="2" borderId="31" xfId="0" applyFont="1" applyFill="1" applyBorder="1" applyAlignment="1">
      <alignment horizontal="right" vertical="center"/>
    </xf>
    <xf numFmtId="0" fontId="8" fillId="4" borderId="31" xfId="0" applyFont="1" applyFill="1" applyBorder="1" applyAlignment="1">
      <alignment horizontal="right" vertical="center"/>
    </xf>
    <xf numFmtId="3" fontId="121" fillId="4" borderId="31" xfId="0" applyNumberFormat="1" applyFont="1" applyFill="1" applyBorder="1" applyAlignment="1">
      <alignment horizontal="right" vertical="center"/>
    </xf>
    <xf numFmtId="3" fontId="52" fillId="4" borderId="31" xfId="0" applyNumberFormat="1" applyFont="1" applyFill="1" applyBorder="1" applyAlignment="1">
      <alignment horizontal="right" vertical="center"/>
    </xf>
    <xf numFmtId="0" fontId="81" fillId="10" borderId="31" xfId="0" applyFont="1" applyFill="1" applyBorder="1" applyAlignment="1">
      <alignment horizontal="right" vertical="center" wrapText="1"/>
    </xf>
    <xf numFmtId="3" fontId="7" fillId="0" borderId="31" xfId="0" applyNumberFormat="1" applyFont="1" applyBorder="1" applyAlignment="1">
      <alignment horizontal="right" vertical="center" wrapText="1"/>
    </xf>
    <xf numFmtId="171" fontId="114" fillId="5" borderId="31" xfId="0" applyNumberFormat="1" applyFont="1" applyFill="1" applyBorder="1" applyAlignment="1">
      <alignment horizontal="right" vertical="center"/>
    </xf>
    <xf numFmtId="0" fontId="52" fillId="10" borderId="31" xfId="0" applyFont="1" applyFill="1" applyBorder="1" applyAlignment="1">
      <alignment horizontal="left" vertical="center" wrapText="1"/>
    </xf>
    <xf numFmtId="0" fontId="115" fillId="5" borderId="31" xfId="0" applyFont="1" applyFill="1" applyBorder="1" applyAlignment="1">
      <alignment horizontal="left" vertical="center" wrapText="1"/>
    </xf>
    <xf numFmtId="0" fontId="121" fillId="5" borderId="31"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45" fillId="2" borderId="0" xfId="0" applyFont="1" applyFill="1" applyAlignment="1">
      <alignment horizontal="left" vertical="center"/>
    </xf>
    <xf numFmtId="0" fontId="120" fillId="0" borderId="31" xfId="0" applyFont="1" applyBorder="1" applyAlignment="1">
      <alignment horizontal="left" vertical="center" wrapText="1"/>
    </xf>
    <xf numFmtId="0" fontId="30" fillId="5" borderId="0" xfId="0" applyFont="1" applyFill="1" applyAlignment="1">
      <alignment horizontal="left" vertical="center"/>
    </xf>
    <xf numFmtId="0" fontId="22" fillId="0" borderId="31" xfId="0" applyFont="1" applyBorder="1" applyAlignment="1">
      <alignment horizontal="left" vertical="center" wrapText="1"/>
    </xf>
    <xf numFmtId="0" fontId="30" fillId="5" borderId="0" xfId="0" applyFont="1" applyFill="1" applyAlignment="1">
      <alignment horizontal="left" vertical="center" wrapText="1"/>
    </xf>
    <xf numFmtId="0" fontId="52" fillId="8" borderId="31" xfId="0" applyFont="1" applyFill="1" applyBorder="1" applyAlignment="1">
      <alignment horizontal="left" vertical="center"/>
    </xf>
    <xf numFmtId="0" fontId="119" fillId="5" borderId="31" xfId="0" applyFont="1" applyFill="1" applyBorder="1" applyAlignment="1">
      <alignment horizontal="left" vertical="center"/>
    </xf>
    <xf numFmtId="0" fontId="119" fillId="0" borderId="31" xfId="0" applyFont="1" applyBorder="1" applyAlignment="1">
      <alignment horizontal="left" vertical="center"/>
    </xf>
    <xf numFmtId="0" fontId="8" fillId="2" borderId="31" xfId="0" applyFont="1" applyFill="1" applyBorder="1" applyAlignment="1">
      <alignment horizontal="left" vertical="center"/>
    </xf>
    <xf numFmtId="0" fontId="7" fillId="2" borderId="1" xfId="0" applyFont="1" applyFill="1" applyBorder="1" applyAlignment="1">
      <alignment horizontal="left" vertical="center" wrapText="1"/>
    </xf>
    <xf numFmtId="0" fontId="21" fillId="4" borderId="31" xfId="0" applyFont="1" applyFill="1" applyBorder="1" applyAlignment="1">
      <alignment horizontal="left" vertical="center"/>
    </xf>
    <xf numFmtId="0" fontId="21" fillId="2" borderId="31" xfId="0" applyFont="1" applyFill="1" applyBorder="1" applyAlignment="1">
      <alignment horizontal="left" vertical="center"/>
    </xf>
    <xf numFmtId="0" fontId="21" fillId="2" borderId="0" xfId="0" applyFont="1" applyFill="1" applyAlignment="1">
      <alignment horizontal="left" vertical="center"/>
    </xf>
    <xf numFmtId="0" fontId="21" fillId="0" borderId="31" xfId="0" applyFont="1" applyBorder="1" applyAlignment="1">
      <alignment horizontal="left" vertical="center"/>
    </xf>
    <xf numFmtId="0" fontId="10" fillId="0" borderId="31" xfId="0" applyFont="1" applyBorder="1" applyAlignment="1">
      <alignment horizontal="left" vertical="center"/>
    </xf>
    <xf numFmtId="0" fontId="10" fillId="2" borderId="0" xfId="0" applyFont="1" applyFill="1" applyAlignment="1">
      <alignment horizontal="left" vertical="center" wrapText="1"/>
    </xf>
    <xf numFmtId="0" fontId="10" fillId="4" borderId="31" xfId="0" applyFont="1" applyFill="1" applyBorder="1" applyAlignment="1">
      <alignment horizontal="left" vertical="center"/>
    </xf>
    <xf numFmtId="0" fontId="52" fillId="2" borderId="0" xfId="0" applyFont="1" applyFill="1" applyAlignment="1">
      <alignment horizontal="left" vertical="center" wrapText="1"/>
    </xf>
    <xf numFmtId="0" fontId="54" fillId="2" borderId="0" xfId="0" applyFont="1" applyFill="1" applyAlignment="1">
      <alignment horizontal="left" vertical="center"/>
    </xf>
    <xf numFmtId="6" fontId="119" fillId="0" borderId="31" xfId="0" applyNumberFormat="1" applyFont="1" applyBorder="1" applyAlignment="1">
      <alignment horizontal="left" wrapText="1"/>
    </xf>
    <xf numFmtId="6" fontId="120" fillId="0" borderId="31" xfId="0" applyNumberFormat="1" applyFont="1" applyBorder="1" applyAlignment="1">
      <alignment horizontal="left" wrapText="1"/>
    </xf>
    <xf numFmtId="166" fontId="114" fillId="2" borderId="0" xfId="2" applyNumberFormat="1" applyFont="1" applyFill="1" applyBorder="1" applyAlignment="1">
      <alignment horizontal="left"/>
    </xf>
    <xf numFmtId="0" fontId="143" fillId="0" borderId="31" xfId="0" applyFont="1" applyBorder="1" applyAlignment="1">
      <alignment horizontal="left" wrapText="1"/>
    </xf>
    <xf numFmtId="0" fontId="144" fillId="2" borderId="31" xfId="0" applyFont="1" applyFill="1" applyBorder="1" applyAlignment="1">
      <alignment horizontal="left"/>
    </xf>
    <xf numFmtId="166" fontId="145" fillId="2" borderId="0" xfId="2" applyNumberFormat="1" applyFont="1" applyFill="1" applyBorder="1" applyAlignment="1">
      <alignment horizontal="left"/>
    </xf>
    <xf numFmtId="0" fontId="114" fillId="0" borderId="31" xfId="0" applyFont="1" applyBorder="1" applyAlignment="1">
      <alignment wrapText="1"/>
    </xf>
    <xf numFmtId="0" fontId="114" fillId="0" borderId="31" xfId="0" applyFont="1" applyBorder="1" applyAlignment="1">
      <alignment vertical="top" wrapText="1"/>
    </xf>
    <xf numFmtId="0" fontId="114" fillId="0" borderId="31" xfId="0" applyFont="1" applyBorder="1" applyAlignment="1">
      <alignment horizontal="left" vertical="top" wrapText="1"/>
    </xf>
    <xf numFmtId="166" fontId="114" fillId="2" borderId="0" xfId="2" applyNumberFormat="1" applyFont="1" applyFill="1" applyBorder="1" applyAlignment="1"/>
    <xf numFmtId="3" fontId="121" fillId="0" borderId="31" xfId="0" applyNumberFormat="1" applyFont="1" applyBorder="1" applyAlignment="1">
      <alignment wrapText="1"/>
    </xf>
    <xf numFmtId="0" fontId="115" fillId="2" borderId="0" xfId="0" applyFont="1" applyFill="1"/>
    <xf numFmtId="3" fontId="115" fillId="0" borderId="31" xfId="0" applyNumberFormat="1" applyFont="1" applyBorder="1"/>
    <xf numFmtId="164" fontId="37" fillId="4" borderId="31" xfId="3" applyNumberFormat="1" applyFont="1" applyFill="1" applyBorder="1" applyAlignment="1">
      <alignment horizontal="right" vertical="center"/>
    </xf>
    <xf numFmtId="164" fontId="67" fillId="4" borderId="31" xfId="3" applyNumberFormat="1" applyFont="1" applyFill="1" applyBorder="1" applyAlignment="1">
      <alignment horizontal="right" vertical="center"/>
    </xf>
    <xf numFmtId="164" fontId="46" fillId="4" borderId="31" xfId="3" applyNumberFormat="1" applyFont="1" applyFill="1" applyBorder="1" applyAlignment="1">
      <alignment horizontal="right" vertical="center"/>
    </xf>
    <xf numFmtId="0" fontId="46" fillId="2" borderId="0" xfId="0" applyFont="1" applyFill="1" applyAlignment="1">
      <alignment vertical="center"/>
    </xf>
    <xf numFmtId="0" fontId="118" fillId="12" borderId="53" xfId="0" applyFont="1" applyFill="1" applyBorder="1" applyAlignment="1">
      <alignment horizontal="left" vertical="center" wrapText="1"/>
    </xf>
    <xf numFmtId="0" fontId="13" fillId="0" borderId="53" xfId="0" applyFont="1" applyBorder="1" applyAlignment="1">
      <alignment vertical="center" wrapText="1"/>
    </xf>
    <xf numFmtId="0" fontId="12" fillId="0" borderId="53" xfId="0" applyFont="1" applyBorder="1" applyAlignment="1">
      <alignment vertical="center"/>
    </xf>
    <xf numFmtId="0" fontId="12" fillId="0" borderId="53" xfId="0" applyFont="1" applyBorder="1" applyAlignment="1">
      <alignment vertical="center" wrapText="1"/>
    </xf>
    <xf numFmtId="0" fontId="12" fillId="0" borderId="53" xfId="0" applyFont="1" applyBorder="1" applyAlignment="1">
      <alignment horizontal="right" vertical="center" wrapText="1"/>
    </xf>
    <xf numFmtId="0" fontId="13" fillId="0" borderId="53" xfId="0" applyFont="1" applyBorder="1" applyAlignment="1">
      <alignment horizontal="left" vertical="center" wrapText="1"/>
    </xf>
    <xf numFmtId="0" fontId="66" fillId="14" borderId="52" xfId="0" applyFont="1" applyFill="1" applyBorder="1" applyAlignment="1">
      <alignment vertical="center" wrapText="1"/>
    </xf>
    <xf numFmtId="0" fontId="66" fillId="14" borderId="52" xfId="0" applyFont="1" applyFill="1" applyBorder="1" applyAlignment="1">
      <alignment horizontal="right" vertical="center" wrapText="1"/>
    </xf>
    <xf numFmtId="0" fontId="12" fillId="0" borderId="53" xfId="0" applyFont="1" applyBorder="1" applyAlignment="1">
      <alignment horizontal="right" vertical="center"/>
    </xf>
    <xf numFmtId="0" fontId="12" fillId="0" borderId="53" xfId="0" applyFont="1" applyBorder="1" applyAlignment="1">
      <alignment horizontal="left" vertical="center" wrapText="1"/>
    </xf>
    <xf numFmtId="0" fontId="13" fillId="19" borderId="32" xfId="0" applyFont="1" applyFill="1" applyBorder="1" applyAlignment="1">
      <alignment vertical="center" wrapText="1"/>
    </xf>
    <xf numFmtId="0" fontId="12" fillId="19" borderId="32" xfId="0" applyFont="1" applyFill="1" applyBorder="1" applyAlignment="1">
      <alignment vertical="center"/>
    </xf>
    <xf numFmtId="0" fontId="12" fillId="29" borderId="53" xfId="0" applyFont="1" applyFill="1" applyBorder="1" applyAlignment="1">
      <alignment vertical="center"/>
    </xf>
    <xf numFmtId="0" fontId="135" fillId="13" borderId="38" xfId="0" applyFont="1" applyFill="1" applyBorder="1" applyAlignment="1">
      <alignment vertical="center"/>
    </xf>
    <xf numFmtId="0" fontId="80" fillId="32" borderId="55" xfId="0" applyFont="1" applyFill="1" applyBorder="1" applyAlignment="1">
      <alignment horizontal="left" vertical="center" wrapText="1"/>
    </xf>
    <xf numFmtId="0" fontId="65" fillId="0" borderId="52" xfId="0" applyFont="1" applyBorder="1" applyAlignment="1">
      <alignment vertical="center" wrapText="1"/>
    </xf>
    <xf numFmtId="0" fontId="80" fillId="32" borderId="57" xfId="0" applyFont="1" applyFill="1" applyBorder="1" applyAlignment="1">
      <alignment horizontal="left" vertical="center" wrapText="1"/>
    </xf>
    <xf numFmtId="0" fontId="65" fillId="0" borderId="53" xfId="0" applyFont="1" applyBorder="1" applyAlignment="1">
      <alignment vertical="center"/>
    </xf>
    <xf numFmtId="0" fontId="135" fillId="13" borderId="42" xfId="0" applyFont="1" applyFill="1" applyBorder="1" applyAlignment="1">
      <alignment vertical="center"/>
    </xf>
    <xf numFmtId="0" fontId="136" fillId="13" borderId="0" xfId="0" applyFont="1" applyFill="1" applyAlignment="1">
      <alignment vertical="center"/>
    </xf>
    <xf numFmtId="0" fontId="19" fillId="13" borderId="0" xfId="0" applyFont="1" applyFill="1" applyAlignment="1">
      <alignment vertical="center"/>
    </xf>
    <xf numFmtId="0" fontId="19" fillId="13" borderId="43" xfId="0" applyFont="1" applyFill="1" applyBorder="1" applyAlignment="1">
      <alignment vertical="center"/>
    </xf>
    <xf numFmtId="0" fontId="13" fillId="0" borderId="52" xfId="0" applyFont="1" applyBorder="1" applyAlignment="1">
      <alignment vertical="center" wrapText="1"/>
    </xf>
    <xf numFmtId="0" fontId="65" fillId="0" borderId="53" xfId="0" applyFont="1" applyBorder="1" applyAlignment="1">
      <alignment vertical="center" wrapText="1"/>
    </xf>
    <xf numFmtId="0" fontId="148" fillId="2" borderId="0" xfId="0" applyFont="1" applyFill="1"/>
    <xf numFmtId="0" fontId="13" fillId="36" borderId="0" xfId="0" applyFont="1" applyFill="1"/>
    <xf numFmtId="0" fontId="13" fillId="36" borderId="0" xfId="0" applyFont="1" applyFill="1" applyAlignment="1">
      <alignment horizontal="left" indent="1"/>
    </xf>
    <xf numFmtId="0" fontId="13" fillId="36" borderId="0" xfId="0" applyFont="1" applyFill="1" applyAlignment="1">
      <alignment wrapText="1"/>
    </xf>
    <xf numFmtId="0" fontId="8" fillId="36" borderId="0" xfId="0" applyFont="1" applyFill="1"/>
    <xf numFmtId="0" fontId="149" fillId="23" borderId="0" xfId="0" applyFont="1" applyFill="1" applyAlignment="1">
      <alignment horizontal="left" vertical="center" indent="1"/>
    </xf>
    <xf numFmtId="0" fontId="150" fillId="4" borderId="0" xfId="1" applyFont="1" applyFill="1" applyAlignment="1">
      <alignment horizontal="left" indent="1"/>
    </xf>
    <xf numFmtId="0" fontId="151" fillId="4" borderId="0" xfId="0" applyFont="1" applyFill="1"/>
    <xf numFmtId="0" fontId="150" fillId="4" borderId="0" xfId="1" applyFont="1" applyFill="1" applyBorder="1" applyAlignment="1">
      <alignment horizontal="left" indent="1"/>
    </xf>
    <xf numFmtId="0" fontId="149" fillId="5" borderId="0" xfId="0" applyFont="1" applyFill="1" applyAlignment="1">
      <alignment horizontal="left" vertical="center"/>
    </xf>
    <xf numFmtId="0" fontId="151" fillId="2" borderId="0" xfId="0" applyFont="1" applyFill="1"/>
    <xf numFmtId="0" fontId="19" fillId="36" borderId="32" xfId="0" applyFont="1" applyFill="1" applyBorder="1" applyAlignment="1">
      <alignment vertical="center" wrapText="1"/>
    </xf>
    <xf numFmtId="0" fontId="25" fillId="36" borderId="8" xfId="0" applyFont="1" applyFill="1" applyBorder="1" applyAlignment="1">
      <alignment horizontal="left" vertical="center"/>
    </xf>
    <xf numFmtId="0" fontId="25" fillId="36" borderId="8" xfId="0" applyFont="1" applyFill="1" applyBorder="1" applyAlignment="1">
      <alignment vertical="center"/>
    </xf>
    <xf numFmtId="0" fontId="25" fillId="36" borderId="8" xfId="0" applyFont="1" applyFill="1" applyBorder="1" applyAlignment="1">
      <alignment horizontal="right" vertical="center"/>
    </xf>
    <xf numFmtId="0" fontId="152" fillId="2" borderId="0" xfId="0" applyFont="1" applyFill="1" applyAlignment="1">
      <alignment horizontal="left" vertical="center"/>
    </xf>
    <xf numFmtId="0" fontId="154" fillId="2" borderId="49" xfId="0" applyFont="1" applyFill="1" applyBorder="1" applyAlignment="1">
      <alignment horizontal="right" vertical="center" wrapText="1"/>
    </xf>
    <xf numFmtId="0" fontId="156" fillId="2" borderId="0" xfId="0" applyFont="1" applyFill="1" applyAlignment="1">
      <alignment horizontal="left" vertical="center"/>
    </xf>
    <xf numFmtId="0" fontId="154" fillId="4" borderId="45" xfId="0" applyFont="1" applyFill="1" applyBorder="1" applyAlignment="1">
      <alignment horizontal="right" vertical="center"/>
    </xf>
    <xf numFmtId="0" fontId="154" fillId="4" borderId="46" xfId="0" applyFont="1" applyFill="1" applyBorder="1" applyAlignment="1">
      <alignment horizontal="right" vertical="center" wrapText="1"/>
    </xf>
    <xf numFmtId="0" fontId="104" fillId="36" borderId="32" xfId="0" applyFont="1" applyFill="1" applyBorder="1" applyAlignment="1">
      <alignment vertical="center"/>
    </xf>
    <xf numFmtId="0" fontId="104" fillId="36" borderId="32" xfId="0" applyFont="1" applyFill="1" applyBorder="1" applyAlignment="1">
      <alignment horizontal="right" vertical="center"/>
    </xf>
    <xf numFmtId="3" fontId="153" fillId="4" borderId="31" xfId="0" applyNumberFormat="1" applyFont="1" applyFill="1" applyBorder="1" applyAlignment="1">
      <alignment horizontal="right"/>
    </xf>
    <xf numFmtId="0" fontId="153" fillId="4" borderId="31" xfId="0" applyFont="1" applyFill="1" applyBorder="1" applyAlignment="1">
      <alignment horizontal="right"/>
    </xf>
    <xf numFmtId="9" fontId="153" fillId="4" borderId="31" xfId="3" applyFont="1" applyFill="1" applyBorder="1" applyAlignment="1">
      <alignment horizontal="right"/>
    </xf>
    <xf numFmtId="9" fontId="153" fillId="4" borderId="31" xfId="0" applyNumberFormat="1" applyFont="1" applyFill="1" applyBorder="1" applyAlignment="1">
      <alignment horizontal="right"/>
    </xf>
    <xf numFmtId="1" fontId="153" fillId="4" borderId="31" xfId="0" applyNumberFormat="1" applyFont="1" applyFill="1" applyBorder="1" applyAlignment="1">
      <alignment horizontal="right"/>
    </xf>
    <xf numFmtId="2" fontId="153" fillId="4" borderId="31" xfId="0" applyNumberFormat="1" applyFont="1" applyFill="1" applyBorder="1" applyAlignment="1">
      <alignment horizontal="right"/>
    </xf>
    <xf numFmtId="0" fontId="16" fillId="36" borderId="31" xfId="0" applyFont="1" applyFill="1" applyBorder="1" applyAlignment="1">
      <alignment horizontal="right" vertical="center" wrapText="1"/>
    </xf>
    <xf numFmtId="0" fontId="104" fillId="36" borderId="14" xfId="0" applyFont="1" applyFill="1" applyBorder="1" applyAlignment="1">
      <alignment vertical="center" wrapText="1"/>
    </xf>
    <xf numFmtId="0" fontId="104" fillId="36" borderId="14" xfId="0" applyFont="1" applyFill="1" applyBorder="1" applyAlignment="1">
      <alignment horizontal="center" vertical="center" wrapText="1"/>
    </xf>
    <xf numFmtId="0" fontId="149" fillId="5" borderId="0" xfId="0" applyFont="1" applyFill="1" applyAlignment="1">
      <alignment vertical="center"/>
    </xf>
    <xf numFmtId="0" fontId="137" fillId="38" borderId="0" xfId="0" applyFont="1" applyFill="1" applyAlignment="1">
      <alignment horizontal="left" vertical="center"/>
    </xf>
    <xf numFmtId="0" fontId="41" fillId="38" borderId="0" xfId="0" applyFont="1" applyFill="1" applyAlignment="1">
      <alignment horizontal="left" vertical="center" wrapText="1"/>
    </xf>
    <xf numFmtId="0" fontId="42" fillId="38" borderId="0" xfId="0" applyFont="1" applyFill="1" applyAlignment="1">
      <alignment horizontal="right" vertical="center"/>
    </xf>
    <xf numFmtId="0" fontId="152" fillId="10" borderId="31" xfId="0" applyFont="1" applyFill="1" applyBorder="1" applyAlignment="1">
      <alignment horizontal="right" vertical="center" wrapText="1"/>
    </xf>
    <xf numFmtId="3" fontId="153" fillId="4" borderId="31" xfId="0" applyNumberFormat="1" applyFont="1" applyFill="1" applyBorder="1" applyAlignment="1">
      <alignment horizontal="right" vertical="center"/>
    </xf>
    <xf numFmtId="0" fontId="151" fillId="10" borderId="31" xfId="0" applyFont="1" applyFill="1" applyBorder="1" applyAlignment="1">
      <alignment horizontal="right" vertical="center" wrapText="1"/>
    </xf>
    <xf numFmtId="0" fontId="151" fillId="10" borderId="31" xfId="0" applyFont="1" applyFill="1" applyBorder="1" applyAlignment="1">
      <alignment horizontal="right" vertical="center"/>
    </xf>
    <xf numFmtId="164" fontId="155" fillId="4" borderId="31" xfId="3" applyNumberFormat="1" applyFont="1" applyFill="1" applyBorder="1" applyAlignment="1">
      <alignment horizontal="right" vertical="center"/>
    </xf>
    <xf numFmtId="0" fontId="7" fillId="10" borderId="31" xfId="0" applyFont="1" applyFill="1" applyBorder="1" applyAlignment="1">
      <alignment horizontal="right" vertical="center"/>
    </xf>
    <xf numFmtId="0" fontId="7" fillId="8" borderId="31" xfId="0" applyFont="1" applyFill="1" applyBorder="1" applyAlignment="1">
      <alignment horizontal="right" vertical="center" wrapText="1"/>
    </xf>
    <xf numFmtId="0" fontId="7" fillId="8" borderId="31" xfId="0" applyFont="1" applyFill="1" applyBorder="1" applyAlignment="1">
      <alignment horizontal="right" vertical="center"/>
    </xf>
    <xf numFmtId="0" fontId="7" fillId="8" borderId="31" xfId="2" applyNumberFormat="1" applyFont="1" applyFill="1" applyBorder="1" applyAlignment="1">
      <alignment horizontal="right" vertical="center"/>
    </xf>
    <xf numFmtId="0" fontId="138" fillId="38" borderId="0" xfId="0" applyFont="1" applyFill="1" applyAlignment="1">
      <alignment horizontal="left" vertical="center"/>
    </xf>
    <xf numFmtId="0" fontId="43" fillId="38" borderId="0" xfId="0" applyFont="1" applyFill="1" applyAlignment="1">
      <alignment vertical="center"/>
    </xf>
    <xf numFmtId="0" fontId="157" fillId="10" borderId="31" xfId="0" applyFont="1" applyFill="1" applyBorder="1" applyAlignment="1">
      <alignment horizontal="left" vertical="center" wrapText="1"/>
    </xf>
    <xf numFmtId="0" fontId="157" fillId="8" borderId="31" xfId="0" applyFont="1" applyFill="1" applyBorder="1" applyAlignment="1">
      <alignment vertical="center"/>
    </xf>
    <xf numFmtId="166" fontId="155" fillId="4" borderId="31" xfId="2" applyNumberFormat="1" applyFont="1" applyFill="1" applyBorder="1" applyAlignment="1">
      <alignment horizontal="right" vertical="center"/>
    </xf>
    <xf numFmtId="166" fontId="153" fillId="4" borderId="31" xfId="2" applyNumberFormat="1" applyFont="1" applyFill="1" applyBorder="1" applyAlignment="1">
      <alignment horizontal="right" vertical="center"/>
    </xf>
    <xf numFmtId="0" fontId="153" fillId="2" borderId="0" xfId="0" applyFont="1" applyFill="1" applyAlignment="1">
      <alignment horizontal="right" vertical="center"/>
    </xf>
    <xf numFmtId="0" fontId="58" fillId="36" borderId="31" xfId="0" applyFont="1" applyFill="1" applyBorder="1" applyAlignment="1">
      <alignment horizontal="left" vertical="center" wrapText="1"/>
    </xf>
    <xf numFmtId="0" fontId="25" fillId="36" borderId="31" xfId="0" applyFont="1" applyFill="1" applyBorder="1" applyAlignment="1">
      <alignment horizontal="right" vertical="center" wrapText="1"/>
    </xf>
    <xf numFmtId="0" fontId="58" fillId="36" borderId="31" xfId="0" applyFont="1" applyFill="1" applyBorder="1" applyAlignment="1">
      <alignment vertical="center" wrapText="1"/>
    </xf>
    <xf numFmtId="0" fontId="25" fillId="36" borderId="31" xfId="0" applyFont="1" applyFill="1" applyBorder="1" applyAlignment="1">
      <alignment horizontal="center" vertical="center" wrapText="1"/>
    </xf>
    <xf numFmtId="0" fontId="58" fillId="36" borderId="31" xfId="0" applyFont="1" applyFill="1" applyBorder="1" applyAlignment="1">
      <alignment vertical="center"/>
    </xf>
    <xf numFmtId="0" fontId="97" fillId="36" borderId="31" xfId="0" applyFont="1" applyFill="1" applyBorder="1" applyAlignment="1">
      <alignment horizontal="center" vertical="center" wrapText="1"/>
    </xf>
    <xf numFmtId="0" fontId="16" fillId="36" borderId="31" xfId="0" applyFont="1" applyFill="1" applyBorder="1" applyAlignment="1">
      <alignment horizontal="right" vertical="center"/>
    </xf>
    <xf numFmtId="169" fontId="104" fillId="36" borderId="31" xfId="0" applyNumberFormat="1" applyFont="1" applyFill="1" applyBorder="1" applyAlignment="1">
      <alignment horizontal="left" vertical="center"/>
    </xf>
    <xf numFmtId="0" fontId="104" fillId="36" borderId="31" xfId="0" applyFont="1" applyFill="1" applyBorder="1" applyAlignment="1">
      <alignment horizontal="right" vertical="center" wrapText="1"/>
    </xf>
    <xf numFmtId="0" fontId="105" fillId="36" borderId="31" xfId="0" applyFont="1" applyFill="1" applyBorder="1" applyAlignment="1">
      <alignment horizontal="right" vertical="center" wrapText="1"/>
    </xf>
    <xf numFmtId="0" fontId="104" fillId="36" borderId="31" xfId="0" applyFont="1" applyFill="1" applyBorder="1" applyAlignment="1">
      <alignment horizontal="left" vertical="center" wrapText="1"/>
    </xf>
    <xf numFmtId="0" fontId="104" fillId="38" borderId="31" xfId="0" applyFont="1" applyFill="1" applyBorder="1" applyAlignment="1">
      <alignment horizontal="right" vertical="center" wrapText="1"/>
    </xf>
    <xf numFmtId="0" fontId="16" fillId="36" borderId="31" xfId="0" applyFont="1" applyFill="1" applyBorder="1" applyAlignment="1">
      <alignment horizontal="left" vertical="center"/>
    </xf>
    <xf numFmtId="0" fontId="16" fillId="36" borderId="31" xfId="0" applyFont="1" applyFill="1" applyBorder="1" applyAlignment="1">
      <alignment horizontal="left" vertical="center" wrapText="1"/>
    </xf>
    <xf numFmtId="166" fontId="12" fillId="0" borderId="54" xfId="2" applyNumberFormat="1" applyFont="1" applyFill="1" applyBorder="1" applyAlignment="1">
      <alignment vertical="center"/>
    </xf>
    <xf numFmtId="166" fontId="13" fillId="0" borderId="54" xfId="2" applyNumberFormat="1" applyFont="1" applyFill="1" applyBorder="1" applyAlignment="1">
      <alignment vertical="center"/>
    </xf>
    <xf numFmtId="0" fontId="147" fillId="34" borderId="0" xfId="0" applyFont="1" applyFill="1" applyAlignment="1">
      <alignment horizontal="left" vertical="center"/>
    </xf>
    <xf numFmtId="0" fontId="114" fillId="34" borderId="0" xfId="0" applyFont="1" applyFill="1" applyAlignment="1">
      <alignment horizontal="left" vertical="center"/>
    </xf>
    <xf numFmtId="0" fontId="8" fillId="34" borderId="0" xfId="0" applyFont="1" applyFill="1" applyAlignment="1">
      <alignment vertical="center"/>
    </xf>
    <xf numFmtId="0" fontId="146" fillId="25" borderId="63" xfId="0" applyFont="1" applyFill="1" applyBorder="1" applyAlignment="1">
      <alignment horizontal="left" vertical="center"/>
    </xf>
    <xf numFmtId="0" fontId="114" fillId="25" borderId="63" xfId="0" applyFont="1" applyFill="1" applyBorder="1" applyAlignment="1">
      <alignment horizontal="left" vertical="center"/>
    </xf>
    <xf numFmtId="0" fontId="8" fillId="25" borderId="63" xfId="0" applyFont="1" applyFill="1" applyBorder="1" applyAlignment="1">
      <alignment vertical="center"/>
    </xf>
    <xf numFmtId="0" fontId="8" fillId="25" borderId="64" xfId="0" applyFont="1" applyFill="1" applyBorder="1" applyAlignment="1">
      <alignment vertical="center"/>
    </xf>
    <xf numFmtId="0" fontId="146" fillId="25" borderId="0" xfId="0" applyFont="1" applyFill="1" applyAlignment="1">
      <alignment horizontal="left" vertical="center"/>
    </xf>
    <xf numFmtId="0" fontId="114" fillId="25" borderId="0" xfId="0" applyFont="1" applyFill="1" applyAlignment="1">
      <alignment horizontal="left" vertical="center"/>
    </xf>
    <xf numFmtId="0" fontId="8" fillId="25" borderId="0" xfId="0" applyFont="1" applyFill="1" applyAlignment="1">
      <alignment vertical="center"/>
    </xf>
    <xf numFmtId="0" fontId="8" fillId="25" borderId="65" xfId="0" applyFont="1" applyFill="1" applyBorder="1" applyAlignment="1">
      <alignment vertical="center"/>
    </xf>
    <xf numFmtId="0" fontId="146" fillId="25" borderId="66" xfId="0" applyFont="1" applyFill="1" applyBorder="1" applyAlignment="1">
      <alignment horizontal="left" vertical="center"/>
    </xf>
    <xf numFmtId="0" fontId="114" fillId="25" borderId="66" xfId="0" applyFont="1" applyFill="1" applyBorder="1" applyAlignment="1">
      <alignment horizontal="left" vertical="center"/>
    </xf>
    <xf numFmtId="0" fontId="8" fillId="25" borderId="66" xfId="0" applyFont="1" applyFill="1" applyBorder="1" applyAlignment="1">
      <alignment vertical="center"/>
    </xf>
    <xf numFmtId="0" fontId="8" fillId="25" borderId="67" xfId="0" applyFont="1" applyFill="1" applyBorder="1" applyAlignment="1">
      <alignment vertical="center"/>
    </xf>
    <xf numFmtId="0" fontId="147" fillId="34" borderId="63" xfId="0" applyFont="1" applyFill="1" applyBorder="1" applyAlignment="1">
      <alignment horizontal="left" vertical="center"/>
    </xf>
    <xf numFmtId="0" fontId="114" fillId="34" borderId="63" xfId="0" applyFont="1" applyFill="1" applyBorder="1" applyAlignment="1">
      <alignment horizontal="left" vertical="center"/>
    </xf>
    <xf numFmtId="0" fontId="8" fillId="34" borderId="63" xfId="0" applyFont="1" applyFill="1" applyBorder="1" applyAlignment="1">
      <alignment vertical="center"/>
    </xf>
    <xf numFmtId="0" fontId="8" fillId="34" borderId="64" xfId="0" applyFont="1" applyFill="1" applyBorder="1" applyAlignment="1">
      <alignment vertical="center"/>
    </xf>
    <xf numFmtId="0" fontId="8" fillId="34" borderId="65" xfId="0" applyFont="1" applyFill="1" applyBorder="1" applyAlignment="1">
      <alignment vertical="center"/>
    </xf>
    <xf numFmtId="0" fontId="147" fillId="34" borderId="66" xfId="0" applyFont="1" applyFill="1" applyBorder="1" applyAlignment="1">
      <alignment horizontal="left" vertical="center"/>
    </xf>
    <xf numFmtId="0" fontId="114" fillId="34" borderId="66" xfId="0" applyFont="1" applyFill="1" applyBorder="1" applyAlignment="1">
      <alignment horizontal="left" vertical="center"/>
    </xf>
    <xf numFmtId="0" fontId="8" fillId="34" borderId="66" xfId="0" applyFont="1" applyFill="1" applyBorder="1" applyAlignment="1">
      <alignment vertical="center"/>
    </xf>
    <xf numFmtId="0" fontId="8" fillId="34" borderId="67" xfId="0" applyFont="1" applyFill="1" applyBorder="1" applyAlignment="1">
      <alignment vertical="center"/>
    </xf>
    <xf numFmtId="0" fontId="142" fillId="32" borderId="69" xfId="0" applyFont="1" applyFill="1" applyBorder="1" applyAlignment="1">
      <alignment vertical="center"/>
    </xf>
    <xf numFmtId="0" fontId="8" fillId="32" borderId="69" xfId="0" applyFont="1" applyFill="1" applyBorder="1"/>
    <xf numFmtId="0" fontId="8" fillId="32" borderId="70" xfId="0" applyFont="1" applyFill="1" applyBorder="1"/>
    <xf numFmtId="0" fontId="146" fillId="25" borderId="71" xfId="0" applyFont="1" applyFill="1" applyBorder="1" applyAlignment="1">
      <alignment horizontal="left" vertical="center"/>
    </xf>
    <xf numFmtId="0" fontId="146" fillId="25" borderId="72" xfId="0" applyFont="1" applyFill="1" applyBorder="1" applyAlignment="1">
      <alignment horizontal="left" vertical="center"/>
    </xf>
    <xf numFmtId="0" fontId="146" fillId="25" borderId="73" xfId="0" applyFont="1" applyFill="1" applyBorder="1" applyAlignment="1">
      <alignment horizontal="left" vertical="center"/>
    </xf>
    <xf numFmtId="0" fontId="147" fillId="34" borderId="71" xfId="0" applyFont="1" applyFill="1" applyBorder="1" applyAlignment="1">
      <alignment horizontal="left" vertical="center"/>
    </xf>
    <xf numFmtId="0" fontId="147" fillId="34" borderId="72" xfId="0" applyFont="1" applyFill="1" applyBorder="1" applyAlignment="1">
      <alignment horizontal="left" vertical="center"/>
    </xf>
    <xf numFmtId="0" fontId="147" fillId="34" borderId="73" xfId="0" applyFont="1" applyFill="1" applyBorder="1" applyAlignment="1">
      <alignment horizontal="left" vertical="center"/>
    </xf>
    <xf numFmtId="0" fontId="114" fillId="2" borderId="31" xfId="0" applyFont="1" applyFill="1" applyBorder="1" applyAlignment="1">
      <alignment horizontal="left" vertical="center" indent="2"/>
    </xf>
    <xf numFmtId="43" fontId="8" fillId="2" borderId="0" xfId="0" applyNumberFormat="1" applyFont="1" applyFill="1"/>
    <xf numFmtId="164" fontId="81" fillId="2" borderId="0" xfId="3" applyNumberFormat="1" applyFont="1" applyFill="1" applyAlignment="1">
      <alignment horizontal="left" vertical="center" wrapText="1"/>
    </xf>
    <xf numFmtId="0" fontId="16" fillId="36" borderId="31" xfId="0" applyFont="1" applyFill="1" applyBorder="1" applyAlignment="1">
      <alignment horizontal="center" vertical="center" wrapText="1"/>
    </xf>
    <xf numFmtId="166" fontId="115" fillId="0" borderId="31" xfId="2" applyNumberFormat="1" applyFont="1" applyFill="1" applyBorder="1" applyAlignment="1">
      <alignment vertical="center"/>
    </xf>
    <xf numFmtId="166" fontId="115" fillId="2" borderId="31" xfId="2" applyNumberFormat="1" applyFont="1" applyFill="1" applyBorder="1" applyAlignment="1">
      <alignment horizontal="right" vertical="top" wrapText="1"/>
    </xf>
    <xf numFmtId="9" fontId="121" fillId="2" borderId="31" xfId="3" applyFont="1" applyFill="1" applyBorder="1" applyAlignment="1">
      <alignment horizontal="right" vertical="center" wrapText="1"/>
    </xf>
    <xf numFmtId="166" fontId="115" fillId="2" borderId="31" xfId="2" applyNumberFormat="1" applyFont="1" applyFill="1" applyBorder="1" applyAlignment="1">
      <alignment horizontal="right" wrapText="1"/>
    </xf>
    <xf numFmtId="166" fontId="115" fillId="2" borderId="31" xfId="0" applyNumberFormat="1" applyFont="1" applyFill="1" applyBorder="1" applyAlignment="1">
      <alignment horizontal="right" vertical="center" wrapText="1"/>
    </xf>
    <xf numFmtId="9" fontId="115" fillId="2" borderId="31" xfId="3" applyFont="1" applyFill="1" applyBorder="1" applyAlignment="1">
      <alignment horizontal="right" vertical="center" wrapText="1"/>
    </xf>
    <xf numFmtId="3" fontId="87" fillId="20" borderId="31" xfId="0" applyNumberFormat="1" applyFont="1" applyFill="1" applyBorder="1" applyAlignment="1">
      <alignment vertical="center" wrapText="1"/>
    </xf>
    <xf numFmtId="166" fontId="86" fillId="20" borderId="31" xfId="0" applyNumberFormat="1" applyFont="1" applyFill="1" applyBorder="1" applyAlignment="1">
      <alignment vertical="center"/>
    </xf>
    <xf numFmtId="166" fontId="86" fillId="20" borderId="31" xfId="2" applyNumberFormat="1" applyFont="1" applyFill="1" applyBorder="1" applyAlignment="1">
      <alignment vertical="center"/>
    </xf>
    <xf numFmtId="0" fontId="114" fillId="20" borderId="31" xfId="0" applyFont="1" applyFill="1" applyBorder="1"/>
    <xf numFmtId="166" fontId="86" fillId="20" borderId="31" xfId="2" applyNumberFormat="1" applyFont="1" applyFill="1" applyBorder="1" applyAlignment="1">
      <alignment horizontal="right" vertical="center" wrapText="1"/>
    </xf>
    <xf numFmtId="166" fontId="87" fillId="20" borderId="31" xfId="2" applyNumberFormat="1" applyFont="1" applyFill="1" applyBorder="1" applyAlignment="1">
      <alignment horizontal="right" vertical="center" wrapText="1"/>
    </xf>
    <xf numFmtId="0" fontId="114" fillId="20" borderId="31" xfId="0" applyFont="1" applyFill="1" applyBorder="1" applyAlignment="1">
      <alignment horizontal="right" wrapText="1"/>
    </xf>
    <xf numFmtId="166" fontId="86" fillId="20" borderId="31" xfId="0" applyNumberFormat="1" applyFont="1" applyFill="1" applyBorder="1" applyAlignment="1">
      <alignment horizontal="right" wrapText="1"/>
    </xf>
    <xf numFmtId="166" fontId="86" fillId="20" borderId="31" xfId="2" applyNumberFormat="1" applyFont="1" applyFill="1" applyBorder="1" applyAlignment="1">
      <alignment horizontal="right" vertical="center"/>
    </xf>
    <xf numFmtId="9" fontId="87" fillId="20" borderId="31" xfId="3" applyFont="1" applyFill="1" applyBorder="1" applyAlignment="1">
      <alignment horizontal="right" wrapText="1"/>
    </xf>
    <xf numFmtId="166" fontId="86" fillId="20" borderId="31" xfId="2" applyNumberFormat="1" applyFont="1" applyFill="1" applyBorder="1" applyAlignment="1">
      <alignment horizontal="right" wrapText="1"/>
    </xf>
    <xf numFmtId="9" fontId="82" fillId="39" borderId="31" xfId="3" applyFont="1" applyFill="1" applyBorder="1" applyAlignment="1">
      <alignment vertical="center" wrapText="1"/>
    </xf>
    <xf numFmtId="9" fontId="86" fillId="39" borderId="31" xfId="3" applyFont="1" applyFill="1" applyBorder="1" applyAlignment="1">
      <alignment vertical="center" wrapText="1"/>
    </xf>
    <xf numFmtId="9" fontId="87" fillId="39" borderId="31" xfId="3" applyFont="1" applyFill="1" applyBorder="1" applyAlignment="1">
      <alignment vertical="center" wrapText="1"/>
    </xf>
    <xf numFmtId="0" fontId="114" fillId="20" borderId="31" xfId="0" applyFont="1" applyFill="1" applyBorder="1" applyAlignment="1">
      <alignment horizontal="left" vertical="center" wrapText="1"/>
    </xf>
    <xf numFmtId="166" fontId="115" fillId="2" borderId="31" xfId="0" applyNumberFormat="1" applyFont="1" applyFill="1" applyBorder="1" applyAlignment="1">
      <alignment horizontal="right" wrapText="1"/>
    </xf>
    <xf numFmtId="9" fontId="121" fillId="2" borderId="31" xfId="3" applyFont="1" applyFill="1" applyBorder="1" applyAlignment="1">
      <alignment horizontal="right" wrapText="1"/>
    </xf>
    <xf numFmtId="0" fontId="104" fillId="36" borderId="31" xfId="0" applyFont="1" applyFill="1" applyBorder="1" applyAlignment="1">
      <alignment horizontal="center" vertical="center"/>
    </xf>
    <xf numFmtId="0" fontId="104" fillId="36" borderId="31" xfId="0" applyFont="1" applyFill="1" applyBorder="1" applyAlignment="1">
      <alignment horizontal="center" vertical="center" wrapText="1"/>
    </xf>
    <xf numFmtId="0" fontId="105" fillId="36" borderId="31" xfId="0" applyFont="1" applyFill="1" applyBorder="1" applyAlignment="1">
      <alignment horizontal="center" vertical="center"/>
    </xf>
    <xf numFmtId="0" fontId="105" fillId="36" borderId="31" xfId="0" applyFont="1" applyFill="1" applyBorder="1" applyAlignment="1">
      <alignment horizontal="center" vertical="center" wrapText="1"/>
    </xf>
    <xf numFmtId="0" fontId="153" fillId="20" borderId="31" xfId="0" applyFont="1" applyFill="1" applyBorder="1" applyAlignment="1">
      <alignment horizontal="center" vertical="center" wrapText="1"/>
    </xf>
    <xf numFmtId="0" fontId="115" fillId="2" borderId="31" xfId="0" applyFont="1" applyFill="1" applyBorder="1" applyAlignment="1">
      <alignment horizontal="center" vertical="center" wrapText="1"/>
    </xf>
    <xf numFmtId="2" fontId="115" fillId="0" borderId="31" xfId="0" applyNumberFormat="1" applyFont="1" applyBorder="1" applyAlignment="1">
      <alignment horizontal="center" vertical="center" wrapText="1"/>
    </xf>
    <xf numFmtId="0" fontId="115" fillId="0" borderId="31" xfId="0" applyFont="1" applyBorder="1" applyAlignment="1">
      <alignment horizontal="center" vertical="center" wrapText="1"/>
    </xf>
    <xf numFmtId="0" fontId="153" fillId="20" borderId="31" xfId="0" applyFont="1" applyFill="1" applyBorder="1" applyAlignment="1">
      <alignment horizontal="right" vertical="center" wrapText="1"/>
    </xf>
    <xf numFmtId="2" fontId="153" fillId="20" borderId="31" xfId="0" applyNumberFormat="1" applyFont="1" applyFill="1" applyBorder="1" applyAlignment="1">
      <alignment vertical="center"/>
    </xf>
    <xf numFmtId="1" fontId="153" fillId="20" borderId="31" xfId="0" applyNumberFormat="1" applyFont="1" applyFill="1" applyBorder="1" applyAlignment="1">
      <alignment vertical="center"/>
    </xf>
    <xf numFmtId="2" fontId="153" fillId="20" borderId="31" xfId="0" applyNumberFormat="1" applyFont="1" applyFill="1" applyBorder="1" applyAlignment="1">
      <alignment horizontal="right" vertical="center"/>
    </xf>
    <xf numFmtId="165" fontId="153" fillId="20" borderId="31" xfId="0" applyNumberFormat="1" applyFont="1" applyFill="1" applyBorder="1" applyAlignment="1">
      <alignment horizontal="right" vertical="center"/>
    </xf>
    <xf numFmtId="0" fontId="153" fillId="20" borderId="31" xfId="0" applyFont="1" applyFill="1" applyBorder="1" applyAlignment="1">
      <alignment horizontal="right" vertical="center"/>
    </xf>
    <xf numFmtId="0" fontId="87" fillId="20" borderId="31" xfId="0" applyFont="1" applyFill="1" applyBorder="1" applyAlignment="1">
      <alignment vertical="center"/>
    </xf>
    <xf numFmtId="0" fontId="153" fillId="20" borderId="31" xfId="0" applyFont="1" applyFill="1" applyBorder="1" applyAlignment="1">
      <alignment vertical="center"/>
    </xf>
    <xf numFmtId="9" fontId="153" fillId="20" borderId="31" xfId="3" applyFont="1" applyFill="1" applyBorder="1" applyAlignment="1">
      <alignment vertical="center"/>
    </xf>
    <xf numFmtId="0" fontId="115" fillId="2" borderId="6" xfId="0" applyFont="1" applyFill="1" applyBorder="1" applyAlignment="1">
      <alignment horizontal="center" vertical="center" wrapText="1"/>
    </xf>
    <xf numFmtId="0" fontId="121" fillId="2" borderId="6" xfId="0" applyFont="1" applyFill="1" applyBorder="1" applyAlignment="1">
      <alignment horizontal="center" vertical="center" wrapText="1"/>
    </xf>
    <xf numFmtId="0" fontId="115" fillId="2" borderId="6" xfId="0" applyFont="1" applyFill="1" applyBorder="1" applyAlignment="1">
      <alignment horizontal="center"/>
    </xf>
    <xf numFmtId="0" fontId="155" fillId="20" borderId="6" xfId="0" applyFont="1" applyFill="1" applyBorder="1" applyAlignment="1">
      <alignment horizontal="center" vertical="center" wrapText="1"/>
    </xf>
    <xf numFmtId="0" fontId="153" fillId="20" borderId="6" xfId="0" applyFont="1" applyFill="1" applyBorder="1" applyAlignment="1">
      <alignment horizontal="center" vertical="center" wrapText="1"/>
    </xf>
    <xf numFmtId="0" fontId="119" fillId="0" borderId="31" xfId="0" applyFont="1" applyBorder="1" applyAlignment="1">
      <alignment wrapText="1"/>
    </xf>
    <xf numFmtId="3" fontId="114" fillId="0" borderId="31" xfId="0" applyNumberFormat="1" applyFont="1" applyBorder="1" applyAlignment="1">
      <alignment wrapText="1"/>
    </xf>
    <xf numFmtId="1" fontId="115" fillId="0" borderId="31" xfId="0" applyNumberFormat="1" applyFont="1" applyBorder="1" applyAlignment="1">
      <alignment wrapText="1"/>
    </xf>
    <xf numFmtId="166" fontId="115" fillId="0" borderId="0" xfId="2" applyNumberFormat="1" applyFont="1" applyFill="1" applyBorder="1" applyAlignment="1"/>
    <xf numFmtId="3" fontId="115" fillId="0" borderId="31" xfId="0" applyNumberFormat="1" applyFont="1" applyBorder="1" applyAlignment="1">
      <alignment wrapText="1"/>
    </xf>
    <xf numFmtId="0" fontId="86" fillId="20" borderId="31" xfId="0" applyFont="1" applyFill="1" applyBorder="1"/>
    <xf numFmtId="1" fontId="86" fillId="20" borderId="31" xfId="0" applyNumberFormat="1" applyFont="1" applyFill="1" applyBorder="1" applyAlignment="1">
      <alignment wrapText="1"/>
    </xf>
    <xf numFmtId="3" fontId="87" fillId="20" borderId="31" xfId="0" applyNumberFormat="1" applyFont="1" applyFill="1" applyBorder="1" applyAlignment="1">
      <alignment wrapText="1"/>
    </xf>
    <xf numFmtId="9" fontId="86" fillId="20" borderId="31" xfId="3" applyFont="1" applyFill="1" applyBorder="1" applyAlignment="1">
      <alignment horizontal="right"/>
    </xf>
    <xf numFmtId="9" fontId="87" fillId="20" borderId="31" xfId="3" applyFont="1" applyFill="1" applyBorder="1" applyAlignment="1">
      <alignment horizontal="right"/>
    </xf>
    <xf numFmtId="9" fontId="86" fillId="20" borderId="31" xfId="3" applyFont="1" applyFill="1" applyBorder="1"/>
    <xf numFmtId="9" fontId="119" fillId="0" borderId="31" xfId="0" applyNumberFormat="1" applyFont="1" applyBorder="1" applyAlignment="1">
      <alignment horizontal="center" wrapText="1"/>
    </xf>
    <xf numFmtId="164" fontId="119" fillId="0" borderId="31" xfId="0" applyNumberFormat="1" applyFont="1" applyBorder="1" applyAlignment="1">
      <alignment horizontal="center" wrapText="1"/>
    </xf>
    <xf numFmtId="0" fontId="114" fillId="2" borderId="0" xfId="0" applyFont="1" applyFill="1" applyAlignment="1">
      <alignment horizontal="center"/>
    </xf>
    <xf numFmtId="1" fontId="119" fillId="0" borderId="31" xfId="0" applyNumberFormat="1" applyFont="1" applyBorder="1" applyAlignment="1">
      <alignment horizontal="center" wrapText="1"/>
    </xf>
    <xf numFmtId="173" fontId="114" fillId="2" borderId="31" xfId="3" applyNumberFormat="1" applyFont="1" applyFill="1" applyBorder="1" applyAlignment="1">
      <alignment horizontal="right"/>
    </xf>
    <xf numFmtId="9" fontId="6" fillId="2" borderId="0" xfId="0" applyNumberFormat="1" applyFont="1" applyFill="1" applyAlignment="1">
      <alignment wrapText="1"/>
    </xf>
    <xf numFmtId="0" fontId="65" fillId="2" borderId="0" xfId="0" applyFont="1" applyFill="1" applyAlignment="1">
      <alignment vertical="top"/>
    </xf>
    <xf numFmtId="0" fontId="149" fillId="0" borderId="0" xfId="0" applyFont="1" applyAlignment="1">
      <alignment vertical="center"/>
    </xf>
    <xf numFmtId="0" fontId="120" fillId="2" borderId="31" xfId="0" applyFont="1" applyFill="1" applyBorder="1" applyAlignment="1">
      <alignment vertical="center" wrapText="1"/>
    </xf>
    <xf numFmtId="0" fontId="114" fillId="2" borderId="0" xfId="0" applyFont="1" applyFill="1" applyAlignment="1">
      <alignment wrapText="1"/>
    </xf>
    <xf numFmtId="0" fontId="114" fillId="2" borderId="31" xfId="0" applyFont="1" applyFill="1" applyBorder="1" applyAlignment="1">
      <alignment horizontal="right" vertical="center"/>
    </xf>
    <xf numFmtId="0" fontId="121" fillId="40" borderId="78" xfId="0" applyFont="1" applyFill="1" applyBorder="1" applyAlignment="1">
      <alignment wrapText="1"/>
    </xf>
    <xf numFmtId="0" fontId="121" fillId="40" borderId="79" xfId="0" applyFont="1" applyFill="1" applyBorder="1"/>
    <xf numFmtId="0" fontId="119" fillId="0" borderId="13" xfId="0" applyFont="1" applyBorder="1"/>
    <xf numFmtId="0" fontId="119" fillId="0" borderId="75" xfId="0" applyFont="1" applyBorder="1"/>
    <xf numFmtId="0" fontId="119" fillId="0" borderId="22" xfId="0" applyFont="1" applyBorder="1"/>
    <xf numFmtId="0" fontId="119" fillId="0" borderId="80" xfId="0" applyFont="1" applyBorder="1"/>
    <xf numFmtId="1" fontId="119" fillId="20" borderId="31" xfId="0" applyNumberFormat="1" applyFont="1" applyFill="1" applyBorder="1" applyAlignment="1">
      <alignment horizontal="center" wrapText="1"/>
    </xf>
    <xf numFmtId="9" fontId="119" fillId="20" borderId="31" xfId="0" applyNumberFormat="1" applyFont="1" applyFill="1" applyBorder="1" applyAlignment="1">
      <alignment horizontal="center" wrapText="1"/>
    </xf>
    <xf numFmtId="2" fontId="13" fillId="2" borderId="0" xfId="0" applyNumberFormat="1" applyFont="1" applyFill="1"/>
    <xf numFmtId="9" fontId="7" fillId="2" borderId="0" xfId="3" applyFont="1" applyFill="1" applyBorder="1" applyAlignment="1">
      <alignment horizontal="center" vertical="center" wrapText="1"/>
    </xf>
    <xf numFmtId="0" fontId="115" fillId="0" borderId="0" xfId="0" applyFont="1" applyAlignment="1">
      <alignment vertical="center" wrapText="1"/>
    </xf>
    <xf numFmtId="171" fontId="114" fillId="5" borderId="0" xfId="0" applyNumberFormat="1" applyFont="1" applyFill="1" applyAlignment="1">
      <alignment horizontal="right" vertical="center"/>
    </xf>
    <xf numFmtId="164" fontId="37" fillId="4" borderId="0" xfId="3" applyNumberFormat="1" applyFont="1" applyFill="1" applyBorder="1" applyAlignment="1">
      <alignment horizontal="right" vertical="center"/>
    </xf>
    <xf numFmtId="171" fontId="153" fillId="4" borderId="31" xfId="0" applyNumberFormat="1" applyFont="1" applyFill="1" applyBorder="1" applyAlignment="1">
      <alignment horizontal="right" vertical="center"/>
    </xf>
    <xf numFmtId="171" fontId="121" fillId="5" borderId="31" xfId="0" applyNumberFormat="1" applyFont="1" applyFill="1" applyBorder="1" applyAlignment="1">
      <alignment horizontal="right" vertical="center"/>
    </xf>
    <xf numFmtId="1" fontId="87" fillId="4" borderId="31" xfId="2" applyNumberFormat="1" applyFont="1" applyFill="1" applyBorder="1" applyAlignment="1">
      <alignment horizontal="right" vertical="center"/>
    </xf>
    <xf numFmtId="1" fontId="86" fillId="4" borderId="31" xfId="0" applyNumberFormat="1" applyFont="1" applyFill="1" applyBorder="1" applyAlignment="1">
      <alignment horizontal="right" vertical="center"/>
    </xf>
    <xf numFmtId="3" fontId="8" fillId="2" borderId="0" xfId="0" applyNumberFormat="1" applyFont="1" applyFill="1" applyAlignment="1">
      <alignment vertical="center"/>
    </xf>
    <xf numFmtId="3" fontId="115" fillId="2" borderId="31" xfId="0" applyNumberFormat="1" applyFont="1" applyFill="1" applyBorder="1" applyAlignment="1">
      <alignment horizontal="right" vertical="center" wrapText="1"/>
    </xf>
    <xf numFmtId="3" fontId="115" fillId="41" borderId="31" xfId="0" applyNumberFormat="1" applyFont="1" applyFill="1" applyBorder="1" applyAlignment="1">
      <alignment horizontal="right" vertical="center" wrapText="1"/>
    </xf>
    <xf numFmtId="166" fontId="115" fillId="42" borderId="31" xfId="2" applyNumberFormat="1" applyFont="1" applyFill="1" applyBorder="1" applyAlignment="1">
      <alignment horizontal="right" vertical="center" wrapText="1"/>
    </xf>
    <xf numFmtId="166" fontId="122" fillId="42" borderId="31" xfId="2" applyNumberFormat="1" applyFont="1" applyFill="1" applyBorder="1" applyAlignment="1">
      <alignment horizontal="right" vertical="center" wrapText="1"/>
    </xf>
    <xf numFmtId="166" fontId="121" fillId="42" borderId="31" xfId="2" applyNumberFormat="1" applyFont="1" applyFill="1" applyBorder="1" applyAlignment="1">
      <alignment horizontal="right" vertical="center" wrapText="1"/>
    </xf>
    <xf numFmtId="166" fontId="24" fillId="2" borderId="0" xfId="0" applyNumberFormat="1" applyFont="1" applyFill="1" applyAlignment="1">
      <alignment horizontal="right" vertical="center" wrapText="1"/>
    </xf>
    <xf numFmtId="166" fontId="86" fillId="20" borderId="31" xfId="0" applyNumberFormat="1" applyFont="1" applyFill="1" applyBorder="1" applyAlignment="1">
      <alignment horizontal="right" vertical="center" wrapText="1"/>
    </xf>
    <xf numFmtId="9" fontId="86" fillId="20" borderId="31" xfId="0" applyNumberFormat="1" applyFont="1" applyFill="1" applyBorder="1" applyAlignment="1">
      <alignment horizontal="right" vertical="center" wrapText="1"/>
    </xf>
    <xf numFmtId="43" fontId="30" fillId="5" borderId="0" xfId="0" applyNumberFormat="1" applyFont="1" applyFill="1" applyAlignment="1">
      <alignment horizontal="right" vertical="center"/>
    </xf>
    <xf numFmtId="166" fontId="114" fillId="42" borderId="31" xfId="0" applyNumberFormat="1" applyFont="1" applyFill="1" applyBorder="1" applyAlignment="1">
      <alignment vertical="center"/>
    </xf>
    <xf numFmtId="166" fontId="115" fillId="42" borderId="31" xfId="2" applyNumberFormat="1" applyFont="1" applyFill="1" applyBorder="1" applyAlignment="1">
      <alignment vertical="center"/>
    </xf>
    <xf numFmtId="9" fontId="114" fillId="42" borderId="31" xfId="3" applyFont="1" applyFill="1" applyBorder="1" applyAlignment="1">
      <alignment horizontal="right"/>
    </xf>
    <xf numFmtId="168" fontId="86" fillId="20" borderId="31" xfId="2" applyNumberFormat="1" applyFont="1" applyFill="1" applyBorder="1" applyAlignment="1">
      <alignment horizontal="right" vertical="center" wrapText="1"/>
    </xf>
    <xf numFmtId="171" fontId="115" fillId="5" borderId="31" xfId="0" applyNumberFormat="1" applyFont="1" applyFill="1" applyBorder="1" applyAlignment="1">
      <alignment horizontal="right" vertical="center"/>
    </xf>
    <xf numFmtId="3" fontId="115" fillId="2" borderId="31" xfId="0"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0" fontId="97" fillId="26" borderId="31" xfId="0" applyFont="1" applyFill="1" applyBorder="1" applyAlignment="1">
      <alignment horizontal="center" vertical="center" wrapText="1"/>
    </xf>
    <xf numFmtId="0" fontId="114" fillId="2" borderId="35" xfId="0" applyFont="1" applyFill="1" applyBorder="1" applyAlignment="1">
      <alignment horizontal="left" vertical="center" wrapText="1"/>
    </xf>
    <xf numFmtId="9" fontId="154" fillId="4" borderId="31" xfId="3" applyFont="1" applyFill="1" applyBorder="1" applyAlignment="1">
      <alignment horizontal="right" vertical="center" wrapText="1"/>
    </xf>
    <xf numFmtId="3" fontId="108" fillId="4" borderId="31" xfId="0" applyNumberFormat="1" applyFont="1" applyFill="1" applyBorder="1" applyAlignment="1">
      <alignment horizontal="right" vertical="center"/>
    </xf>
    <xf numFmtId="0" fontId="108" fillId="4" borderId="31" xfId="0" applyFont="1" applyFill="1" applyBorder="1" applyAlignment="1">
      <alignment horizontal="right" vertical="center" wrapText="1"/>
    </xf>
    <xf numFmtId="0" fontId="108" fillId="4" borderId="51" xfId="0" applyFont="1" applyFill="1" applyBorder="1" applyAlignment="1">
      <alignment horizontal="right" vertical="center" wrapText="1"/>
    </xf>
    <xf numFmtId="0" fontId="108" fillId="4" borderId="44" xfId="0" applyFont="1" applyFill="1" applyBorder="1" applyAlignment="1">
      <alignment horizontal="right" vertical="center" wrapText="1"/>
    </xf>
    <xf numFmtId="2" fontId="45" fillId="2" borderId="0" xfId="0" applyNumberFormat="1" applyFont="1" applyFill="1" applyAlignment="1">
      <alignment horizontal="right" vertical="center"/>
    </xf>
    <xf numFmtId="1" fontId="153" fillId="4" borderId="31" xfId="0" applyNumberFormat="1" applyFont="1" applyFill="1" applyBorder="1"/>
    <xf numFmtId="0" fontId="159" fillId="36" borderId="31" xfId="0" applyFont="1" applyFill="1" applyBorder="1" applyAlignment="1">
      <alignment horizontal="left" vertical="center"/>
    </xf>
    <xf numFmtId="0" fontId="159" fillId="36" borderId="31" xfId="0" applyFont="1" applyFill="1" applyBorder="1" applyAlignment="1">
      <alignment horizontal="left" vertical="center" wrapText="1"/>
    </xf>
    <xf numFmtId="0" fontId="63" fillId="36" borderId="31" xfId="0" applyFont="1" applyFill="1" applyBorder="1" applyAlignment="1">
      <alignment horizontal="right" vertical="center" wrapText="1"/>
    </xf>
    <xf numFmtId="0" fontId="67" fillId="7" borderId="0" xfId="0" applyFont="1" applyFill="1" applyAlignment="1">
      <alignment horizontal="left"/>
    </xf>
    <xf numFmtId="0" fontId="114" fillId="19" borderId="0" xfId="0" applyFont="1" applyFill="1"/>
    <xf numFmtId="0" fontId="13" fillId="3" borderId="0" xfId="0" applyFont="1" applyFill="1" applyAlignment="1">
      <alignment horizontal="center"/>
    </xf>
    <xf numFmtId="0" fontId="115" fillId="3" borderId="31" xfId="0" applyFont="1" applyFill="1" applyBorder="1"/>
    <xf numFmtId="166" fontId="122" fillId="3" borderId="31" xfId="2" applyNumberFormat="1" applyFont="1" applyFill="1" applyBorder="1"/>
    <xf numFmtId="0" fontId="102" fillId="43" borderId="0" xfId="0" applyFont="1" applyFill="1" applyAlignment="1">
      <alignment horizontal="left"/>
    </xf>
    <xf numFmtId="166" fontId="105" fillId="3" borderId="0" xfId="2" applyNumberFormat="1" applyFont="1" applyFill="1" applyBorder="1"/>
    <xf numFmtId="3" fontId="105" fillId="3" borderId="0" xfId="0" applyNumberFormat="1" applyFont="1" applyFill="1" applyAlignment="1">
      <alignment vertical="center"/>
    </xf>
    <xf numFmtId="0" fontId="13" fillId="3" borderId="0" xfId="0" applyFont="1" applyFill="1"/>
    <xf numFmtId="0" fontId="114" fillId="3" borderId="31" xfId="0" applyFont="1" applyFill="1" applyBorder="1"/>
    <xf numFmtId="3" fontId="153" fillId="3" borderId="31" xfId="0" applyNumberFormat="1" applyFont="1" applyFill="1" applyBorder="1" applyAlignment="1">
      <alignment horizontal="right"/>
    </xf>
    <xf numFmtId="3" fontId="105" fillId="3" borderId="0" xfId="0" applyNumberFormat="1" applyFont="1" applyFill="1"/>
    <xf numFmtId="0" fontId="12" fillId="5" borderId="0" xfId="0" applyFont="1" applyFill="1"/>
    <xf numFmtId="0" fontId="25" fillId="2" borderId="0" xfId="0" applyFont="1" applyFill="1"/>
    <xf numFmtId="0" fontId="8" fillId="0" borderId="31" xfId="0" applyFont="1" applyBorder="1" applyAlignment="1">
      <alignment horizontal="left" vertical="center"/>
    </xf>
    <xf numFmtId="0" fontId="11" fillId="0" borderId="54" xfId="0" applyFont="1" applyBorder="1" applyAlignment="1">
      <alignment horizontal="center" vertical="center" wrapText="1"/>
    </xf>
    <xf numFmtId="168" fontId="13" fillId="0" borderId="54" xfId="2" applyNumberFormat="1" applyFont="1" applyFill="1" applyBorder="1" applyAlignment="1">
      <alignment vertical="center"/>
    </xf>
    <xf numFmtId="43" fontId="13" fillId="0" borderId="54" xfId="2" applyFont="1" applyFill="1" applyBorder="1" applyAlignment="1">
      <alignment vertical="center"/>
    </xf>
    <xf numFmtId="9" fontId="13" fillId="0" borderId="54" xfId="3" applyFont="1" applyFill="1" applyBorder="1" applyAlignment="1">
      <alignment vertical="center"/>
    </xf>
    <xf numFmtId="3" fontId="35" fillId="5" borderId="0" xfId="0" applyNumberFormat="1" applyFont="1" applyFill="1" applyAlignment="1">
      <alignment vertical="center" wrapText="1"/>
    </xf>
    <xf numFmtId="164" fontId="45" fillId="5" borderId="0" xfId="3" applyNumberFormat="1" applyFont="1" applyFill="1" applyAlignment="1">
      <alignment horizontal="right" vertical="center"/>
    </xf>
    <xf numFmtId="166" fontId="87" fillId="4" borderId="31" xfId="0" applyNumberFormat="1" applyFont="1" applyFill="1" applyBorder="1" applyAlignment="1">
      <alignment horizontal="right" vertical="center"/>
    </xf>
    <xf numFmtId="166" fontId="118" fillId="2" borderId="31" xfId="0" applyNumberFormat="1" applyFont="1" applyFill="1" applyBorder="1" applyAlignment="1">
      <alignment horizontal="right" vertical="center"/>
    </xf>
    <xf numFmtId="0" fontId="114" fillId="0" borderId="7" xfId="0" applyFont="1" applyBorder="1" applyAlignment="1">
      <alignment vertical="center" wrapText="1"/>
    </xf>
    <xf numFmtId="0" fontId="115" fillId="0" borderId="7" xfId="0" applyFont="1" applyBorder="1" applyAlignment="1">
      <alignment horizontal="left" vertical="center"/>
    </xf>
    <xf numFmtId="166" fontId="115" fillId="4" borderId="7" xfId="2" applyNumberFormat="1" applyFont="1" applyFill="1" applyBorder="1" applyAlignment="1">
      <alignment horizontal="right" vertical="center"/>
    </xf>
    <xf numFmtId="166" fontId="115" fillId="0" borderId="7" xfId="2" applyNumberFormat="1" applyFont="1" applyBorder="1" applyAlignment="1">
      <alignment horizontal="right" vertical="center"/>
    </xf>
    <xf numFmtId="10" fontId="114" fillId="2" borderId="0" xfId="0" applyNumberFormat="1" applyFont="1" applyFill="1" applyAlignment="1">
      <alignment horizontal="right" vertical="center"/>
    </xf>
    <xf numFmtId="0" fontId="87" fillId="0" borderId="7" xfId="0" applyFont="1" applyBorder="1" applyAlignment="1">
      <alignment vertical="center" wrapText="1"/>
    </xf>
    <xf numFmtId="0" fontId="121" fillId="0" borderId="7" xfId="0" applyFont="1" applyBorder="1" applyAlignment="1">
      <alignment horizontal="left" vertical="center"/>
    </xf>
    <xf numFmtId="166" fontId="121" fillId="4" borderId="7" xfId="2" applyNumberFormat="1" applyFont="1" applyFill="1" applyBorder="1" applyAlignment="1">
      <alignment horizontal="right" vertical="center"/>
    </xf>
    <xf numFmtId="166" fontId="121" fillId="0" borderId="7" xfId="2" applyNumberFormat="1" applyFont="1" applyBorder="1" applyAlignment="1">
      <alignment horizontal="right" vertical="center"/>
    </xf>
    <xf numFmtId="166" fontId="114" fillId="2" borderId="0" xfId="0" applyNumberFormat="1" applyFont="1" applyFill="1" applyAlignment="1">
      <alignment vertical="center"/>
    </xf>
    <xf numFmtId="0" fontId="114" fillId="0" borderId="7" xfId="0" applyFont="1" applyBorder="1" applyAlignment="1">
      <alignment vertical="center"/>
    </xf>
    <xf numFmtId="166" fontId="119" fillId="4" borderId="7" xfId="2" applyNumberFormat="1" applyFont="1" applyFill="1" applyBorder="1" applyAlignment="1">
      <alignment horizontal="right" vertical="center"/>
    </xf>
    <xf numFmtId="166" fontId="119" fillId="0" borderId="7" xfId="2" applyNumberFormat="1" applyFont="1" applyBorder="1" applyAlignment="1">
      <alignment horizontal="right" vertical="center"/>
    </xf>
    <xf numFmtId="0" fontId="87" fillId="0" borderId="7" xfId="0" applyFont="1" applyBorder="1" applyAlignment="1">
      <alignment vertical="center"/>
    </xf>
    <xf numFmtId="166" fontId="114" fillId="2" borderId="0" xfId="0" applyNumberFormat="1" applyFont="1" applyFill="1" applyAlignment="1">
      <alignment horizontal="right" vertical="center"/>
    </xf>
    <xf numFmtId="164" fontId="115" fillId="4" borderId="7" xfId="2" applyNumberFormat="1" applyFont="1" applyFill="1" applyBorder="1" applyAlignment="1">
      <alignment horizontal="right" vertical="center"/>
    </xf>
    <xf numFmtId="164" fontId="115" fillId="0" borderId="7" xfId="2" applyNumberFormat="1" applyFont="1" applyBorder="1" applyAlignment="1">
      <alignment horizontal="right" vertical="center"/>
    </xf>
    <xf numFmtId="0" fontId="114" fillId="2" borderId="7" xfId="0" applyFont="1" applyFill="1" applyBorder="1" applyAlignment="1">
      <alignment vertical="center"/>
    </xf>
    <xf numFmtId="0" fontId="115" fillId="2" borderId="7" xfId="0" applyFont="1" applyFill="1" applyBorder="1" applyAlignment="1">
      <alignment horizontal="left" vertical="center"/>
    </xf>
    <xf numFmtId="0" fontId="119" fillId="0" borderId="7" xfId="0" applyFont="1" applyBorder="1" applyAlignment="1">
      <alignment vertical="center"/>
    </xf>
    <xf numFmtId="166" fontId="115" fillId="0" borderId="7" xfId="2" applyNumberFormat="1" applyFont="1" applyFill="1" applyBorder="1" applyAlignment="1">
      <alignment horizontal="right" vertical="center"/>
    </xf>
    <xf numFmtId="1" fontId="119" fillId="4" borderId="7" xfId="2" applyNumberFormat="1" applyFont="1" applyFill="1" applyBorder="1" applyAlignment="1">
      <alignment horizontal="right" vertical="center"/>
    </xf>
    <xf numFmtId="1" fontId="119" fillId="0" borderId="7" xfId="2" applyNumberFormat="1" applyFont="1" applyFill="1" applyBorder="1" applyAlignment="1">
      <alignment horizontal="right" vertical="center"/>
    </xf>
    <xf numFmtId="1" fontId="115" fillId="0" borderId="7" xfId="2" applyNumberFormat="1" applyFont="1" applyFill="1" applyBorder="1" applyAlignment="1">
      <alignment horizontal="right" vertical="center"/>
    </xf>
    <xf numFmtId="0" fontId="120" fillId="0" borderId="7" xfId="0" applyFont="1" applyBorder="1" applyAlignment="1">
      <alignment vertical="center"/>
    </xf>
    <xf numFmtId="166" fontId="121" fillId="0" borderId="7" xfId="2" applyNumberFormat="1" applyFont="1" applyFill="1" applyBorder="1" applyAlignment="1">
      <alignment horizontal="right" vertical="center"/>
    </xf>
    <xf numFmtId="164" fontId="13" fillId="2" borderId="0" xfId="3" applyNumberFormat="1" applyFont="1" applyFill="1"/>
    <xf numFmtId="43" fontId="13" fillId="2" borderId="0" xfId="0" applyNumberFormat="1" applyFont="1" applyFill="1"/>
    <xf numFmtId="0" fontId="161" fillId="0" borderId="0" xfId="1" applyFont="1"/>
    <xf numFmtId="3" fontId="102" fillId="43" borderId="0" xfId="0" applyNumberFormat="1" applyFont="1" applyFill="1" applyAlignment="1">
      <alignment horizontal="left"/>
    </xf>
    <xf numFmtId="9" fontId="115" fillId="0" borderId="31" xfId="0" applyNumberFormat="1" applyFont="1" applyBorder="1" applyAlignment="1">
      <alignment horizontal="right" vertical="center"/>
    </xf>
    <xf numFmtId="1" fontId="87" fillId="4" borderId="31" xfId="0" applyNumberFormat="1" applyFont="1" applyFill="1" applyBorder="1" applyAlignment="1">
      <alignment horizontal="right" vertical="center"/>
    </xf>
    <xf numFmtId="0" fontId="154" fillId="0" borderId="81" xfId="0" applyFont="1" applyBorder="1" applyAlignment="1">
      <alignment horizontal="right" vertical="center" wrapText="1"/>
    </xf>
    <xf numFmtId="0" fontId="154" fillId="2" borderId="82" xfId="0" applyFont="1" applyFill="1" applyBorder="1" applyAlignment="1">
      <alignment horizontal="right" vertical="center" wrapText="1"/>
    </xf>
    <xf numFmtId="0" fontId="154" fillId="2" borderId="81" xfId="0" applyFont="1" applyFill="1" applyBorder="1" applyAlignment="1">
      <alignment horizontal="right" vertical="center" wrapText="1"/>
    </xf>
    <xf numFmtId="0" fontId="154" fillId="2" borderId="83" xfId="0" applyFont="1" applyFill="1" applyBorder="1" applyAlignment="1">
      <alignment horizontal="right" vertical="center" wrapText="1"/>
    </xf>
    <xf numFmtId="0" fontId="154" fillId="2" borderId="10" xfId="0" applyFont="1" applyFill="1" applyBorder="1" applyAlignment="1">
      <alignment horizontal="right" vertical="center" wrapText="1"/>
    </xf>
    <xf numFmtId="0" fontId="154" fillId="0" borderId="82" xfId="0" applyFont="1" applyBorder="1" applyAlignment="1">
      <alignment horizontal="right" vertical="center" wrapText="1"/>
    </xf>
    <xf numFmtId="0" fontId="8" fillId="2" borderId="13" xfId="0" applyFont="1" applyFill="1" applyBorder="1" applyAlignment="1">
      <alignment vertical="center"/>
    </xf>
    <xf numFmtId="0" fontId="8" fillId="0" borderId="13" xfId="0" applyFont="1" applyBorder="1" applyAlignment="1">
      <alignment vertical="center"/>
    </xf>
    <xf numFmtId="0" fontId="115" fillId="2" borderId="49" xfId="0" applyFont="1" applyFill="1" applyBorder="1" applyAlignment="1">
      <alignment horizontal="right" vertical="center"/>
    </xf>
    <xf numFmtId="0" fontId="106" fillId="2" borderId="0" xfId="0" applyFont="1" applyFill="1" applyAlignment="1">
      <alignment vertical="center"/>
    </xf>
    <xf numFmtId="0" fontId="115" fillId="2" borderId="49" xfId="0" applyFont="1" applyFill="1" applyBorder="1" applyAlignment="1">
      <alignment horizontal="center" vertical="center"/>
    </xf>
    <xf numFmtId="0" fontId="115" fillId="2" borderId="50" xfId="0" applyFont="1" applyFill="1" applyBorder="1" applyAlignment="1">
      <alignment horizontal="center" vertical="center"/>
    </xf>
    <xf numFmtId="0" fontId="115" fillId="2" borderId="7" xfId="0" applyFont="1" applyFill="1" applyBorder="1" applyAlignment="1">
      <alignment horizontal="center" vertical="center"/>
    </xf>
    <xf numFmtId="2" fontId="115" fillId="2" borderId="31" xfId="0" applyNumberFormat="1" applyFont="1" applyFill="1" applyBorder="1" applyAlignment="1">
      <alignment horizontal="center" vertical="center" wrapText="1"/>
    </xf>
    <xf numFmtId="2" fontId="153" fillId="20" borderId="31" xfId="0" applyNumberFormat="1" applyFont="1" applyFill="1" applyBorder="1" applyAlignment="1">
      <alignment horizontal="center" vertical="center" wrapText="1"/>
    </xf>
    <xf numFmtId="1" fontId="153" fillId="20" borderId="31" xfId="0" applyNumberFormat="1" applyFont="1" applyFill="1" applyBorder="1" applyAlignment="1">
      <alignment horizontal="center" vertical="center" wrapText="1"/>
    </xf>
    <xf numFmtId="0" fontId="87" fillId="4" borderId="31" xfId="0" applyFont="1" applyFill="1" applyBorder="1" applyAlignment="1">
      <alignment horizontal="right"/>
    </xf>
    <xf numFmtId="9" fontId="87" fillId="4" borderId="31" xfId="3" applyFont="1" applyFill="1" applyBorder="1" applyAlignment="1">
      <alignment horizontal="right"/>
    </xf>
    <xf numFmtId="3" fontId="13" fillId="2" borderId="0" xfId="0" applyNumberFormat="1" applyFont="1" applyFill="1"/>
    <xf numFmtId="9" fontId="119" fillId="20" borderId="31" xfId="3" applyFont="1" applyFill="1" applyBorder="1" applyAlignment="1">
      <alignment horizontal="center" wrapText="1"/>
    </xf>
    <xf numFmtId="0" fontId="115" fillId="2" borderId="0" xfId="0" applyFont="1" applyFill="1" applyAlignment="1">
      <alignment horizontal="left" vertical="center" wrapText="1"/>
    </xf>
    <xf numFmtId="166" fontId="115" fillId="2" borderId="0" xfId="2" applyNumberFormat="1" applyFont="1" applyFill="1" applyBorder="1" applyAlignment="1">
      <alignment horizontal="right" vertical="center" wrapText="1"/>
    </xf>
    <xf numFmtId="166" fontId="86" fillId="2" borderId="0" xfId="2" applyNumberFormat="1" applyFont="1" applyFill="1" applyBorder="1" applyAlignment="1">
      <alignment horizontal="right" vertical="center" wrapText="1"/>
    </xf>
    <xf numFmtId="9" fontId="86" fillId="2" borderId="0" xfId="3" applyFont="1" applyFill="1" applyBorder="1" applyAlignment="1">
      <alignment vertical="center" wrapText="1"/>
    </xf>
    <xf numFmtId="0" fontId="121" fillId="21" borderId="31" xfId="0" applyFont="1" applyFill="1" applyBorder="1" applyAlignment="1">
      <alignment horizontal="left" vertical="center" wrapText="1"/>
    </xf>
    <xf numFmtId="0" fontId="114" fillId="2" borderId="31" xfId="0" applyFont="1" applyFill="1" applyBorder="1" applyAlignment="1">
      <alignment horizontal="right" vertical="center" wrapText="1"/>
    </xf>
    <xf numFmtId="0" fontId="115" fillId="2" borderId="31" xfId="0" applyFont="1" applyFill="1" applyBorder="1" applyAlignment="1">
      <alignment horizontal="right" vertical="center" wrapText="1"/>
    </xf>
    <xf numFmtId="0" fontId="86" fillId="20" borderId="31" xfId="0" applyFont="1" applyFill="1" applyBorder="1" applyAlignment="1">
      <alignment horizontal="right" vertical="center" wrapText="1"/>
    </xf>
    <xf numFmtId="0" fontId="115" fillId="2" borderId="31" xfId="2" applyNumberFormat="1" applyFont="1" applyFill="1" applyBorder="1" applyAlignment="1">
      <alignment horizontal="right" vertical="center" wrapText="1"/>
    </xf>
    <xf numFmtId="9" fontId="35" fillId="5" borderId="0" xfId="3" applyFont="1" applyFill="1" applyAlignment="1">
      <alignment horizontal="center" vertical="center" wrapText="1"/>
    </xf>
    <xf numFmtId="0" fontId="115" fillId="2" borderId="32" xfId="0" applyFont="1" applyFill="1" applyBorder="1" applyAlignment="1">
      <alignment horizontal="left" vertical="center" wrapText="1"/>
    </xf>
    <xf numFmtId="166" fontId="86" fillId="20" borderId="32" xfId="2" applyNumberFormat="1" applyFont="1" applyFill="1" applyBorder="1" applyAlignment="1">
      <alignment horizontal="right" vertical="center" wrapText="1"/>
    </xf>
    <xf numFmtId="166" fontId="115" fillId="2" borderId="32" xfId="2" applyNumberFormat="1" applyFont="1" applyFill="1" applyBorder="1" applyAlignment="1">
      <alignment horizontal="right" vertical="center" wrapText="1"/>
    </xf>
    <xf numFmtId="0" fontId="121" fillId="0" borderId="31" xfId="0" applyFont="1" applyBorder="1" applyAlignment="1">
      <alignment horizontal="right" vertical="center"/>
    </xf>
    <xf numFmtId="166" fontId="121" fillId="0" borderId="31" xfId="2" applyNumberFormat="1" applyFont="1" applyFill="1" applyBorder="1" applyAlignment="1">
      <alignment horizontal="right" vertical="center" wrapText="1"/>
    </xf>
    <xf numFmtId="0" fontId="121" fillId="0" borderId="31" xfId="0" applyFont="1" applyBorder="1" applyAlignment="1">
      <alignment horizontal="right" vertical="center" wrapText="1"/>
    </xf>
    <xf numFmtId="9" fontId="155" fillId="4" borderId="31" xfId="3" applyFont="1" applyFill="1" applyBorder="1" applyAlignment="1">
      <alignment horizontal="right" vertical="center"/>
    </xf>
    <xf numFmtId="9" fontId="115" fillId="2" borderId="0" xfId="3" applyFont="1" applyFill="1" applyBorder="1" applyAlignment="1">
      <alignment horizontal="right" vertical="center" wrapText="1"/>
    </xf>
    <xf numFmtId="164" fontId="115" fillId="2" borderId="0" xfId="3" applyNumberFormat="1" applyFont="1" applyFill="1" applyBorder="1" applyAlignment="1">
      <alignment horizontal="right" vertical="center" wrapText="1"/>
    </xf>
    <xf numFmtId="0" fontId="121" fillId="2" borderId="31" xfId="0" applyFont="1" applyFill="1" applyBorder="1" applyAlignment="1">
      <alignment horizontal="right" vertical="center" wrapText="1"/>
    </xf>
    <xf numFmtId="0" fontId="137" fillId="2" borderId="0" xfId="0" applyFont="1" applyFill="1" applyAlignment="1">
      <alignment horizontal="left" vertical="center"/>
    </xf>
    <xf numFmtId="0" fontId="41" fillId="2" borderId="0" xfId="0" applyFont="1" applyFill="1" applyAlignment="1">
      <alignment horizontal="left" vertical="center" wrapText="1"/>
    </xf>
    <xf numFmtId="0" fontId="42" fillId="2" borderId="0" xfId="0" applyFont="1" applyFill="1" applyAlignment="1">
      <alignment horizontal="right" vertical="center"/>
    </xf>
    <xf numFmtId="0" fontId="43" fillId="2" borderId="0" xfId="0" applyFont="1" applyFill="1" applyAlignment="1">
      <alignment horizontal="center" vertical="center"/>
    </xf>
    <xf numFmtId="0" fontId="37" fillId="2" borderId="0" xfId="0" applyFont="1" applyFill="1" applyAlignment="1">
      <alignment vertical="center" wrapText="1"/>
    </xf>
    <xf numFmtId="0" fontId="49" fillId="2" borderId="0" xfId="0" applyFont="1" applyFill="1" applyAlignment="1">
      <alignment horizontal="right" vertical="center" wrapText="1"/>
    </xf>
    <xf numFmtId="0" fontId="49" fillId="2" borderId="0" xfId="0" applyFont="1" applyFill="1" applyAlignment="1">
      <alignment horizontal="right" vertical="center"/>
    </xf>
    <xf numFmtId="0" fontId="118" fillId="12" borderId="31" xfId="0" applyFont="1" applyFill="1" applyBorder="1" applyAlignment="1">
      <alignment horizontal="left" vertical="center" wrapText="1"/>
    </xf>
    <xf numFmtId="164" fontId="8" fillId="2" borderId="0" xfId="0" applyNumberFormat="1" applyFont="1" applyFill="1" applyAlignment="1">
      <alignment vertical="center"/>
    </xf>
    <xf numFmtId="0" fontId="163" fillId="2" borderId="0" xfId="0" applyFont="1" applyFill="1" applyAlignment="1">
      <alignment vertical="center"/>
    </xf>
    <xf numFmtId="0" fontId="13" fillId="0" borderId="0" xfId="0" applyFont="1" applyAlignment="1">
      <alignment horizontal="right" vertical="center" wrapText="1"/>
    </xf>
    <xf numFmtId="0" fontId="8" fillId="21" borderId="31" xfId="0" applyFont="1" applyFill="1" applyBorder="1" applyAlignment="1">
      <alignment horizontal="center" vertical="center" wrapText="1"/>
    </xf>
    <xf numFmtId="0" fontId="7" fillId="0" borderId="28" xfId="0" applyFont="1" applyBorder="1" applyAlignment="1">
      <alignment horizontal="right" vertical="center" wrapText="1"/>
    </xf>
    <xf numFmtId="0" fontId="118" fillId="19" borderId="36" xfId="0" applyFont="1" applyFill="1" applyBorder="1" applyAlignment="1">
      <alignment vertical="center" wrapText="1"/>
    </xf>
    <xf numFmtId="0" fontId="118" fillId="19" borderId="36" xfId="0" applyFont="1" applyFill="1" applyBorder="1" applyAlignment="1">
      <alignment horizontal="left" vertical="center" wrapText="1"/>
    </xf>
    <xf numFmtId="0" fontId="118" fillId="19" borderId="40" xfId="0" applyFont="1" applyFill="1" applyBorder="1" applyAlignment="1">
      <alignment horizontal="left" vertical="center" wrapText="1"/>
    </xf>
    <xf numFmtId="0" fontId="118" fillId="12" borderId="36" xfId="0" applyFont="1" applyFill="1" applyBorder="1" applyAlignment="1">
      <alignment vertical="center" wrapText="1"/>
    </xf>
    <xf numFmtId="0" fontId="164" fillId="0" borderId="31" xfId="0" applyFont="1" applyBorder="1" applyAlignment="1">
      <alignment horizontal="left" vertical="center" wrapText="1"/>
    </xf>
    <xf numFmtId="0" fontId="165" fillId="0" borderId="31" xfId="1" applyFont="1" applyFill="1" applyBorder="1" applyAlignment="1">
      <alignment horizontal="left" vertical="center" wrapText="1"/>
    </xf>
    <xf numFmtId="0" fontId="12" fillId="0" borderId="32" xfId="0" applyFont="1" applyBorder="1" applyAlignment="1">
      <alignment vertical="center" wrapText="1"/>
    </xf>
    <xf numFmtId="0" fontId="165" fillId="0" borderId="32" xfId="1" applyFont="1" applyFill="1" applyBorder="1" applyAlignment="1">
      <alignment horizontal="left" vertical="center" wrapText="1"/>
    </xf>
    <xf numFmtId="0" fontId="12" fillId="44" borderId="31" xfId="0" applyFont="1" applyFill="1" applyBorder="1" applyAlignment="1">
      <alignment vertical="center" wrapText="1"/>
    </xf>
    <xf numFmtId="3" fontId="86" fillId="20" borderId="31" xfId="0" applyNumberFormat="1" applyFont="1" applyFill="1" applyBorder="1" applyAlignment="1">
      <alignment wrapText="1"/>
    </xf>
    <xf numFmtId="3" fontId="10" fillId="0" borderId="31" xfId="0" applyNumberFormat="1" applyFont="1" applyBorder="1" applyAlignment="1">
      <alignment horizontal="right" vertical="center" wrapText="1"/>
    </xf>
    <xf numFmtId="3" fontId="7" fillId="0" borderId="31" xfId="0" applyNumberFormat="1" applyFont="1" applyBorder="1" applyAlignment="1">
      <alignment vertical="center" wrapText="1"/>
    </xf>
    <xf numFmtId="3" fontId="7" fillId="4" borderId="31" xfId="0" applyNumberFormat="1" applyFont="1" applyFill="1" applyBorder="1" applyAlignment="1">
      <alignment horizontal="right" vertical="center" wrapText="1"/>
    </xf>
    <xf numFmtId="0" fontId="115" fillId="0" borderId="0" xfId="0" applyFont="1" applyAlignment="1">
      <alignment horizontal="left" vertical="center" wrapText="1"/>
    </xf>
    <xf numFmtId="165" fontId="87" fillId="0" borderId="0" xfId="0" applyNumberFormat="1" applyFont="1" applyAlignment="1">
      <alignment horizontal="right" vertical="center" wrapText="1"/>
    </xf>
    <xf numFmtId="171" fontId="114" fillId="0" borderId="0" xfId="0" applyNumberFormat="1" applyFont="1" applyAlignment="1">
      <alignment horizontal="right" vertical="center"/>
    </xf>
    <xf numFmtId="171" fontId="87" fillId="4" borderId="31" xfId="0" applyNumberFormat="1" applyFont="1" applyFill="1" applyBorder="1" applyAlignment="1">
      <alignment horizontal="right"/>
    </xf>
    <xf numFmtId="0" fontId="166" fillId="0" borderId="0" xfId="0" applyFont="1" applyAlignment="1">
      <alignment vertical="center"/>
    </xf>
    <xf numFmtId="0" fontId="11" fillId="19" borderId="31" xfId="0" applyFont="1" applyFill="1" applyBorder="1" applyAlignment="1">
      <alignment horizontal="right" vertical="center"/>
    </xf>
    <xf numFmtId="0" fontId="11" fillId="2" borderId="47" xfId="0" applyFont="1" applyFill="1" applyBorder="1" applyAlignment="1">
      <alignment horizontal="right" vertical="center"/>
    </xf>
    <xf numFmtId="0" fontId="11" fillId="2" borderId="46" xfId="0" applyFont="1" applyFill="1" applyBorder="1" applyAlignment="1">
      <alignment horizontal="right" vertical="center"/>
    </xf>
    <xf numFmtId="2" fontId="13" fillId="2" borderId="0" xfId="0" applyNumberFormat="1" applyFont="1" applyFill="1" applyAlignment="1">
      <alignment vertical="center"/>
    </xf>
    <xf numFmtId="164" fontId="13" fillId="2" borderId="0" xfId="3" applyNumberFormat="1" applyFont="1" applyFill="1" applyAlignment="1">
      <alignment vertical="center"/>
    </xf>
    <xf numFmtId="0" fontId="169" fillId="2" borderId="31" xfId="0" applyFont="1" applyFill="1" applyBorder="1" applyAlignment="1">
      <alignment horizontal="right" vertical="center" wrapText="1"/>
    </xf>
    <xf numFmtId="0" fontId="169" fillId="2" borderId="52" xfId="0" applyFont="1" applyFill="1" applyBorder="1" applyAlignment="1">
      <alignment horizontal="right" vertical="center" wrapText="1"/>
    </xf>
    <xf numFmtId="0" fontId="169" fillId="2" borderId="53" xfId="0" applyFont="1" applyFill="1" applyBorder="1" applyAlignment="1">
      <alignment horizontal="right" vertical="center" wrapText="1"/>
    </xf>
    <xf numFmtId="0" fontId="171" fillId="0" borderId="51" xfId="1" applyFont="1" applyBorder="1" applyAlignment="1">
      <alignment horizontal="right" vertical="center" wrapText="1"/>
    </xf>
    <xf numFmtId="0" fontId="108" fillId="2" borderId="44" xfId="0" applyFont="1" applyFill="1" applyBorder="1" applyAlignment="1">
      <alignment horizontal="right" vertical="center" wrapText="1"/>
    </xf>
    <xf numFmtId="0" fontId="172" fillId="2" borderId="33" xfId="1" applyFont="1" applyFill="1" applyBorder="1" applyAlignment="1">
      <alignment horizontal="right" vertical="center" wrapText="1"/>
    </xf>
    <xf numFmtId="0" fontId="108" fillId="2" borderId="34" xfId="0" applyFont="1" applyFill="1" applyBorder="1" applyAlignment="1">
      <alignment horizontal="right" vertical="center" wrapText="1"/>
    </xf>
    <xf numFmtId="0" fontId="108" fillId="2" borderId="33" xfId="0" applyFont="1" applyFill="1" applyBorder="1" applyAlignment="1">
      <alignment horizontal="right" vertical="center" wrapText="1"/>
    </xf>
    <xf numFmtId="0" fontId="108" fillId="0" borderId="84" xfId="0" applyFont="1" applyBorder="1" applyAlignment="1">
      <alignment vertical="center" wrapText="1"/>
    </xf>
    <xf numFmtId="0" fontId="108" fillId="0" borderId="13" xfId="0" applyFont="1" applyBorder="1" applyAlignment="1">
      <alignment horizontal="left" vertical="center" wrapText="1"/>
    </xf>
    <xf numFmtId="0" fontId="12" fillId="0" borderId="48" xfId="0" applyFont="1" applyBorder="1" applyAlignment="1">
      <alignment vertical="center" wrapText="1"/>
    </xf>
    <xf numFmtId="164" fontId="108" fillId="2" borderId="81" xfId="0" applyNumberFormat="1" applyFont="1" applyFill="1" applyBorder="1" applyAlignment="1">
      <alignment horizontal="right" vertical="center" wrapText="1"/>
    </xf>
    <xf numFmtId="0" fontId="12" fillId="0" borderId="49" xfId="0" applyFont="1" applyBorder="1" applyAlignment="1">
      <alignment vertical="center" wrapText="1"/>
    </xf>
    <xf numFmtId="0" fontId="12" fillId="0" borderId="7" xfId="0" applyFont="1" applyBorder="1" applyAlignment="1">
      <alignment vertical="center" wrapText="1"/>
    </xf>
    <xf numFmtId="164" fontId="172" fillId="2" borderId="81" xfId="1" applyNumberFormat="1" applyFont="1" applyFill="1" applyBorder="1" applyAlignment="1">
      <alignment horizontal="right" vertical="center" wrapText="1"/>
    </xf>
    <xf numFmtId="0" fontId="13" fillId="0" borderId="31" xfId="0" applyFont="1" applyBorder="1" applyAlignment="1">
      <alignment horizontal="left" vertical="center" wrapText="1"/>
    </xf>
    <xf numFmtId="0" fontId="87" fillId="20" borderId="31" xfId="0" applyFont="1" applyFill="1" applyBorder="1" applyAlignment="1">
      <alignment horizontal="right" vertical="center" wrapText="1"/>
    </xf>
    <xf numFmtId="166" fontId="156" fillId="0" borderId="54" xfId="2" applyNumberFormat="1" applyFont="1" applyFill="1" applyBorder="1" applyAlignment="1">
      <alignment horizontal="right" vertical="center"/>
    </xf>
    <xf numFmtId="9" fontId="156" fillId="0" borderId="54" xfId="3" applyFont="1" applyFill="1" applyBorder="1" applyAlignment="1">
      <alignment horizontal="right" vertical="center"/>
    </xf>
    <xf numFmtId="0" fontId="156" fillId="0" borderId="54" xfId="0" applyFont="1" applyBorder="1" applyAlignment="1">
      <alignment horizontal="right" vertical="center"/>
    </xf>
    <xf numFmtId="2" fontId="156" fillId="0" borderId="54" xfId="0" applyNumberFormat="1" applyFont="1" applyBorder="1" applyAlignment="1">
      <alignment horizontal="right" vertical="center"/>
    </xf>
    <xf numFmtId="166" fontId="13" fillId="25" borderId="54" xfId="2" applyNumberFormat="1" applyFont="1" applyFill="1" applyBorder="1" applyAlignment="1">
      <alignment horizontal="right" vertical="center"/>
    </xf>
    <xf numFmtId="9" fontId="112" fillId="25" borderId="54" xfId="3" applyFont="1" applyFill="1" applyBorder="1" applyAlignment="1">
      <alignment vertical="center"/>
    </xf>
    <xf numFmtId="9" fontId="13" fillId="25" borderId="54" xfId="3" applyFont="1" applyFill="1" applyBorder="1" applyAlignment="1">
      <alignment horizontal="right" vertical="center"/>
    </xf>
    <xf numFmtId="0" fontId="13" fillId="25" borderId="54" xfId="0" applyFont="1" applyFill="1" applyBorder="1" applyAlignment="1">
      <alignment horizontal="right" vertical="center"/>
    </xf>
    <xf numFmtId="2" fontId="13" fillId="25" borderId="54" xfId="0" applyNumberFormat="1" applyFont="1" applyFill="1" applyBorder="1" applyAlignment="1">
      <alignment horizontal="right" vertical="center"/>
    </xf>
    <xf numFmtId="166" fontId="156" fillId="20" borderId="54" xfId="2" applyNumberFormat="1" applyFont="1" applyFill="1" applyBorder="1" applyAlignment="1">
      <alignment horizontal="right" vertical="center"/>
    </xf>
    <xf numFmtId="9" fontId="112" fillId="20" borderId="54" xfId="3" applyFont="1" applyFill="1" applyBorder="1" applyAlignment="1">
      <alignment vertical="center"/>
    </xf>
    <xf numFmtId="9" fontId="156" fillId="20" borderId="54" xfId="3" applyFont="1" applyFill="1" applyBorder="1" applyAlignment="1">
      <alignment horizontal="right" vertical="center"/>
    </xf>
    <xf numFmtId="164" fontId="112" fillId="20" borderId="54" xfId="3" applyNumberFormat="1" applyFont="1" applyFill="1" applyBorder="1" applyAlignment="1">
      <alignment vertical="center"/>
    </xf>
    <xf numFmtId="0" fontId="156" fillId="20" borderId="54" xfId="0" applyFont="1" applyFill="1" applyBorder="1" applyAlignment="1">
      <alignment horizontal="right" vertical="center"/>
    </xf>
    <xf numFmtId="2" fontId="156" fillId="20" borderId="54" xfId="0" applyNumberFormat="1" applyFont="1" applyFill="1" applyBorder="1" applyAlignment="1">
      <alignment horizontal="right" vertical="center"/>
    </xf>
    <xf numFmtId="0" fontId="12" fillId="0" borderId="52" xfId="0" applyFont="1" applyBorder="1" applyAlignment="1">
      <alignment horizontal="right" vertical="center" wrapText="1"/>
    </xf>
    <xf numFmtId="0" fontId="13" fillId="0" borderId="31" xfId="0" applyFont="1" applyBorder="1" applyAlignment="1">
      <alignment horizontal="right" vertical="center"/>
    </xf>
    <xf numFmtId="0" fontId="13" fillId="0" borderId="53" xfId="0" applyFont="1" applyBorder="1" applyAlignment="1">
      <alignment horizontal="right" vertical="center" wrapText="1"/>
    </xf>
    <xf numFmtId="0" fontId="11" fillId="0" borderId="31"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5" xfId="0" applyFont="1" applyBorder="1" applyAlignment="1">
      <alignment horizontal="right" vertical="center" wrapText="1"/>
    </xf>
    <xf numFmtId="0" fontId="12" fillId="0" borderId="35" xfId="0" applyFont="1" applyBorder="1" applyAlignment="1">
      <alignment horizontal="right" vertical="center"/>
    </xf>
    <xf numFmtId="0" fontId="12" fillId="0" borderId="56" xfId="0" applyFont="1" applyBorder="1" applyAlignment="1">
      <alignment horizontal="right" vertical="center"/>
    </xf>
    <xf numFmtId="1" fontId="86" fillId="20" borderId="31" xfId="2" applyNumberFormat="1" applyFont="1" applyFill="1" applyBorder="1" applyAlignment="1">
      <alignment horizontal="right" vertical="center" wrapText="1"/>
    </xf>
    <xf numFmtId="1" fontId="86" fillId="20" borderId="32" xfId="2" applyNumberFormat="1" applyFont="1" applyFill="1" applyBorder="1" applyAlignment="1">
      <alignment horizontal="right" vertical="center" wrapText="1"/>
    </xf>
    <xf numFmtId="1" fontId="87" fillId="20" borderId="31" xfId="2" applyNumberFormat="1" applyFont="1" applyFill="1" applyBorder="1" applyAlignment="1">
      <alignment horizontal="right" vertical="center" wrapText="1"/>
    </xf>
    <xf numFmtId="1" fontId="115" fillId="2" borderId="31" xfId="2" applyNumberFormat="1" applyFont="1" applyFill="1" applyBorder="1" applyAlignment="1">
      <alignment horizontal="right" vertical="center" wrapText="1"/>
    </xf>
    <xf numFmtId="1" fontId="115" fillId="2" borderId="32" xfId="2" applyNumberFormat="1" applyFont="1" applyFill="1" applyBorder="1" applyAlignment="1">
      <alignment horizontal="right" vertical="center" wrapText="1"/>
    </xf>
    <xf numFmtId="1" fontId="121" fillId="0" borderId="31" xfId="2" applyNumberFormat="1" applyFont="1" applyFill="1" applyBorder="1" applyAlignment="1">
      <alignment horizontal="right" vertical="center" wrapText="1"/>
    </xf>
    <xf numFmtId="1" fontId="86" fillId="20" borderId="31" xfId="0" applyNumberFormat="1" applyFont="1" applyFill="1" applyBorder="1" applyAlignment="1">
      <alignment horizontal="right" vertical="center" wrapText="1"/>
    </xf>
    <xf numFmtId="1" fontId="114" fillId="2" borderId="31" xfId="0" applyNumberFormat="1" applyFont="1" applyFill="1" applyBorder="1" applyAlignment="1">
      <alignment horizontal="right" vertical="center" wrapText="1"/>
    </xf>
    <xf numFmtId="1" fontId="115" fillId="2" borderId="31" xfId="0" applyNumberFormat="1" applyFont="1" applyFill="1" applyBorder="1" applyAlignment="1">
      <alignment horizontal="right" vertical="center" wrapText="1"/>
    </xf>
    <xf numFmtId="1" fontId="121" fillId="0" borderId="31" xfId="2" applyNumberFormat="1" applyFont="1" applyBorder="1" applyAlignment="1">
      <alignment horizontal="right" vertical="center" wrapText="1"/>
    </xf>
    <xf numFmtId="1" fontId="87" fillId="20" borderId="31" xfId="0" applyNumberFormat="1" applyFont="1" applyFill="1" applyBorder="1" applyAlignment="1">
      <alignment horizontal="right" vertical="center" wrapText="1"/>
    </xf>
    <xf numFmtId="1" fontId="115" fillId="0" borderId="31" xfId="0" applyNumberFormat="1" applyFont="1" applyBorder="1" applyAlignment="1">
      <alignment horizontal="right" vertical="center" wrapText="1"/>
    </xf>
    <xf numFmtId="1" fontId="121" fillId="0" borderId="31" xfId="0" applyNumberFormat="1" applyFont="1" applyBorder="1" applyAlignment="1">
      <alignment horizontal="right" vertical="center" wrapText="1"/>
    </xf>
    <xf numFmtId="9" fontId="87" fillId="20" borderId="31" xfId="3" applyFont="1" applyFill="1" applyBorder="1" applyAlignment="1">
      <alignment horizontal="right" vertical="center" wrapText="1"/>
    </xf>
    <xf numFmtId="9" fontId="86" fillId="20" borderId="31" xfId="2" applyNumberFormat="1" applyFont="1" applyFill="1" applyBorder="1" applyAlignment="1">
      <alignment horizontal="right" vertical="center" wrapText="1"/>
    </xf>
    <xf numFmtId="9" fontId="87" fillId="20" borderId="31" xfId="2" applyNumberFormat="1" applyFont="1" applyFill="1" applyBorder="1" applyAlignment="1">
      <alignment horizontal="right" vertical="center" wrapText="1"/>
    </xf>
    <xf numFmtId="9" fontId="115" fillId="2" borderId="31" xfId="2" applyNumberFormat="1" applyFont="1" applyFill="1" applyBorder="1" applyAlignment="1">
      <alignment horizontal="right" vertical="center" wrapText="1"/>
    </xf>
    <xf numFmtId="9" fontId="121" fillId="2" borderId="31" xfId="2" applyNumberFormat="1" applyFont="1" applyFill="1" applyBorder="1" applyAlignment="1">
      <alignment horizontal="right" vertical="center" wrapText="1"/>
    </xf>
    <xf numFmtId="0" fontId="174" fillId="0" borderId="31" xfId="1" applyFont="1" applyFill="1" applyBorder="1" applyAlignment="1">
      <alignment horizontal="right" vertical="center" wrapText="1"/>
    </xf>
    <xf numFmtId="0" fontId="175" fillId="0" borderId="42" xfId="1" applyFont="1" applyFill="1" applyBorder="1" applyAlignment="1">
      <alignment horizontal="right" vertical="center" wrapText="1"/>
    </xf>
    <xf numFmtId="0" fontId="165" fillId="0" borderId="53" xfId="1" applyFont="1" applyFill="1" applyBorder="1" applyAlignment="1">
      <alignment horizontal="right" vertical="center" wrapText="1"/>
    </xf>
    <xf numFmtId="0" fontId="102" fillId="4" borderId="0" xfId="0" applyFont="1" applyFill="1" applyAlignment="1">
      <alignment horizontal="left" vertical="top" wrapText="1" indent="1"/>
    </xf>
    <xf numFmtId="0" fontId="12" fillId="4" borderId="0" xfId="0" applyFont="1" applyFill="1" applyAlignment="1">
      <alignment horizontal="left" vertical="top" wrapText="1" indent="1"/>
    </xf>
    <xf numFmtId="0" fontId="7" fillId="36" borderId="0" xfId="0" applyFont="1" applyFill="1" applyAlignment="1">
      <alignment horizontal="left" vertical="top" wrapText="1"/>
    </xf>
    <xf numFmtId="0" fontId="50" fillId="36" borderId="0" xfId="0" applyFont="1" applyFill="1" applyAlignment="1">
      <alignment horizontal="left" vertical="center"/>
    </xf>
    <xf numFmtId="0" fontId="12" fillId="4" borderId="0" xfId="0" applyFont="1" applyFill="1" applyAlignment="1">
      <alignment horizontal="left" vertical="center" wrapText="1" indent="1"/>
    </xf>
    <xf numFmtId="0" fontId="12" fillId="4" borderId="0" xfId="0" applyFont="1" applyFill="1" applyAlignment="1">
      <alignment horizontal="left" vertical="top" wrapText="1"/>
    </xf>
    <xf numFmtId="0" fontId="169" fillId="4" borderId="0" xfId="0" applyFont="1" applyFill="1" applyAlignment="1">
      <alignment horizontal="left" vertical="top" wrapText="1" indent="1"/>
    </xf>
    <xf numFmtId="0" fontId="12" fillId="4" borderId="0" xfId="0" applyFont="1" applyFill="1" applyAlignment="1">
      <alignment horizontal="left" vertical="top" wrapText="1" indent="4"/>
    </xf>
    <xf numFmtId="0" fontId="11" fillId="4" borderId="0" xfId="0" applyFont="1" applyFill="1" applyAlignment="1">
      <alignment horizontal="left" vertical="top" wrapText="1" indent="4"/>
    </xf>
    <xf numFmtId="0" fontId="151" fillId="2" borderId="0" xfId="0" applyFont="1" applyFill="1" applyAlignment="1">
      <alignment horizontal="left" wrapText="1"/>
    </xf>
    <xf numFmtId="0" fontId="63" fillId="33" borderId="71" xfId="0" applyFont="1" applyFill="1" applyBorder="1" applyAlignment="1">
      <alignment horizontal="center" vertical="center"/>
    </xf>
    <xf numFmtId="0" fontId="63" fillId="33" borderId="72" xfId="0" applyFont="1" applyFill="1" applyBorder="1" applyAlignment="1">
      <alignment horizontal="center" vertical="center"/>
    </xf>
    <xf numFmtId="0" fontId="63" fillId="33" borderId="73" xfId="0" applyFont="1" applyFill="1" applyBorder="1" applyAlignment="1">
      <alignment horizontal="center" vertical="center"/>
    </xf>
    <xf numFmtId="0" fontId="63" fillId="37" borderId="71" xfId="0" applyFont="1" applyFill="1" applyBorder="1" applyAlignment="1">
      <alignment horizontal="center" vertical="center"/>
    </xf>
    <xf numFmtId="0" fontId="63" fillId="37" borderId="72" xfId="0" applyFont="1" applyFill="1" applyBorder="1" applyAlignment="1">
      <alignment horizontal="center" vertical="center"/>
    </xf>
    <xf numFmtId="0" fontId="63" fillId="37" borderId="73" xfId="0" applyFont="1" applyFill="1" applyBorder="1" applyAlignment="1">
      <alignment horizontal="center" vertical="center"/>
    </xf>
    <xf numFmtId="0" fontId="21" fillId="32" borderId="68" xfId="0" applyFont="1" applyFill="1" applyBorder="1" applyAlignment="1">
      <alignment horizontal="left" vertical="center" indent="1"/>
    </xf>
    <xf numFmtId="0" fontId="21" fillId="32" borderId="69" xfId="0" applyFont="1" applyFill="1" applyBorder="1" applyAlignment="1">
      <alignment horizontal="left" vertical="center" indent="1"/>
    </xf>
    <xf numFmtId="0" fontId="118" fillId="33" borderId="52" xfId="0" applyFont="1" applyFill="1" applyBorder="1" applyAlignment="1">
      <alignment horizontal="left" vertical="center" wrapText="1"/>
    </xf>
    <xf numFmtId="0" fontId="118" fillId="12" borderId="31" xfId="0" applyFont="1" applyFill="1" applyBorder="1" applyAlignment="1">
      <alignment horizontal="left" vertical="center" wrapText="1"/>
    </xf>
    <xf numFmtId="0" fontId="12" fillId="0" borderId="35" xfId="0" applyFont="1" applyBorder="1" applyAlignment="1">
      <alignment horizontal="left" vertical="center"/>
    </xf>
    <xf numFmtId="0" fontId="12" fillId="0" borderId="37" xfId="0" applyFont="1" applyBorder="1" applyAlignment="1">
      <alignment horizontal="left" vertical="center"/>
    </xf>
    <xf numFmtId="0" fontId="12" fillId="0" borderId="36" xfId="0" applyFont="1" applyBorder="1" applyAlignment="1">
      <alignment horizontal="left" vertical="center"/>
    </xf>
    <xf numFmtId="0" fontId="12" fillId="19" borderId="35" xfId="0" applyFont="1" applyFill="1" applyBorder="1" applyAlignment="1">
      <alignment horizontal="left" vertical="center" wrapText="1"/>
    </xf>
    <xf numFmtId="0" fontId="12" fillId="19" borderId="37" xfId="0" applyFont="1" applyFill="1" applyBorder="1" applyAlignment="1">
      <alignment horizontal="left" vertical="center" wrapText="1"/>
    </xf>
    <xf numFmtId="0" fontId="12" fillId="19" borderId="36" xfId="0" applyFont="1" applyFill="1" applyBorder="1" applyAlignment="1">
      <alignment horizontal="left" vertical="center" wrapText="1"/>
    </xf>
    <xf numFmtId="0" fontId="115" fillId="0" borderId="74" xfId="0" applyFont="1" applyBorder="1" applyAlignment="1">
      <alignment horizontal="left" vertical="center" wrapText="1"/>
    </xf>
    <xf numFmtId="0" fontId="115" fillId="0" borderId="74" xfId="0" applyFont="1" applyBorder="1" applyAlignment="1">
      <alignment vertical="center"/>
    </xf>
    <xf numFmtId="0" fontId="118" fillId="37" borderId="52" xfId="0" applyFont="1" applyFill="1" applyBorder="1" applyAlignment="1">
      <alignment horizontal="left" vertical="center" wrapText="1"/>
    </xf>
    <xf numFmtId="0" fontId="118" fillId="37" borderId="52" xfId="0" applyFont="1" applyFill="1" applyBorder="1" applyAlignment="1">
      <alignment horizontal="left" vertical="center"/>
    </xf>
    <xf numFmtId="0" fontId="80" fillId="32" borderId="55" xfId="0" applyFont="1" applyFill="1" applyBorder="1" applyAlignment="1">
      <alignment horizontal="center" vertical="center" wrapText="1"/>
    </xf>
    <xf numFmtId="0" fontId="118" fillId="33" borderId="62" xfId="0" applyFont="1" applyFill="1" applyBorder="1" applyAlignment="1">
      <alignment horizontal="left" vertical="center" wrapText="1"/>
    </xf>
    <xf numFmtId="0" fontId="118" fillId="32" borderId="52" xfId="0" applyFont="1" applyFill="1" applyBorder="1" applyAlignment="1">
      <alignment horizontal="left" vertical="center" wrapText="1"/>
    </xf>
    <xf numFmtId="0" fontId="13" fillId="0" borderId="31" xfId="0" applyFont="1" applyBorder="1" applyAlignment="1">
      <alignment horizontal="left" vertical="center" wrapText="1"/>
    </xf>
    <xf numFmtId="0" fontId="118" fillId="12" borderId="32" xfId="0" applyFont="1" applyFill="1" applyBorder="1" applyAlignment="1">
      <alignment horizontal="left" vertical="center" wrapText="1"/>
    </xf>
    <xf numFmtId="0" fontId="66" fillId="14" borderId="52" xfId="0" applyFont="1" applyFill="1" applyBorder="1" applyAlignment="1">
      <alignment horizontal="left" vertical="center" wrapText="1"/>
    </xf>
    <xf numFmtId="0" fontId="104" fillId="36" borderId="32" xfId="0" applyFont="1" applyFill="1" applyBorder="1" applyAlignment="1">
      <alignment horizontal="center" vertical="center" wrapText="1"/>
    </xf>
    <xf numFmtId="0" fontId="118" fillId="33" borderId="52" xfId="0" applyFont="1" applyFill="1" applyBorder="1" applyAlignment="1">
      <alignment horizontal="left" vertical="center"/>
    </xf>
    <xf numFmtId="0" fontId="12" fillId="0" borderId="56"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1" fillId="2" borderId="31" xfId="0" applyFont="1" applyFill="1" applyBorder="1" applyAlignment="1">
      <alignment horizontal="left" vertical="center"/>
    </xf>
    <xf numFmtId="0" fontId="12" fillId="2" borderId="31" xfId="0" applyFont="1" applyFill="1" applyBorder="1" applyAlignment="1">
      <alignment horizontal="right" vertical="center" wrapText="1"/>
    </xf>
    <xf numFmtId="0" fontId="12" fillId="0" borderId="31" xfId="0" applyFont="1" applyBorder="1" applyAlignment="1">
      <alignment horizontal="center" vertical="center"/>
    </xf>
    <xf numFmtId="0" fontId="121" fillId="12" borderId="31" xfId="0" applyFont="1" applyFill="1" applyBorder="1" applyAlignment="1">
      <alignment horizontal="left" vertical="center" wrapText="1"/>
    </xf>
    <xf numFmtId="0" fontId="121" fillId="12" borderId="32" xfId="0" applyFont="1" applyFill="1" applyBorder="1" applyAlignment="1">
      <alignment horizontal="left" vertical="center" wrapText="1"/>
    </xf>
    <xf numFmtId="0" fontId="121" fillId="12" borderId="53" xfId="0" applyFont="1" applyFill="1" applyBorder="1" applyAlignment="1">
      <alignment horizontal="left" vertical="center" wrapText="1"/>
    </xf>
    <xf numFmtId="0" fontId="117" fillId="12" borderId="41" xfId="0" applyFont="1" applyFill="1" applyBorder="1" applyAlignment="1">
      <alignment horizontal="left" vertical="center"/>
    </xf>
    <xf numFmtId="0" fontId="66" fillId="19" borderId="36" xfId="0" applyFont="1" applyFill="1" applyBorder="1" applyAlignment="1">
      <alignment horizontal="left" vertical="center" wrapText="1"/>
    </xf>
    <xf numFmtId="0" fontId="174" fillId="0" borderId="35" xfId="1" applyFont="1" applyFill="1" applyBorder="1" applyAlignment="1">
      <alignment horizontal="left" vertical="center"/>
    </xf>
    <xf numFmtId="0" fontId="174" fillId="0" borderId="37" xfId="1" applyFont="1" applyFill="1" applyBorder="1" applyAlignment="1">
      <alignment horizontal="left" vertical="center"/>
    </xf>
    <xf numFmtId="0" fontId="174" fillId="0" borderId="36" xfId="1" applyFont="1" applyFill="1" applyBorder="1" applyAlignment="1">
      <alignment horizontal="left" vertical="center"/>
    </xf>
    <xf numFmtId="0" fontId="66" fillId="14" borderId="36" xfId="0" applyFont="1" applyFill="1" applyBorder="1" applyAlignment="1">
      <alignment horizontal="left" vertical="center" wrapText="1"/>
    </xf>
    <xf numFmtId="0" fontId="66" fillId="14" borderId="31" xfId="0" applyFont="1" applyFill="1" applyBorder="1" applyAlignment="1">
      <alignment horizontal="left" vertical="center" wrapText="1"/>
    </xf>
    <xf numFmtId="0" fontId="118" fillId="12" borderId="36" xfId="0" applyFont="1" applyFill="1" applyBorder="1" applyAlignment="1">
      <alignment horizontal="left" vertical="center" wrapText="1"/>
    </xf>
    <xf numFmtId="0" fontId="118" fillId="12" borderId="53" xfId="0" applyFont="1" applyFill="1" applyBorder="1" applyAlignment="1">
      <alignment horizontal="left" vertical="center" wrapText="1"/>
    </xf>
    <xf numFmtId="0" fontId="12" fillId="0" borderId="32" xfId="0" applyFont="1" applyBorder="1" applyAlignment="1">
      <alignment horizontal="center" vertical="center"/>
    </xf>
    <xf numFmtId="0" fontId="12" fillId="0" borderId="35"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xf numFmtId="0" fontId="12" fillId="0" borderId="56" xfId="0" applyFont="1" applyBorder="1" applyAlignment="1">
      <alignment horizontal="left" vertical="center"/>
    </xf>
    <xf numFmtId="0" fontId="12" fillId="0" borderId="59" xfId="0" applyFont="1" applyBorder="1" applyAlignment="1">
      <alignment horizontal="left" vertical="center"/>
    </xf>
    <xf numFmtId="0" fontId="12" fillId="0" borderId="60" xfId="0" applyFont="1" applyBorder="1" applyAlignment="1">
      <alignment horizontal="left" vertical="center"/>
    </xf>
    <xf numFmtId="0" fontId="12" fillId="19" borderId="56" xfId="0" applyFont="1" applyFill="1" applyBorder="1" applyAlignment="1">
      <alignment horizontal="left" vertical="center"/>
    </xf>
    <xf numFmtId="0" fontId="12" fillId="19" borderId="59" xfId="0" applyFont="1" applyFill="1" applyBorder="1" applyAlignment="1">
      <alignment horizontal="left" vertical="center"/>
    </xf>
    <xf numFmtId="0" fontId="12" fillId="19" borderId="60" xfId="0" applyFont="1" applyFill="1" applyBorder="1" applyAlignment="1">
      <alignment horizontal="left" vertical="center"/>
    </xf>
    <xf numFmtId="0" fontId="12" fillId="0" borderId="31" xfId="0" applyFont="1" applyBorder="1" applyAlignment="1">
      <alignment horizontal="center" vertical="center" wrapText="1"/>
    </xf>
    <xf numFmtId="0" fontId="63" fillId="36" borderId="74" xfId="0" applyFont="1" applyFill="1" applyBorder="1" applyAlignment="1">
      <alignment horizontal="left" vertical="center" wrapText="1"/>
    </xf>
    <xf numFmtId="0" fontId="63" fillId="36" borderId="74" xfId="0" applyFont="1" applyFill="1" applyBorder="1" applyAlignment="1">
      <alignment horizontal="left" vertical="center"/>
    </xf>
    <xf numFmtId="0" fontId="60" fillId="2" borderId="0" xfId="0" applyFont="1" applyFill="1" applyAlignment="1">
      <alignment horizontal="left" vertical="center"/>
    </xf>
    <xf numFmtId="0" fontId="19" fillId="13" borderId="39" xfId="0" applyFont="1" applyFill="1" applyBorder="1" applyAlignment="1">
      <alignment horizontal="left" vertical="center"/>
    </xf>
    <xf numFmtId="0" fontId="66" fillId="19" borderId="41" xfId="0" applyFont="1" applyFill="1" applyBorder="1" applyAlignment="1">
      <alignment horizontal="left" vertical="center" wrapText="1"/>
    </xf>
    <xf numFmtId="0" fontId="66" fillId="19" borderId="33" xfId="0" applyFont="1" applyFill="1" applyBorder="1" applyAlignment="1">
      <alignment horizontal="left" vertical="center" wrapText="1"/>
    </xf>
    <xf numFmtId="0" fontId="114" fillId="2" borderId="0" xfId="0" applyFont="1" applyFill="1" applyAlignment="1">
      <alignment horizontal="left" vertical="center" wrapText="1"/>
    </xf>
    <xf numFmtId="0" fontId="116" fillId="2" borderId="0" xfId="0" applyFont="1" applyFill="1" applyAlignment="1">
      <alignment horizontal="center" vertical="center" wrapText="1"/>
    </xf>
    <xf numFmtId="0" fontId="116" fillId="2" borderId="0" xfId="0" applyFont="1" applyFill="1" applyAlignment="1">
      <alignment horizontal="left" vertical="center" wrapText="1"/>
    </xf>
    <xf numFmtId="0" fontId="13" fillId="0" borderId="35" xfId="0" applyFont="1" applyBorder="1" applyAlignment="1">
      <alignment horizontal="left" vertical="center" wrapText="1"/>
    </xf>
    <xf numFmtId="0" fontId="19" fillId="36" borderId="31" xfId="0" applyFont="1" applyFill="1" applyBorder="1" applyAlignment="1">
      <alignment horizontal="left" vertical="center" wrapText="1"/>
    </xf>
    <xf numFmtId="0" fontId="118" fillId="12" borderId="55" xfId="0" applyFont="1" applyFill="1" applyBorder="1" applyAlignment="1">
      <alignment horizontal="left" vertical="center" wrapText="1"/>
    </xf>
    <xf numFmtId="0" fontId="19" fillId="36" borderId="31" xfId="0" applyFont="1" applyFill="1" applyBorder="1" applyAlignment="1">
      <alignment horizontal="center" vertical="center" wrapText="1"/>
    </xf>
    <xf numFmtId="0" fontId="13" fillId="15" borderId="31" xfId="0" applyFont="1" applyFill="1" applyBorder="1" applyAlignment="1">
      <alignment horizontal="center" vertical="center"/>
    </xf>
    <xf numFmtId="0" fontId="13" fillId="15" borderId="52" xfId="0" applyFont="1" applyFill="1" applyBorder="1" applyAlignment="1">
      <alignment horizontal="center" vertical="center" wrapText="1"/>
    </xf>
    <xf numFmtId="0" fontId="12" fillId="15" borderId="61" xfId="0" applyFont="1" applyFill="1" applyBorder="1" applyAlignment="1">
      <alignment horizontal="center" vertical="center" wrapText="1"/>
    </xf>
    <xf numFmtId="0" fontId="121" fillId="12" borderId="55" xfId="0" applyFont="1" applyFill="1" applyBorder="1" applyAlignment="1">
      <alignment horizontal="left" vertical="center" wrapText="1"/>
    </xf>
    <xf numFmtId="0" fontId="65" fillId="0" borderId="31" xfId="0" applyFont="1" applyBorder="1" applyAlignment="1">
      <alignment horizontal="left" vertical="center" wrapText="1"/>
    </xf>
    <xf numFmtId="0" fontId="12" fillId="2" borderId="32" xfId="0" applyFont="1" applyFill="1" applyBorder="1" applyAlignment="1">
      <alignment horizontal="right" vertical="center" wrapText="1"/>
    </xf>
    <xf numFmtId="0" fontId="66" fillId="14" borderId="58" xfId="0" applyFont="1" applyFill="1" applyBorder="1" applyAlignment="1">
      <alignment horizontal="left" vertical="center" wrapText="1"/>
    </xf>
    <xf numFmtId="0" fontId="11" fillId="0" borderId="36" xfId="0" applyFont="1" applyBorder="1" applyAlignment="1">
      <alignment horizontal="left" vertical="center"/>
    </xf>
    <xf numFmtId="0" fontId="174" fillId="0" borderId="35" xfId="1" applyFont="1" applyFill="1" applyBorder="1" applyAlignment="1">
      <alignment horizontal="left" vertical="center" wrapText="1"/>
    </xf>
    <xf numFmtId="0" fontId="174" fillId="0" borderId="37" xfId="1" applyFont="1" applyFill="1" applyBorder="1" applyAlignment="1">
      <alignment horizontal="left" vertical="center" wrapText="1"/>
    </xf>
    <xf numFmtId="0" fontId="174" fillId="0" borderId="36" xfId="1" applyFont="1" applyFill="1" applyBorder="1" applyAlignment="1">
      <alignment horizontal="left" vertical="center" wrapText="1"/>
    </xf>
    <xf numFmtId="0" fontId="118" fillId="19" borderId="36" xfId="0" applyFont="1" applyFill="1" applyBorder="1" applyAlignment="1">
      <alignment horizontal="left" vertical="center" wrapText="1"/>
    </xf>
    <xf numFmtId="0" fontId="165" fillId="0" borderId="35" xfId="1" applyFont="1" applyFill="1" applyBorder="1" applyAlignment="1">
      <alignment horizontal="left" vertical="center"/>
    </xf>
    <xf numFmtId="0" fontId="165" fillId="0" borderId="37" xfId="1" applyFont="1" applyFill="1" applyBorder="1" applyAlignment="1">
      <alignment horizontal="left" vertical="center"/>
    </xf>
    <xf numFmtId="0" fontId="165" fillId="0" borderId="36" xfId="1" applyFont="1" applyFill="1" applyBorder="1" applyAlignment="1">
      <alignment horizontal="left" vertical="center"/>
    </xf>
    <xf numFmtId="0" fontId="27" fillId="2" borderId="0" xfId="0" applyFont="1" applyFill="1" applyAlignment="1">
      <alignment horizontal="left" vertical="center" wrapText="1"/>
    </xf>
    <xf numFmtId="0" fontId="66" fillId="0" borderId="49" xfId="0" applyFont="1" applyBorder="1" applyAlignment="1">
      <alignment horizontal="left" vertical="center" wrapText="1"/>
    </xf>
    <xf numFmtId="0" fontId="66" fillId="0" borderId="50" xfId="0" applyFont="1" applyBorder="1" applyAlignment="1">
      <alignment horizontal="left" vertical="center" wrapText="1"/>
    </xf>
    <xf numFmtId="0" fontId="149" fillId="0" borderId="0" xfId="0" applyFont="1" applyAlignment="1">
      <alignment horizontal="left" vertical="center"/>
    </xf>
    <xf numFmtId="0" fontId="66" fillId="2" borderId="49" xfId="0" applyFont="1" applyFill="1" applyBorder="1" applyAlignment="1">
      <alignment horizontal="left" vertical="center" wrapText="1"/>
    </xf>
    <xf numFmtId="0" fontId="66" fillId="2" borderId="50" xfId="0" applyFont="1" applyFill="1" applyBorder="1" applyAlignment="1">
      <alignment horizontal="left" vertical="center" wrapText="1"/>
    </xf>
    <xf numFmtId="0" fontId="66" fillId="0" borderId="7" xfId="0" applyFont="1" applyBorder="1" applyAlignment="1">
      <alignment horizontal="left" vertical="center" wrapText="1"/>
    </xf>
    <xf numFmtId="0" fontId="118" fillId="2" borderId="49" xfId="0" applyFont="1" applyFill="1" applyBorder="1" applyAlignment="1">
      <alignment horizontal="left" vertical="center" wrapText="1"/>
    </xf>
    <xf numFmtId="0" fontId="118" fillId="2" borderId="7" xfId="0" applyFont="1" applyFill="1" applyBorder="1" applyAlignment="1">
      <alignment horizontal="left" vertical="center"/>
    </xf>
    <xf numFmtId="0" fontId="118" fillId="2" borderId="50" xfId="0" applyFont="1" applyFill="1" applyBorder="1" applyAlignment="1">
      <alignment horizontal="left" vertical="center"/>
    </xf>
    <xf numFmtId="0" fontId="156" fillId="0" borderId="0" xfId="0" applyFont="1" applyAlignment="1">
      <alignment horizontal="left" vertical="top" wrapText="1"/>
    </xf>
    <xf numFmtId="0" fontId="66" fillId="4" borderId="52" xfId="0" applyFont="1" applyFill="1" applyBorder="1" applyAlignment="1">
      <alignment horizontal="left" vertical="center"/>
    </xf>
    <xf numFmtId="0" fontId="66" fillId="4" borderId="31" xfId="0" applyFont="1" applyFill="1" applyBorder="1" applyAlignment="1">
      <alignment horizontal="left" vertical="center"/>
    </xf>
    <xf numFmtId="0" fontId="66" fillId="4" borderId="53" xfId="0" applyFont="1" applyFill="1" applyBorder="1" applyAlignment="1">
      <alignment horizontal="left" vertical="center"/>
    </xf>
    <xf numFmtId="0" fontId="13" fillId="19" borderId="52" xfId="0" applyFont="1" applyFill="1" applyBorder="1" applyAlignment="1">
      <alignment horizontal="left" vertical="center" wrapText="1"/>
    </xf>
    <xf numFmtId="0" fontId="13" fillId="19" borderId="31" xfId="0" applyFont="1" applyFill="1" applyBorder="1" applyAlignment="1">
      <alignment horizontal="left" vertical="center" wrapText="1"/>
    </xf>
    <xf numFmtId="0" fontId="66" fillId="4" borderId="45" xfId="0" applyFont="1" applyFill="1" applyBorder="1" applyAlignment="1">
      <alignment horizontal="left" vertical="center" wrapText="1"/>
    </xf>
    <xf numFmtId="0" fontId="66" fillId="4" borderId="31" xfId="0" applyFont="1" applyFill="1" applyBorder="1" applyAlignment="1">
      <alignment horizontal="left" vertical="center" wrapText="1"/>
    </xf>
    <xf numFmtId="0" fontId="66" fillId="4" borderId="46"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54" fillId="4" borderId="36" xfId="0" applyFont="1" applyFill="1" applyBorder="1" applyAlignment="1">
      <alignment horizontal="right" vertical="center" wrapText="1"/>
    </xf>
    <xf numFmtId="0" fontId="13" fillId="2" borderId="52" xfId="0" applyFont="1" applyFill="1" applyBorder="1" applyAlignment="1">
      <alignment horizontal="left" vertical="center"/>
    </xf>
    <xf numFmtId="0" fontId="13" fillId="2" borderId="31" xfId="0" applyFont="1" applyFill="1" applyBorder="1" applyAlignment="1">
      <alignment horizontal="left" vertical="center"/>
    </xf>
    <xf numFmtId="0" fontId="172" fillId="2" borderId="32" xfId="1" applyFont="1" applyFill="1" applyBorder="1" applyAlignment="1">
      <alignment horizontal="right" vertical="center" wrapText="1"/>
    </xf>
    <xf numFmtId="0" fontId="172" fillId="2" borderId="33" xfId="1" applyFont="1" applyFill="1" applyBorder="1" applyAlignment="1">
      <alignment horizontal="right" vertical="center" wrapText="1"/>
    </xf>
    <xf numFmtId="0" fontId="166" fillId="0" borderId="0" xfId="0" applyFont="1" applyAlignment="1">
      <alignment horizontal="left" vertical="center" wrapText="1"/>
    </xf>
    <xf numFmtId="0" fontId="153" fillId="0" borderId="0" xfId="0" applyFont="1" applyAlignment="1">
      <alignment horizontal="left" vertical="center" wrapText="1"/>
    </xf>
    <xf numFmtId="0" fontId="7" fillId="10" borderId="35" xfId="0" applyFont="1" applyFill="1" applyBorder="1" applyAlignment="1">
      <alignment horizontal="center" vertical="center"/>
    </xf>
    <xf numFmtId="0" fontId="7" fillId="10" borderId="37" xfId="0" applyFont="1" applyFill="1" applyBorder="1" applyAlignment="1">
      <alignment horizontal="center" vertical="center"/>
    </xf>
    <xf numFmtId="0" fontId="7" fillId="10" borderId="36" xfId="0" applyFont="1" applyFill="1" applyBorder="1" applyAlignment="1">
      <alignment horizontal="center" vertical="center"/>
    </xf>
    <xf numFmtId="0" fontId="83" fillId="10" borderId="32" xfId="0" applyFont="1" applyFill="1" applyBorder="1" applyAlignment="1">
      <alignment horizontal="left" vertical="center"/>
    </xf>
    <xf numFmtId="0" fontId="83" fillId="10" borderId="33" xfId="0" applyFont="1" applyFill="1" applyBorder="1" applyAlignment="1">
      <alignment horizontal="left" vertical="center"/>
    </xf>
    <xf numFmtId="0" fontId="52" fillId="8" borderId="32" xfId="0" applyFont="1" applyFill="1" applyBorder="1" applyAlignment="1">
      <alignment horizontal="left" vertical="center"/>
    </xf>
    <xf numFmtId="0" fontId="52" fillId="8" borderId="33" xfId="0" applyFont="1" applyFill="1" applyBorder="1" applyAlignment="1">
      <alignment horizontal="left" vertical="center"/>
    </xf>
    <xf numFmtId="0" fontId="152" fillId="10" borderId="35" xfId="0" applyFont="1" applyFill="1" applyBorder="1" applyAlignment="1">
      <alignment horizontal="center" vertical="center" wrapText="1"/>
    </xf>
    <xf numFmtId="0" fontId="152" fillId="10" borderId="37" xfId="0" applyFont="1" applyFill="1" applyBorder="1" applyAlignment="1">
      <alignment horizontal="center" vertical="center" wrapText="1"/>
    </xf>
    <xf numFmtId="0" fontId="152" fillId="10" borderId="36" xfId="0" applyFont="1" applyFill="1" applyBorder="1" applyAlignment="1">
      <alignment horizontal="center" vertical="center" wrapText="1"/>
    </xf>
    <xf numFmtId="0" fontId="83" fillId="10" borderId="31" xfId="0" applyFont="1" applyFill="1" applyBorder="1" applyAlignment="1">
      <alignment horizontal="left" vertical="center"/>
    </xf>
    <xf numFmtId="0" fontId="52" fillId="10" borderId="31" xfId="0" applyFont="1" applyFill="1" applyBorder="1" applyAlignment="1">
      <alignment horizontal="left" vertical="center" wrapText="1"/>
    </xf>
    <xf numFmtId="0" fontId="169" fillId="0" borderId="0" xfId="0" applyFont="1" applyAlignment="1">
      <alignment horizontal="left" wrapText="1"/>
    </xf>
    <xf numFmtId="0" fontId="149" fillId="5" borderId="0" xfId="0" applyFont="1" applyFill="1" applyAlignment="1">
      <alignment horizontal="left"/>
    </xf>
    <xf numFmtId="0" fontId="52" fillId="22" borderId="10" xfId="0" applyFont="1" applyFill="1" applyBorder="1" applyAlignment="1">
      <alignment horizontal="center" vertical="center" wrapText="1"/>
    </xf>
    <xf numFmtId="0" fontId="52" fillId="22" borderId="11" xfId="0" applyFont="1" applyFill="1" applyBorder="1" applyAlignment="1">
      <alignment horizontal="center" vertical="center" wrapText="1"/>
    </xf>
    <xf numFmtId="0" fontId="52" fillId="22" borderId="12" xfId="0" applyFont="1" applyFill="1" applyBorder="1" applyAlignment="1">
      <alignment horizontal="center" vertical="center" wrapText="1"/>
    </xf>
    <xf numFmtId="0" fontId="81" fillId="22" borderId="10" xfId="0" applyFont="1" applyFill="1" applyBorder="1" applyAlignment="1">
      <alignment horizontal="center" vertical="center"/>
    </xf>
    <xf numFmtId="0" fontId="81" fillId="22" borderId="11" xfId="0" applyFont="1" applyFill="1" applyBorder="1" applyAlignment="1">
      <alignment horizontal="center" vertical="center"/>
    </xf>
    <xf numFmtId="0" fontId="81" fillId="22" borderId="12" xfId="0" applyFont="1" applyFill="1" applyBorder="1" applyAlignment="1">
      <alignment horizontal="center" vertical="center"/>
    </xf>
    <xf numFmtId="0" fontId="81" fillId="22" borderId="7" xfId="0" applyFont="1" applyFill="1" applyBorder="1" applyAlignment="1">
      <alignment horizontal="center" vertical="center"/>
    </xf>
    <xf numFmtId="0" fontId="37" fillId="5" borderId="0" xfId="0" applyFont="1" applyFill="1" applyAlignment="1">
      <alignment vertical="top" wrapText="1"/>
    </xf>
    <xf numFmtId="0" fontId="52" fillId="10" borderId="7" xfId="0" applyFont="1" applyFill="1" applyBorder="1" applyAlignment="1">
      <alignment horizontal="center" vertical="center" wrapText="1"/>
    </xf>
    <xf numFmtId="0" fontId="43" fillId="6" borderId="0" xfId="0" applyFont="1" applyFill="1" applyAlignment="1">
      <alignment horizontal="center" vertical="center"/>
    </xf>
    <xf numFmtId="0" fontId="43" fillId="6" borderId="0" xfId="0" applyFont="1" applyFill="1" applyAlignment="1">
      <alignment horizontal="center"/>
    </xf>
    <xf numFmtId="0" fontId="81" fillId="10" borderId="7" xfId="0" applyFont="1" applyFill="1" applyBorder="1" applyAlignment="1">
      <alignment horizontal="center" vertical="center"/>
    </xf>
    <xf numFmtId="0" fontId="56" fillId="2" borderId="0" xfId="0" applyFont="1" applyFill="1" applyAlignment="1">
      <alignment horizontal="left" vertical="center" wrapText="1" indent="1"/>
    </xf>
    <xf numFmtId="0" fontId="60" fillId="5" borderId="0" xfId="0" applyFont="1" applyFill="1" applyAlignment="1">
      <alignment horizontal="left" vertical="center"/>
    </xf>
    <xf numFmtId="0" fontId="83" fillId="10" borderId="7" xfId="0" applyFont="1" applyFill="1" applyBorder="1" applyAlignment="1">
      <alignment horizontal="left" vertical="center"/>
    </xf>
    <xf numFmtId="0" fontId="52" fillId="10" borderId="7" xfId="0" applyFont="1" applyFill="1" applyBorder="1" applyAlignment="1">
      <alignment horizontal="left" vertical="center" wrapText="1"/>
    </xf>
    <xf numFmtId="0" fontId="52" fillId="10" borderId="8" xfId="0" applyFont="1" applyFill="1" applyBorder="1" applyAlignment="1">
      <alignment horizontal="center" vertical="center"/>
    </xf>
    <xf numFmtId="0" fontId="52" fillId="10" borderId="9" xfId="0" applyFont="1" applyFill="1" applyBorder="1" applyAlignment="1">
      <alignment horizontal="center" vertical="center"/>
    </xf>
    <xf numFmtId="0" fontId="130" fillId="5" borderId="0" xfId="0" applyFont="1" applyFill="1" applyAlignment="1">
      <alignment horizontal="left" vertical="center" wrapText="1"/>
    </xf>
    <xf numFmtId="0" fontId="43" fillId="38" borderId="0" xfId="0" applyFont="1" applyFill="1" applyAlignment="1">
      <alignment horizontal="center" vertical="center"/>
    </xf>
    <xf numFmtId="166" fontId="115" fillId="2" borderId="31" xfId="2" applyNumberFormat="1" applyFont="1" applyFill="1" applyBorder="1" applyAlignment="1">
      <alignment horizontal="right" vertical="center" wrapText="1"/>
    </xf>
    <xf numFmtId="0" fontId="16" fillId="36" borderId="31" xfId="0" applyFont="1" applyFill="1" applyBorder="1" applyAlignment="1">
      <alignment horizontal="center" vertical="center" wrapText="1"/>
    </xf>
    <xf numFmtId="9" fontId="115" fillId="2" borderId="31" xfId="2" applyNumberFormat="1" applyFont="1" applyFill="1" applyBorder="1" applyAlignment="1">
      <alignment horizontal="center" vertical="center" wrapText="1"/>
    </xf>
    <xf numFmtId="0" fontId="25" fillId="36" borderId="31" xfId="0" applyFont="1" applyFill="1" applyBorder="1" applyAlignment="1">
      <alignment horizontal="center" vertical="center" wrapText="1"/>
    </xf>
    <xf numFmtId="0" fontId="16" fillId="36" borderId="85" xfId="0" applyFont="1" applyFill="1" applyBorder="1" applyAlignment="1">
      <alignment horizontal="center" vertical="center" wrapText="1"/>
    </xf>
    <xf numFmtId="0" fontId="16" fillId="36" borderId="41" xfId="0" applyFont="1" applyFill="1" applyBorder="1" applyAlignment="1">
      <alignment horizontal="center" vertical="center" wrapText="1"/>
    </xf>
    <xf numFmtId="0" fontId="16" fillId="36" borderId="35" xfId="0" applyFont="1" applyFill="1" applyBorder="1" applyAlignment="1">
      <alignment horizontal="center" vertical="center" wrapText="1"/>
    </xf>
    <xf numFmtId="0" fontId="16" fillId="36" borderId="36" xfId="0" applyFont="1" applyFill="1" applyBorder="1" applyAlignment="1">
      <alignment horizontal="center" vertical="center" wrapText="1"/>
    </xf>
    <xf numFmtId="0" fontId="8" fillId="2" borderId="0" xfId="0" applyFont="1" applyFill="1" applyAlignment="1">
      <alignment horizontal="center" wrapText="1"/>
    </xf>
    <xf numFmtId="0" fontId="58" fillId="44" borderId="31" xfId="0" applyFont="1" applyFill="1" applyBorder="1" applyAlignment="1">
      <alignment horizontal="left" vertical="center" wrapText="1"/>
    </xf>
    <xf numFmtId="0" fontId="58" fillId="26" borderId="31" xfId="0" applyFont="1" applyFill="1" applyBorder="1" applyAlignment="1">
      <alignment horizontal="left" vertical="center" wrapText="1"/>
    </xf>
    <xf numFmtId="0" fontId="16" fillId="26" borderId="31" xfId="0" applyFont="1" applyFill="1" applyBorder="1" applyAlignment="1">
      <alignment horizontal="center" vertical="center" wrapText="1"/>
    </xf>
    <xf numFmtId="0" fontId="43" fillId="38" borderId="31" xfId="0" applyFont="1" applyFill="1" applyBorder="1" applyAlignment="1">
      <alignment horizontal="center" vertical="center" wrapText="1"/>
    </xf>
    <xf numFmtId="0" fontId="16" fillId="26" borderId="35" xfId="0" applyFont="1" applyFill="1" applyBorder="1" applyAlignment="1">
      <alignment horizontal="center" vertical="center"/>
    </xf>
    <xf numFmtId="0" fontId="16" fillId="26" borderId="36" xfId="0" applyFont="1" applyFill="1" applyBorder="1" applyAlignment="1">
      <alignment horizontal="center" vertical="center"/>
    </xf>
    <xf numFmtId="0" fontId="86" fillId="39" borderId="31" xfId="0" applyFont="1" applyFill="1" applyBorder="1" applyAlignment="1">
      <alignment horizontal="center" vertical="center" wrapText="1"/>
    </xf>
    <xf numFmtId="9" fontId="121" fillId="2" borderId="31" xfId="2" applyNumberFormat="1" applyFont="1" applyFill="1" applyBorder="1" applyAlignment="1">
      <alignment horizontal="center" vertical="center" wrapText="1"/>
    </xf>
    <xf numFmtId="166" fontId="115" fillId="0" borderId="31" xfId="2" applyNumberFormat="1" applyFont="1" applyBorder="1" applyAlignment="1">
      <alignment horizontal="right" vertical="center" wrapText="1"/>
    </xf>
    <xf numFmtId="166" fontId="114" fillId="0" borderId="31" xfId="2" applyNumberFormat="1" applyFont="1" applyBorder="1" applyAlignment="1">
      <alignment horizontal="center" vertical="center" wrapText="1"/>
    </xf>
    <xf numFmtId="9" fontId="25" fillId="2" borderId="0" xfId="0" applyNumberFormat="1" applyFont="1" applyFill="1" applyAlignment="1">
      <alignment horizontal="center" vertical="center" wrapText="1"/>
    </xf>
    <xf numFmtId="0" fontId="25" fillId="2" borderId="0" xfId="0" applyFont="1" applyFill="1" applyAlignment="1">
      <alignment horizontal="center" vertical="center" wrapText="1"/>
    </xf>
    <xf numFmtId="0" fontId="58" fillId="36" borderId="32" xfId="0" applyFont="1" applyFill="1" applyBorder="1" applyAlignment="1">
      <alignment horizontal="left" vertical="center"/>
    </xf>
    <xf numFmtId="0" fontId="58" fillId="36" borderId="33" xfId="0" applyFont="1" applyFill="1" applyBorder="1" applyAlignment="1">
      <alignment horizontal="left" vertical="center"/>
    </xf>
    <xf numFmtId="9" fontId="114" fillId="42" borderId="32" xfId="3" applyFont="1" applyFill="1" applyBorder="1" applyAlignment="1">
      <alignment horizontal="center" vertical="center"/>
    </xf>
    <xf numFmtId="9" fontId="114" fillId="42" borderId="34" xfId="3" applyFont="1" applyFill="1" applyBorder="1" applyAlignment="1">
      <alignment horizontal="center" vertical="center"/>
    </xf>
    <xf numFmtId="9" fontId="114" fillId="42" borderId="33" xfId="3" applyFont="1" applyFill="1" applyBorder="1" applyAlignment="1">
      <alignment horizontal="center" vertical="center"/>
    </xf>
    <xf numFmtId="168" fontId="115" fillId="2" borderId="40" xfId="2" applyNumberFormat="1" applyFont="1" applyFill="1" applyBorder="1" applyAlignment="1">
      <alignment horizontal="center" vertical="center" wrapText="1"/>
    </xf>
    <xf numFmtId="168" fontId="115" fillId="2" borderId="41" xfId="2" applyNumberFormat="1" applyFont="1" applyFill="1" applyBorder="1" applyAlignment="1">
      <alignment horizontal="center" vertical="center" wrapText="1"/>
    </xf>
    <xf numFmtId="0" fontId="13" fillId="2" borderId="0" xfId="0" applyFont="1" applyFill="1" applyAlignment="1">
      <alignment horizontal="left" vertical="top" wrapText="1"/>
    </xf>
    <xf numFmtId="0" fontId="167" fillId="2" borderId="0" xfId="0" applyFont="1" applyFill="1" applyAlignment="1">
      <alignment horizontal="left" vertical="center" wrapText="1"/>
    </xf>
    <xf numFmtId="169" fontId="105" fillId="36" borderId="31" xfId="0" applyNumberFormat="1" applyFont="1" applyFill="1" applyBorder="1" applyAlignment="1">
      <alignment horizontal="center" vertical="center" wrapText="1"/>
    </xf>
    <xf numFmtId="169" fontId="104" fillId="36" borderId="31" xfId="0" applyNumberFormat="1" applyFont="1" applyFill="1" applyBorder="1" applyAlignment="1">
      <alignment horizontal="left" vertical="center"/>
    </xf>
    <xf numFmtId="169" fontId="104" fillId="36" borderId="31" xfId="0" applyNumberFormat="1" applyFont="1" applyFill="1" applyBorder="1" applyAlignment="1">
      <alignment horizontal="center" vertical="center" wrapText="1"/>
    </xf>
    <xf numFmtId="0" fontId="65" fillId="2" borderId="0" xfId="0" applyFont="1" applyFill="1" applyAlignment="1">
      <alignment horizontal="center" vertical="top"/>
    </xf>
    <xf numFmtId="0" fontId="60" fillId="5" borderId="0" xfId="0" applyFont="1" applyFill="1" applyAlignment="1">
      <alignment horizontal="left" vertical="center" wrapText="1"/>
    </xf>
    <xf numFmtId="0" fontId="57" fillId="36" borderId="6" xfId="0" applyFont="1" applyFill="1" applyBorder="1" applyAlignment="1">
      <alignment horizontal="left" vertical="center"/>
    </xf>
    <xf numFmtId="0" fontId="63" fillId="36" borderId="6" xfId="0" applyFont="1" applyFill="1" applyBorder="1" applyAlignment="1">
      <alignment horizontal="left" vertical="center"/>
    </xf>
    <xf numFmtId="0" fontId="81" fillId="2" borderId="0" xfId="0" applyFont="1" applyFill="1" applyAlignment="1">
      <alignment horizontal="left" vertical="center" wrapText="1"/>
    </xf>
    <xf numFmtId="0" fontId="114" fillId="2" borderId="29" xfId="0" applyFont="1" applyFill="1" applyBorder="1" applyAlignment="1">
      <alignment horizontal="left" vertical="center" wrapText="1"/>
    </xf>
    <xf numFmtId="0" fontId="136" fillId="38" borderId="76" xfId="0" applyFont="1" applyFill="1" applyBorder="1"/>
    <xf numFmtId="0" fontId="136" fillId="38" borderId="77" xfId="0" applyFont="1" applyFill="1" applyBorder="1"/>
    <xf numFmtId="0" fontId="60" fillId="5" borderId="0" xfId="0" applyFont="1" applyFill="1" applyAlignment="1">
      <alignment horizontal="left" wrapText="1"/>
    </xf>
    <xf numFmtId="0" fontId="60" fillId="5" borderId="0" xfId="0" applyFont="1" applyFill="1" applyAlignment="1">
      <alignment horizontal="left"/>
    </xf>
    <xf numFmtId="0" fontId="167" fillId="2" borderId="0" xfId="0" applyFont="1" applyFill="1" applyAlignment="1">
      <alignment horizontal="left" vertical="top" wrapText="1"/>
    </xf>
    <xf numFmtId="0" fontId="143" fillId="0" borderId="32" xfId="0" applyFont="1" applyBorder="1" applyAlignment="1">
      <alignment horizontal="center" vertical="center" wrapText="1"/>
    </xf>
    <xf numFmtId="0" fontId="143" fillId="0" borderId="34" xfId="0" applyFont="1" applyBorder="1" applyAlignment="1">
      <alignment horizontal="center" vertical="center" wrapText="1"/>
    </xf>
    <xf numFmtId="0" fontId="143" fillId="0" borderId="33" xfId="0" applyFont="1" applyBorder="1" applyAlignment="1">
      <alignment horizontal="center" vertical="center" wrapText="1"/>
    </xf>
    <xf numFmtId="0" fontId="114" fillId="0" borderId="32" xfId="0" applyFont="1" applyBorder="1" applyAlignment="1">
      <alignment horizontal="left" vertical="center" wrapText="1"/>
    </xf>
    <xf numFmtId="0" fontId="114" fillId="0" borderId="34" xfId="0" applyFont="1" applyBorder="1" applyAlignment="1">
      <alignment horizontal="left" vertical="center" wrapText="1"/>
    </xf>
    <xf numFmtId="0" fontId="114" fillId="0" borderId="33" xfId="0" applyFont="1" applyBorder="1" applyAlignment="1">
      <alignment horizontal="left" vertical="center" wrapText="1"/>
    </xf>
    <xf numFmtId="0" fontId="169" fillId="2" borderId="0" xfId="0" applyFont="1" applyFill="1" applyAlignment="1">
      <alignment horizontal="left" vertical="top" wrapText="1"/>
    </xf>
    <xf numFmtId="0" fontId="89" fillId="5" borderId="0" xfId="0" applyFont="1" applyFill="1" applyAlignment="1">
      <alignment horizontal="left" vertical="center"/>
    </xf>
    <xf numFmtId="0" fontId="86" fillId="5" borderId="0" xfId="0" applyFont="1" applyFill="1" applyAlignment="1">
      <alignment vertical="center" wrapText="1"/>
    </xf>
    <xf numFmtId="0" fontId="37" fillId="5" borderId="0" xfId="0" applyFont="1" applyFill="1" applyAlignment="1">
      <alignment vertical="center" wrapText="1"/>
    </xf>
    <xf numFmtId="0" fontId="52" fillId="22" borderId="7" xfId="0" applyFont="1" applyFill="1" applyBorder="1" applyAlignment="1">
      <alignment horizontal="center" vertical="center" wrapText="1"/>
    </xf>
    <xf numFmtId="0" fontId="58" fillId="26" borderId="27" xfId="0" applyFont="1" applyFill="1" applyBorder="1" applyAlignment="1">
      <alignment horizontal="left" vertical="center" wrapText="1"/>
    </xf>
    <xf numFmtId="0" fontId="58" fillId="26" borderId="28" xfId="0" applyFont="1" applyFill="1" applyBorder="1" applyAlignment="1">
      <alignment horizontal="left" vertical="center" wrapText="1"/>
    </xf>
    <xf numFmtId="0" fontId="25" fillId="26" borderId="27" xfId="0" applyFont="1" applyFill="1" applyBorder="1" applyAlignment="1">
      <alignment horizontal="center" vertical="center"/>
    </xf>
    <xf numFmtId="0" fontId="25" fillId="26" borderId="28" xfId="0" applyFont="1" applyFill="1" applyBorder="1" applyAlignment="1">
      <alignment horizontal="center" vertical="center"/>
    </xf>
    <xf numFmtId="0" fontId="25" fillId="26" borderId="10" xfId="0" applyFont="1" applyFill="1" applyBorder="1" applyAlignment="1">
      <alignment horizontal="center" vertical="center"/>
    </xf>
    <xf numFmtId="0" fontId="25" fillId="26" borderId="12" xfId="0" applyFont="1" applyFill="1" applyBorder="1" applyAlignment="1">
      <alignment horizontal="center" vertical="center"/>
    </xf>
    <xf numFmtId="0" fontId="25" fillId="26" borderId="13" xfId="0" applyFont="1" applyFill="1" applyBorder="1" applyAlignment="1">
      <alignment horizontal="center" vertical="center"/>
    </xf>
    <xf numFmtId="0" fontId="99" fillId="0" borderId="16" xfId="0" applyFont="1" applyBorder="1" applyAlignment="1">
      <alignment vertical="center" wrapText="1"/>
    </xf>
    <xf numFmtId="0" fontId="65" fillId="0" borderId="16" xfId="0" applyFont="1" applyBorder="1" applyAlignment="1">
      <alignment vertical="center" wrapText="1"/>
    </xf>
    <xf numFmtId="0" fontId="16" fillId="19" borderId="8" xfId="0" applyFont="1" applyFill="1" applyBorder="1" applyAlignment="1">
      <alignment horizontal="center" vertical="center" wrapText="1"/>
    </xf>
    <xf numFmtId="0" fontId="10" fillId="19" borderId="8" xfId="0" applyFont="1" applyFill="1" applyBorder="1" applyAlignment="1">
      <alignment horizontal="center" vertical="center" wrapText="1"/>
    </xf>
    <xf numFmtId="0" fontId="8" fillId="31" borderId="0" xfId="0" applyFont="1" applyFill="1" applyAlignment="1">
      <alignment horizontal="center" wrapText="1"/>
    </xf>
    <xf numFmtId="0" fontId="12" fillId="19" borderId="26" xfId="0" applyFont="1" applyFill="1" applyBorder="1" applyAlignment="1">
      <alignment horizontal="left" vertical="center" wrapText="1"/>
    </xf>
    <xf numFmtId="0" fontId="12" fillId="19" borderId="30" xfId="0" applyFont="1" applyFill="1" applyBorder="1" applyAlignment="1">
      <alignment horizontal="left" vertical="center" wrapText="1"/>
    </xf>
    <xf numFmtId="0" fontId="12" fillId="19" borderId="22" xfId="0" applyFont="1" applyFill="1" applyBorder="1" applyAlignment="1">
      <alignment horizontal="left" vertical="center" wrapText="1"/>
    </xf>
    <xf numFmtId="0" fontId="13" fillId="2" borderId="16" xfId="0" applyFont="1" applyFill="1" applyBorder="1" applyAlignment="1">
      <alignment horizontal="left" vertical="center" wrapText="1"/>
    </xf>
    <xf numFmtId="166" fontId="6" fillId="19" borderId="16" xfId="2" applyNumberFormat="1" applyFont="1" applyFill="1" applyBorder="1" applyAlignment="1">
      <alignment horizontal="center" vertical="center"/>
    </xf>
    <xf numFmtId="9" fontId="6" fillId="19" borderId="17" xfId="3" applyFont="1" applyFill="1" applyBorder="1" applyAlignment="1">
      <alignment horizontal="center" vertical="center"/>
    </xf>
    <xf numFmtId="9" fontId="6" fillId="19" borderId="18" xfId="3" applyFont="1" applyFill="1" applyBorder="1" applyAlignment="1">
      <alignment horizontal="center" vertical="center"/>
    </xf>
    <xf numFmtId="166" fontId="6" fillId="19" borderId="17" xfId="2" applyNumberFormat="1" applyFont="1" applyFill="1" applyBorder="1" applyAlignment="1">
      <alignment horizontal="center" vertical="center"/>
    </xf>
    <xf numFmtId="166" fontId="6" fillId="19" borderId="18" xfId="2" applyNumberFormat="1" applyFont="1" applyFill="1" applyBorder="1" applyAlignment="1">
      <alignment horizontal="center" vertical="center"/>
    </xf>
    <xf numFmtId="0" fontId="16" fillId="26" borderId="23" xfId="0" applyFont="1" applyFill="1" applyBorder="1" applyAlignment="1">
      <alignment horizontal="center" vertical="center" wrapText="1"/>
    </xf>
    <xf numFmtId="0" fontId="16" fillId="26" borderId="24" xfId="0" applyFont="1" applyFill="1" applyBorder="1" applyAlignment="1">
      <alignment horizontal="center" vertical="center" wrapText="1"/>
    </xf>
    <xf numFmtId="0" fontId="16" fillId="26" borderId="25" xfId="0" applyFont="1" applyFill="1" applyBorder="1" applyAlignment="1">
      <alignment horizontal="center" vertical="center" wrapText="1"/>
    </xf>
    <xf numFmtId="166" fontId="8" fillId="0" borderId="7" xfId="2" applyNumberFormat="1" applyFont="1" applyBorder="1" applyAlignment="1">
      <alignment horizontal="center" vertical="center" wrapText="1"/>
    </xf>
    <xf numFmtId="0" fontId="58" fillId="26" borderId="7" xfId="0" applyFont="1" applyFill="1" applyBorder="1" applyAlignment="1">
      <alignment horizontal="left" vertical="center" wrapText="1"/>
    </xf>
    <xf numFmtId="0" fontId="58" fillId="26" borderId="8" xfId="0" applyFont="1" applyFill="1" applyBorder="1" applyAlignment="1">
      <alignment horizontal="left" vertical="center" wrapText="1"/>
    </xf>
    <xf numFmtId="0" fontId="25" fillId="26" borderId="7" xfId="0" applyFont="1" applyFill="1" applyBorder="1" applyAlignment="1">
      <alignment horizontal="center" vertical="center" wrapText="1"/>
    </xf>
    <xf numFmtId="0" fontId="25" fillId="26" borderId="8" xfId="0" applyFont="1" applyFill="1" applyBorder="1" applyAlignment="1">
      <alignment horizontal="center" vertical="center" wrapText="1"/>
    </xf>
    <xf numFmtId="0" fontId="25" fillId="26" borderId="19" xfId="0" applyFont="1" applyFill="1" applyBorder="1" applyAlignment="1">
      <alignment horizontal="center" vertical="center" wrapText="1"/>
    </xf>
    <xf numFmtId="0" fontId="25" fillId="26" borderId="0" xfId="0" applyFont="1" applyFill="1" applyAlignment="1">
      <alignment horizontal="center" vertical="center" wrapText="1"/>
    </xf>
    <xf numFmtId="0" fontId="25" fillId="26" borderId="20" xfId="0" applyFont="1" applyFill="1" applyBorder="1" applyAlignment="1">
      <alignment horizontal="center" vertical="center" wrapText="1"/>
    </xf>
    <xf numFmtId="0" fontId="25" fillId="26" borderId="10"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0" xfId="0" applyFont="1" applyFill="1" applyBorder="1" applyAlignment="1">
      <alignment horizontal="center" vertical="center" wrapText="1"/>
    </xf>
    <xf numFmtId="0" fontId="12" fillId="2" borderId="7" xfId="0" applyFont="1" applyFill="1" applyBorder="1" applyAlignment="1">
      <alignment horizontal="left" vertical="center" wrapText="1"/>
    </xf>
    <xf numFmtId="166" fontId="8" fillId="17" borderId="8" xfId="2" applyNumberFormat="1" applyFont="1" applyFill="1" applyBorder="1" applyAlignment="1">
      <alignment horizontal="center" vertical="center" wrapText="1"/>
    </xf>
    <xf numFmtId="166" fontId="8" fillId="17" borderId="9" xfId="2" applyNumberFormat="1" applyFont="1" applyFill="1" applyBorder="1" applyAlignment="1">
      <alignment horizontal="center" vertical="center" wrapText="1"/>
    </xf>
    <xf numFmtId="0" fontId="13" fillId="18" borderId="2" xfId="0" applyFont="1" applyFill="1" applyBorder="1" applyAlignment="1">
      <alignment vertical="center" wrapText="1"/>
    </xf>
    <xf numFmtId="0" fontId="8" fillId="2" borderId="0" xfId="0" applyFont="1" applyFill="1" applyAlignment="1">
      <alignment horizontal="center" vertical="center" wrapText="1"/>
    </xf>
    <xf numFmtId="0" fontId="13" fillId="2" borderId="7" xfId="0" applyFont="1" applyFill="1" applyBorder="1" applyAlignment="1">
      <alignment vertical="center" wrapText="1"/>
    </xf>
    <xf numFmtId="0" fontId="65" fillId="0" borderId="7" xfId="0" applyFont="1" applyBorder="1" applyAlignment="1">
      <alignment horizontal="left" vertical="center" wrapText="1"/>
    </xf>
    <xf numFmtId="166" fontId="6" fillId="27" borderId="10" xfId="2" applyNumberFormat="1" applyFont="1" applyFill="1" applyBorder="1" applyAlignment="1">
      <alignment horizontal="center" vertical="center" wrapText="1"/>
    </xf>
    <xf numFmtId="166" fontId="6" fillId="27" borderId="11" xfId="2" applyNumberFormat="1" applyFont="1" applyFill="1" applyBorder="1" applyAlignment="1">
      <alignment horizontal="center" vertical="center" wrapText="1"/>
    </xf>
    <xf numFmtId="166" fontId="6" fillId="27" borderId="12" xfId="2" applyNumberFormat="1" applyFont="1" applyFill="1" applyBorder="1" applyAlignment="1">
      <alignment horizontal="center" vertical="center" wrapText="1"/>
    </xf>
    <xf numFmtId="164" fontId="6" fillId="17" borderId="10" xfId="2" applyNumberFormat="1" applyFont="1" applyFill="1" applyBorder="1" applyAlignment="1">
      <alignment horizontal="center" vertical="center" wrapText="1"/>
    </xf>
    <xf numFmtId="164" fontId="6" fillId="17" borderId="11" xfId="2" applyNumberFormat="1" applyFont="1" applyFill="1" applyBorder="1" applyAlignment="1">
      <alignment horizontal="center" vertical="center" wrapText="1"/>
    </xf>
    <xf numFmtId="164" fontId="6" fillId="17" borderId="12" xfId="2" applyNumberFormat="1" applyFont="1" applyFill="1" applyBorder="1" applyAlignment="1">
      <alignment horizontal="center" vertical="center" wrapText="1"/>
    </xf>
    <xf numFmtId="164" fontId="6" fillId="27" borderId="10" xfId="2" applyNumberFormat="1" applyFont="1" applyFill="1" applyBorder="1" applyAlignment="1">
      <alignment horizontal="center" vertical="center" wrapText="1"/>
    </xf>
    <xf numFmtId="164" fontId="6" fillId="27" borderId="11" xfId="2" applyNumberFormat="1" applyFont="1" applyFill="1" applyBorder="1" applyAlignment="1">
      <alignment horizontal="center" vertical="center" wrapText="1"/>
    </xf>
    <xf numFmtId="164" fontId="6" fillId="27" borderId="12" xfId="2" applyNumberFormat="1" applyFont="1" applyFill="1" applyBorder="1" applyAlignment="1">
      <alignment horizontal="center" vertical="center" wrapText="1"/>
    </xf>
    <xf numFmtId="164" fontId="6" fillId="27" borderId="10" xfId="3" applyNumberFormat="1" applyFont="1" applyFill="1" applyBorder="1" applyAlignment="1">
      <alignment horizontal="center" vertical="center" wrapText="1"/>
    </xf>
    <xf numFmtId="164" fontId="6" fillId="27" borderId="11" xfId="3" applyNumberFormat="1" applyFont="1" applyFill="1" applyBorder="1" applyAlignment="1">
      <alignment horizontal="center" vertical="center" wrapText="1"/>
    </xf>
    <xf numFmtId="164" fontId="6" fillId="27" borderId="12" xfId="3" applyNumberFormat="1"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164" fontId="6" fillId="2" borderId="10" xfId="2" applyNumberFormat="1" applyFont="1" applyFill="1" applyBorder="1" applyAlignment="1">
      <alignment horizontal="center" vertical="center" wrapText="1"/>
    </xf>
    <xf numFmtId="164" fontId="6" fillId="2" borderId="11" xfId="2" applyNumberFormat="1" applyFont="1" applyFill="1" applyBorder="1" applyAlignment="1">
      <alignment horizontal="center" vertical="center" wrapText="1"/>
    </xf>
    <xf numFmtId="164" fontId="6" fillId="2" borderId="12" xfId="2" applyNumberFormat="1" applyFont="1" applyFill="1" applyBorder="1" applyAlignment="1">
      <alignment horizontal="center" vertical="center" wrapText="1"/>
    </xf>
    <xf numFmtId="166" fontId="7" fillId="0" borderId="17" xfId="2" applyNumberFormat="1" applyFont="1" applyBorder="1" applyAlignment="1">
      <alignment horizontal="center" vertical="center" wrapText="1"/>
    </xf>
    <xf numFmtId="166" fontId="7" fillId="0" borderId="18" xfId="2" applyNumberFormat="1" applyFont="1" applyBorder="1" applyAlignment="1">
      <alignment horizontal="center" vertical="center" wrapText="1"/>
    </xf>
    <xf numFmtId="166" fontId="7" fillId="18" borderId="8" xfId="2" applyNumberFormat="1" applyFont="1" applyFill="1" applyBorder="1" applyAlignment="1">
      <alignment horizontal="center" vertical="center" wrapText="1"/>
    </xf>
    <xf numFmtId="166" fontId="7" fillId="18" borderId="9" xfId="2" applyNumberFormat="1" applyFont="1" applyFill="1" applyBorder="1" applyAlignment="1">
      <alignment horizontal="center" vertical="center" wrapText="1"/>
    </xf>
    <xf numFmtId="0" fontId="64" fillId="0" borderId="16" xfId="0" applyFont="1" applyBorder="1" applyAlignment="1">
      <alignment horizontal="left" vertical="center" wrapText="1"/>
    </xf>
    <xf numFmtId="0" fontId="12" fillId="2" borderId="6" xfId="0" applyFont="1" applyFill="1" applyBorder="1" applyAlignment="1">
      <alignment horizontal="left" vertical="center" wrapText="1"/>
    </xf>
    <xf numFmtId="0" fontId="12" fillId="2" borderId="14" xfId="0" applyFont="1" applyFill="1" applyBorder="1" applyAlignment="1">
      <alignment horizontal="left" vertical="center" wrapText="1"/>
    </xf>
    <xf numFmtId="166" fontId="8" fillId="0" borderId="6" xfId="2" applyNumberFormat="1" applyFont="1" applyBorder="1" applyAlignment="1">
      <alignment horizontal="center" vertical="center" wrapText="1"/>
    </xf>
    <xf numFmtId="0" fontId="88" fillId="5" borderId="0" xfId="0" applyFont="1" applyFill="1" applyAlignment="1">
      <alignment horizontal="left" vertical="center" wrapText="1"/>
    </xf>
    <xf numFmtId="0" fontId="81" fillId="0" borderId="0" xfId="0" applyFont="1" applyAlignment="1">
      <alignment horizontal="left" vertical="center" wrapText="1"/>
    </xf>
    <xf numFmtId="0" fontId="16" fillId="11" borderId="7"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82" fillId="24" borderId="8" xfId="0" applyFont="1" applyFill="1" applyBorder="1" applyAlignment="1">
      <alignment horizontal="center" vertical="center" wrapText="1"/>
    </xf>
    <xf numFmtId="0" fontId="82" fillId="24" borderId="9" xfId="0" applyFont="1" applyFill="1" applyBorder="1" applyAlignment="1">
      <alignment horizontal="center" vertical="center" wrapText="1"/>
    </xf>
  </cellXfs>
  <cellStyles count="7">
    <cellStyle name="Comma" xfId="2" builtinId="3"/>
    <cellStyle name="Comma 2" xfId="4" xr:uid="{6BB149D6-ADB6-45E3-811A-0649A7117E71}"/>
    <cellStyle name="Heading 2021 and previous" xfId="6" xr:uid="{C73379B3-2602-4C3C-8BA9-DE7929584B45}"/>
    <cellStyle name="Hyperlink" xfId="1" builtinId="8"/>
    <cellStyle name="Normal" xfId="0" builtinId="0"/>
    <cellStyle name="Percent" xfId="3" builtinId="5"/>
    <cellStyle name="T-Text-Thin-Centre" xfId="5" xr:uid="{4D7F230F-DA1B-49F8-8068-4DF72C375321}"/>
  </cellStyles>
  <dxfs count="0"/>
  <tableStyles count="0" defaultTableStyle="TableStyleMedium2" defaultPivotStyle="PivotStyleLight16"/>
  <colors>
    <mruColors>
      <color rgb="FF00ACE9"/>
      <color rgb="FF1E22AA"/>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b="1">
                <a:latin typeface="Verdana" panose="020B0604030504040204" pitchFamily="34" charset="0"/>
                <a:ea typeface="Verdana" panose="020B0604030504040204" pitchFamily="34" charset="0"/>
              </a:rPr>
              <a:t>Global footprint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317C-49E5-BA5E-42858FD3B70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17C-49E5-BA5E-42858FD3B70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317C-49E5-BA5E-42858FD3B70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317C-49E5-BA5E-42858FD3B70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317C-49E5-BA5E-42858FD3B707}"/>
              </c:ext>
            </c:extLst>
          </c:dPt>
          <c:dLbls>
            <c:dLbl>
              <c:idx val="0"/>
              <c:layout>
                <c:manualLayout>
                  <c:x val="1.7233096036727168E-3"/>
                  <c:y val="-7.6196385069479296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7C-49E5-BA5E-42858FD3B707}"/>
                </c:ext>
              </c:extLst>
            </c:dLbl>
            <c:dLbl>
              <c:idx val="1"/>
              <c:layout>
                <c:manualLayout>
                  <c:x val="9.0766553763823296E-2"/>
                  <c:y val="-8.820393974507531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7C-49E5-BA5E-42858FD3B707}"/>
                </c:ext>
              </c:extLst>
            </c:dLbl>
            <c:dLbl>
              <c:idx val="2"/>
              <c:layout>
                <c:manualLayout>
                  <c:x val="-9.3761525118602699E-3"/>
                  <c:y val="9.059406392277442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7C-49E5-BA5E-42858FD3B707}"/>
                </c:ext>
              </c:extLst>
            </c:dLbl>
            <c:dLbl>
              <c:idx val="3"/>
              <c:layout>
                <c:manualLayout>
                  <c:x val="-2.8025477009953326E-2"/>
                  <c:y val="3.168401748159236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7C-49E5-BA5E-42858FD3B707}"/>
                </c:ext>
              </c:extLst>
            </c:dLbl>
            <c:dLbl>
              <c:idx val="4"/>
              <c:layout>
                <c:manualLayout>
                  <c:x val="-0.16503288440065841"/>
                  <c:y val="2.70376092480576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C-49E5-BA5E-42858FD3B707}"/>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People!$V$31:$V$35</c:f>
              <c:strCache>
                <c:ptCount val="5"/>
                <c:pt idx="0">
                  <c:v>UK </c:v>
                </c:pt>
                <c:pt idx="1">
                  <c:v>Rest of Europe</c:v>
                </c:pt>
                <c:pt idx="2">
                  <c:v>North America</c:v>
                </c:pt>
                <c:pt idx="3">
                  <c:v>Asia</c:v>
                </c:pt>
                <c:pt idx="4">
                  <c:v>Rest of World</c:v>
                </c:pt>
              </c:strCache>
            </c:strRef>
          </c:cat>
          <c:val>
            <c:numRef>
              <c:f>People!$W$31:$W$35</c:f>
              <c:numCache>
                <c:formatCode>0%</c:formatCode>
                <c:ptCount val="5"/>
                <c:pt idx="0">
                  <c:v>0.33196405648267008</c:v>
                </c:pt>
                <c:pt idx="1">
                  <c:v>0.24612751390671803</c:v>
                </c:pt>
                <c:pt idx="2">
                  <c:v>0.17235772357723578</c:v>
                </c:pt>
                <c:pt idx="3">
                  <c:v>0.19657680787334189</c:v>
                </c:pt>
                <c:pt idx="4">
                  <c:v>5.2973898160034234E-2</c:v>
                </c:pt>
              </c:numCache>
            </c:numRef>
          </c:val>
          <c:extLst>
            <c:ext xmlns:c16="http://schemas.microsoft.com/office/drawing/2014/chart" uri="{C3380CC4-5D6E-409C-BE32-E72D297353CC}">
              <c16:uniqueId val="{00000000-317C-49E5-BA5E-42858FD3B70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Employees by region</a:t>
            </a:r>
          </a:p>
        </c:rich>
      </c:tx>
      <c:layout>
        <c:manualLayout>
          <c:xMode val="edge"/>
          <c:yMode val="edge"/>
          <c:x val="0.31820878582299378"/>
          <c:y val="0.13089205858086897"/>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964832684014708"/>
          <c:y val="0.15269386228227844"/>
          <c:w val="0.44524035748141083"/>
          <c:h val="0.74137936697657858"/>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D63-4099-B26C-26F5EE17FAB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D63-4099-B26C-26F5EE17FAB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D63-4099-B26C-26F5EE17FAB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D63-4099-B26C-26F5EE17FAB4}"/>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D63-4099-B26C-26F5EE17FAB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(Internal)'!$P$9:$P$13</c:f>
              <c:strCache>
                <c:ptCount val="5"/>
                <c:pt idx="0">
                  <c:v>UK </c:v>
                </c:pt>
                <c:pt idx="1">
                  <c:v>Rest of Europe</c:v>
                </c:pt>
                <c:pt idx="2">
                  <c:v>North America</c:v>
                </c:pt>
                <c:pt idx="3">
                  <c:v>Asia</c:v>
                </c:pt>
                <c:pt idx="4">
                  <c:v>Rest of World</c:v>
                </c:pt>
              </c:strCache>
            </c:strRef>
          </c:cat>
          <c:val>
            <c:numRef>
              <c:f>'People (Internal)'!$Q$9:$Q$13</c:f>
              <c:numCache>
                <c:formatCode>_-* #,##0_-;\-* #,##0_-;_-* "-"??_-;_-@_-</c:formatCode>
                <c:ptCount val="5"/>
                <c:pt idx="0">
                  <c:v>4079</c:v>
                </c:pt>
                <c:pt idx="1">
                  <c:v>2858</c:v>
                </c:pt>
                <c:pt idx="2">
                  <c:v>2186</c:v>
                </c:pt>
                <c:pt idx="3">
                  <c:v>2459</c:v>
                </c:pt>
                <c:pt idx="4">
                  <c:v>1056</c:v>
                </c:pt>
              </c:numCache>
            </c:numRef>
          </c:val>
          <c:extLst>
            <c:ext xmlns:c16="http://schemas.microsoft.com/office/drawing/2014/chart" uri="{C3380CC4-5D6E-409C-BE32-E72D297353CC}">
              <c16:uniqueId val="{0000000A-DD63-4099-B26C-26F5EE17FAB4}"/>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Safety'!$N$27</c:f>
              <c:strCache>
                <c:ptCount val="1"/>
                <c:pt idx="0">
                  <c:v>ICCA - Process Safety Event Severity Rate (PSESR)</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66BD-41AD-A7B1-EEF4C2FDBA79}"/>
              </c:ext>
            </c:extLst>
          </c:dPt>
          <c:dPt>
            <c:idx val="5"/>
            <c:invertIfNegative val="0"/>
            <c:bubble3D val="0"/>
            <c:spPr>
              <a:solidFill>
                <a:srgbClr val="00ACE9"/>
              </a:solidFill>
              <a:ln>
                <a:noFill/>
              </a:ln>
              <a:effectLst/>
            </c:spPr>
            <c:extLst>
              <c:ext xmlns:c16="http://schemas.microsoft.com/office/drawing/2014/chart" uri="{C3380CC4-5D6E-409C-BE32-E72D297353CC}">
                <c16:uniqueId val="{00000002-E230-4283-9637-D8F0EB59BD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Safety'!$O$27:$T$27</c:f>
              <c:numCache>
                <c:formatCode>0.00</c:formatCode>
                <c:ptCount val="6"/>
                <c:pt idx="0">
                  <c:v>1.5349999999999999</c:v>
                </c:pt>
                <c:pt idx="1">
                  <c:v>1.1819999999999999</c:v>
                </c:pt>
                <c:pt idx="2">
                  <c:v>0.77</c:v>
                </c:pt>
                <c:pt idx="3">
                  <c:v>1.3220000000000001</c:v>
                </c:pt>
                <c:pt idx="4">
                  <c:v>1.0149999999999999</c:v>
                </c:pt>
                <c:pt idx="5">
                  <c:v>0.877</c:v>
                </c:pt>
              </c:numCache>
            </c:numRef>
          </c:val>
          <c:extLst>
            <c:ext xmlns:c16="http://schemas.microsoft.com/office/drawing/2014/chart" uri="{C3380CC4-5D6E-409C-BE32-E72D297353CC}">
              <c16:uniqueId val="{00000000-75DC-40F7-BE8E-E75CCA7402E6}"/>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PSER/200,000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Safety'!$N$23</c:f>
              <c:strCache>
                <c:ptCount val="1"/>
                <c:pt idx="0">
                  <c:v>Total Recordable Injury and Illness Rate (TRIIR)
employees + contractors</c:v>
                </c:pt>
              </c:strCache>
            </c:strRef>
          </c:tx>
          <c:spPr>
            <a:solidFill>
              <a:schemeClr val="accent1"/>
            </a:solidFill>
            <a:ln>
              <a:noFill/>
            </a:ln>
            <a:effectLst/>
          </c:spPr>
          <c:invertIfNegative val="0"/>
          <c:dPt>
            <c:idx val="4"/>
            <c:invertIfNegative val="0"/>
            <c:bubble3D val="0"/>
            <c:spPr>
              <a:solidFill>
                <a:schemeClr val="accent1"/>
              </a:solidFill>
              <a:ln>
                <a:noFill/>
              </a:ln>
              <a:effectLst/>
            </c:spPr>
            <c:extLst>
              <c:ext xmlns:c16="http://schemas.microsoft.com/office/drawing/2014/chart" uri="{C3380CC4-5D6E-409C-BE32-E72D297353CC}">
                <c16:uniqueId val="{00000000-271C-4477-A74D-CFC83283BFCC}"/>
              </c:ext>
            </c:extLst>
          </c:dPt>
          <c:dPt>
            <c:idx val="5"/>
            <c:invertIfNegative val="0"/>
            <c:bubble3D val="0"/>
            <c:spPr>
              <a:solidFill>
                <a:schemeClr val="accent4"/>
              </a:solidFill>
              <a:ln>
                <a:noFill/>
              </a:ln>
              <a:effectLst/>
            </c:spPr>
            <c:extLst>
              <c:ext xmlns:c16="http://schemas.microsoft.com/office/drawing/2014/chart" uri="{C3380CC4-5D6E-409C-BE32-E72D297353CC}">
                <c16:uniqueId val="{00000002-112C-4458-9096-D620BFF958C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Safety'!$O$23:$T$23</c:f>
              <c:numCache>
                <c:formatCode>General</c:formatCode>
                <c:ptCount val="6"/>
                <c:pt idx="0">
                  <c:v>0.97</c:v>
                </c:pt>
                <c:pt idx="1">
                  <c:v>0.79</c:v>
                </c:pt>
                <c:pt idx="2">
                  <c:v>0.55000000000000004</c:v>
                </c:pt>
                <c:pt idx="3">
                  <c:v>0.59</c:v>
                </c:pt>
                <c:pt idx="4">
                  <c:v>0.47</c:v>
                </c:pt>
                <c:pt idx="5">
                  <c:v>0.36</c:v>
                </c:pt>
              </c:numCache>
            </c:numRef>
          </c:val>
          <c:extLst>
            <c:ext xmlns:c16="http://schemas.microsoft.com/office/drawing/2014/chart" uri="{C3380CC4-5D6E-409C-BE32-E72D297353CC}">
              <c16:uniqueId val="{00000000-FB9A-4933-AC77-44BDDFA6BC6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baseline="0">
              <a:solidFill>
                <a:srgbClr val="0000CC"/>
              </a:solidFill>
              <a:latin typeface="Verdana" panose="020B060403050404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tx>
            <c:strRef>
              <c:f>'Health and Safety'!$N$20</c:f>
              <c:strCache>
                <c:ptCount val="1"/>
                <c:pt idx="0">
                  <c:v>Lost Time Injury and Illness Rate (LTIIR) 
employees + contractors</c:v>
                </c:pt>
              </c:strCache>
            </c:strRef>
          </c:tx>
          <c:spPr>
            <a:solidFill>
              <a:schemeClr val="accent1"/>
            </a:solidFill>
            <a:ln>
              <a:noFill/>
            </a:ln>
            <a:effectLst/>
          </c:spPr>
          <c:invertIfNegative val="0"/>
          <c:dPt>
            <c:idx val="4"/>
            <c:invertIfNegative val="0"/>
            <c:bubble3D val="0"/>
            <c:spPr>
              <a:solidFill>
                <a:srgbClr val="1E22AA"/>
              </a:solidFill>
              <a:ln>
                <a:noFill/>
              </a:ln>
              <a:effectLst/>
            </c:spPr>
            <c:extLst>
              <c:ext xmlns:c16="http://schemas.microsoft.com/office/drawing/2014/chart" uri="{C3380CC4-5D6E-409C-BE32-E72D297353CC}">
                <c16:uniqueId val="{00000000-EB91-46CB-A3AD-821085B4151F}"/>
              </c:ext>
            </c:extLst>
          </c:dPt>
          <c:dPt>
            <c:idx val="5"/>
            <c:invertIfNegative val="0"/>
            <c:bubble3D val="0"/>
            <c:spPr>
              <a:solidFill>
                <a:srgbClr val="00ACE9"/>
              </a:solidFill>
              <a:ln>
                <a:noFill/>
              </a:ln>
              <a:effectLst/>
            </c:spPr>
            <c:extLst>
              <c:ext xmlns:c16="http://schemas.microsoft.com/office/drawing/2014/chart" uri="{C3380CC4-5D6E-409C-BE32-E72D297353CC}">
                <c16:uniqueId val="{00000002-6258-4332-AF79-3B0ACC3F79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'Health and Safety'!$O$19:$T$19</c:f>
              <c:strCache>
                <c:ptCount val="6"/>
                <c:pt idx="0">
                  <c:v>2018/19</c:v>
                </c:pt>
                <c:pt idx="1">
                  <c:v>2019/20</c:v>
                </c:pt>
                <c:pt idx="2">
                  <c:v>2020/21</c:v>
                </c:pt>
                <c:pt idx="3">
                  <c:v>2021/22</c:v>
                </c:pt>
                <c:pt idx="4">
                  <c:v>2022/23</c:v>
                </c:pt>
                <c:pt idx="5">
                  <c:v>2023/24</c:v>
                </c:pt>
              </c:strCache>
            </c:strRef>
          </c:cat>
          <c:val>
            <c:numRef>
              <c:f>'Health and Safety'!$O$20:$T$20</c:f>
              <c:numCache>
                <c:formatCode>General</c:formatCode>
                <c:ptCount val="6"/>
                <c:pt idx="0">
                  <c:v>0.56000000000000005</c:v>
                </c:pt>
                <c:pt idx="1">
                  <c:v>0.34</c:v>
                </c:pt>
                <c:pt idx="2">
                  <c:v>0.28000000000000003</c:v>
                </c:pt>
                <c:pt idx="3" formatCode="0.00">
                  <c:v>0.3</c:v>
                </c:pt>
                <c:pt idx="4">
                  <c:v>0.24</c:v>
                </c:pt>
                <c:pt idx="5">
                  <c:v>0.17</c:v>
                </c:pt>
              </c:numCache>
            </c:numRef>
          </c:val>
          <c:extLst>
            <c:ext xmlns:c16="http://schemas.microsoft.com/office/drawing/2014/chart" uri="{C3380CC4-5D6E-409C-BE32-E72D297353CC}">
              <c16:uniqueId val="{00000000-E8D7-45DE-B5DC-52F6186D339C}"/>
            </c:ext>
          </c:extLst>
        </c:ser>
        <c:dLbls>
          <c:showLegendKey val="0"/>
          <c:showVal val="0"/>
          <c:showCatName val="0"/>
          <c:showSerName val="0"/>
          <c:showPercent val="0"/>
          <c:showBubbleSize val="0"/>
        </c:dLbls>
        <c:gapWidth val="24"/>
        <c:overlap val="4"/>
        <c:axId val="828100143"/>
        <c:axId val="828091823"/>
      </c:barChart>
      <c:catAx>
        <c:axId val="82810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091823"/>
        <c:crosses val="autoZero"/>
        <c:auto val="1"/>
        <c:lblAlgn val="ctr"/>
        <c:lblOffset val="100"/>
        <c:noMultiLvlLbl val="0"/>
      </c:catAx>
      <c:valAx>
        <c:axId val="828091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GB">
                    <a:latin typeface="Verdana" panose="020B0604030504040204" pitchFamily="34" charset="0"/>
                    <a:ea typeface="Verdana" panose="020B0604030504040204" pitchFamily="34" charset="0"/>
                  </a:rPr>
                  <a:t>n/200,000 hrs</a:t>
                </a:r>
              </a:p>
            </c:rich>
          </c:tx>
          <c:layout>
            <c:manualLayout>
              <c:xMode val="edge"/>
              <c:yMode val="edge"/>
              <c:x val="1.9444444444444445E-2"/>
              <c:y val="0.39491683470041333"/>
            </c:manualLayout>
          </c:layout>
          <c:overlay val="0"/>
          <c:spPr>
            <a:noFill/>
            <a:ln>
              <a:noFill/>
            </a:ln>
            <a:effectLst/>
          </c:spPr>
          <c:txPr>
            <a:bodyPr rot="-54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82810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Speak Up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'Ethics and Compliance'!$R$12:$V$12</c:f>
              <c:strCache>
                <c:ptCount val="5"/>
                <c:pt idx="0">
                  <c:v>2023/24</c:v>
                </c:pt>
                <c:pt idx="1">
                  <c:v>2022/23</c:v>
                </c:pt>
                <c:pt idx="2">
                  <c:v>2021/22</c:v>
                </c:pt>
                <c:pt idx="3">
                  <c:v>2020/21</c:v>
                </c:pt>
                <c:pt idx="4">
                  <c:v>2019/20</c:v>
                </c:pt>
              </c:strCache>
            </c:strRef>
          </c:cat>
          <c:val>
            <c:numRef>
              <c:f>'Ethics and Compliance'!$R$13:$V$13</c:f>
              <c:numCache>
                <c:formatCode>General</c:formatCode>
                <c:ptCount val="5"/>
                <c:pt idx="0">
                  <c:v>138</c:v>
                </c:pt>
                <c:pt idx="1">
                  <c:v>153</c:v>
                </c:pt>
                <c:pt idx="2">
                  <c:v>158</c:v>
                </c:pt>
                <c:pt idx="3">
                  <c:v>129</c:v>
                </c:pt>
                <c:pt idx="4">
                  <c:v>123</c:v>
                </c:pt>
              </c:numCache>
            </c:numRef>
          </c:val>
          <c:extLst>
            <c:ext xmlns:c16="http://schemas.microsoft.com/office/drawing/2014/chart" uri="{C3380CC4-5D6E-409C-BE32-E72D297353CC}">
              <c16:uniqueId val="{00000000-5686-457E-AF55-402608ABBE6B}"/>
            </c:ext>
          </c:extLst>
        </c:ser>
        <c:dLbls>
          <c:showLegendKey val="0"/>
          <c:showVal val="0"/>
          <c:showCatName val="0"/>
          <c:showSerName val="0"/>
          <c:showPercent val="0"/>
          <c:showBubbleSize val="0"/>
        </c:dLbls>
        <c:gapWidth val="219"/>
        <c:overlap val="-27"/>
        <c:axId val="397517071"/>
        <c:axId val="440696400"/>
      </c:barChart>
      <c:catAx>
        <c:axId val="39751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696400"/>
        <c:crosses val="autoZero"/>
        <c:auto val="1"/>
        <c:lblAlgn val="ctr"/>
        <c:lblOffset val="100"/>
        <c:noMultiLvlLbl val="0"/>
      </c:catAx>
      <c:valAx>
        <c:axId val="44069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75170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a:t>Total GHG emissions 2022/23</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304-488E-A68B-A8D167A65B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304-488E-A68B-A8D167A65B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304-488E-A68B-A8D167A65B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304-488E-A68B-A8D167A65B4D}"/>
              </c:ext>
            </c:extLst>
          </c:dPt>
          <c:dLbls>
            <c:dLbl>
              <c:idx val="0"/>
              <c:layout>
                <c:manualLayout>
                  <c:x val="-3.0487580637631892E-2"/>
                  <c:y val="-1.951384942861523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4-488E-A68B-A8D167A65B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(original)'!$B$36:$B$39</c:f>
              <c:strCache>
                <c:ptCount val="4"/>
                <c:pt idx="0">
                  <c:v>Total Scope 1 GHG emissions</c:v>
                </c:pt>
                <c:pt idx="1">
                  <c:v>Total Scope 2 GHG emissions (market-based)</c:v>
                </c:pt>
                <c:pt idx="2">
                  <c:v>Scope 3 - Total Scope 3 (Category 1) Purchased goods and services GHG emissions</c:v>
                </c:pt>
                <c:pt idx="3">
                  <c:v>Scope 3 - All other categories</c:v>
                </c:pt>
              </c:strCache>
            </c:strRef>
          </c:cat>
          <c:val>
            <c:numRef>
              <c:f>'Environment (original)'!$N$36:$N$39</c:f>
              <c:numCache>
                <c:formatCode>0.0%</c:formatCode>
                <c:ptCount val="4"/>
                <c:pt idx="0">
                  <c:v>7.0527397611580958E-2</c:v>
                </c:pt>
                <c:pt idx="1">
                  <c:v>3.941613915552334E-2</c:v>
                </c:pt>
                <c:pt idx="2">
                  <c:v>0.75439073105340759</c:v>
                </c:pt>
                <c:pt idx="3">
                  <c:v>0.13566573217948807</c:v>
                </c:pt>
              </c:numCache>
            </c:numRef>
          </c:val>
          <c:extLst>
            <c:ext xmlns:c16="http://schemas.microsoft.com/office/drawing/2014/chart" uri="{C3380CC4-5D6E-409C-BE32-E72D297353CC}">
              <c16:uniqueId val="{00000000-A6DB-4275-82A8-46D782AEB52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Energy Mix 2022/23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101-4A4E-B7AB-09CE3DF38F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2101-4A4E-B7AB-09CE3DF38F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2101-4A4E-B7AB-09CE3DF38F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25E-4162-A4BB-C31470B88F1C}"/>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2101-4A4E-B7AB-09CE3DF38FE6}"/>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4-2101-4A4E-B7AB-09CE3DF38FE6}"/>
                </c:ext>
              </c:extLst>
            </c:dLbl>
            <c:dLbl>
              <c:idx val="4"/>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2-2101-4A4E-B7AB-09CE3DF38F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0-2101-4A4E-B7AB-09CE3DF38FE6}"/>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F-E25E-4162-A4BB-C31470B88F1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1-E25E-4162-A4BB-C31470B88F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3-E25E-4162-A4BB-C31470B88F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5-E25E-4162-A4BB-C31470B88F1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7-E25E-4162-A4BB-C31470B88F1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9-E25E-4162-A4BB-C31470B88F1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B-E25E-4162-A4BB-C31470B88F1C}"/>
              </c:ext>
            </c:extLst>
          </c:dPt>
          <c:cat>
            <c:strRef>
              <c:f>'Environment (original)'!$P$127:$P$133</c:f>
              <c:strCache>
                <c:ptCount val="7"/>
                <c:pt idx="0">
                  <c:v>Non-renewable, grid-supplied electricity</c:v>
                </c:pt>
                <c:pt idx="1">
                  <c:v>Certified renewable electricity from the grid</c:v>
                </c:pt>
                <c:pt idx="2">
                  <c:v>Renewable electricity generated locally</c:v>
                </c:pt>
                <c:pt idx="3">
                  <c:v>Natural gas used on site</c:v>
                </c:pt>
                <c:pt idx="4">
                  <c:v>Other fossil fuels used on site</c:v>
                </c:pt>
                <c:pt idx="5">
                  <c:v>Non-renewable steam procured</c:v>
                </c:pt>
                <c:pt idx="6">
                  <c:v>Fuel used on public roads by JM vehicles on company business</c:v>
                </c:pt>
              </c:strCache>
            </c:strRef>
          </c:cat>
          <c:val>
            <c:numRef>
              <c:f>'Environment (original)'!$R$127:$R$133</c:f>
              <c:numCache>
                <c:formatCode>0.0%</c:formatCode>
                <c:ptCount val="7"/>
                <c:pt idx="0">
                  <c:v>0.21822306628383506</c:v>
                </c:pt>
                <c:pt idx="1">
                  <c:v>0.16177662380033564</c:v>
                </c:pt>
                <c:pt idx="2">
                  <c:v>5.7859119365803987E-3</c:v>
                </c:pt>
                <c:pt idx="3">
                  <c:v>0.52230769061950255</c:v>
                </c:pt>
                <c:pt idx="4">
                  <c:v>5.7633774188488099E-2</c:v>
                </c:pt>
                <c:pt idx="5">
                  <c:v>3.0159026580493176E-2</c:v>
                </c:pt>
                <c:pt idx="6">
                  <c:v>4.1139065907651335E-3</c:v>
                </c:pt>
              </c:numCache>
            </c:numRef>
          </c:val>
          <c:extLst>
            <c:ext xmlns:c16="http://schemas.microsoft.com/office/drawing/2014/chart" uri="{C3380CC4-5D6E-409C-BE32-E72D297353CC}">
              <c16:uniqueId val="{00000001-2101-4A4E-B7AB-09CE3DF38FE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employees in 2022/23</a:t>
            </a:r>
          </a:p>
        </c:rich>
      </c:tx>
      <c:layout>
        <c:manualLayout>
          <c:xMode val="edge"/>
          <c:yMode val="edge"/>
          <c:x val="0.2583861780047233"/>
          <c:y val="4.338934975574036E-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06078674105042"/>
          <c:y val="0.21766282711202872"/>
          <c:w val="0.4668475352414348"/>
          <c:h val="0.68600091518751505"/>
        </c:manualLayout>
      </c:layout>
      <c:doughnutChart>
        <c:varyColors val="1"/>
        <c:ser>
          <c:idx val="0"/>
          <c:order val="0"/>
          <c:tx>
            <c:strRef>
              <c:f>'People (Internal)'!$B$22</c:f>
              <c:strCache>
                <c:ptCount val="1"/>
                <c:pt idx="0">
                  <c:v>Total number of employees</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34D-4B20-B9A5-D9C65159927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34D-4B20-B9A5-D9C651599274}"/>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(Internal)'!$D$28:$E$28</c:f>
              <c:numCache>
                <c:formatCode>_-* #,##0_-;\-* #,##0_-;_-* "-"??_-;_-@_-</c:formatCode>
                <c:ptCount val="2"/>
                <c:pt idx="0">
                  <c:v>3773</c:v>
                </c:pt>
                <c:pt idx="1">
                  <c:v>8865</c:v>
                </c:pt>
              </c:numCache>
            </c:numRef>
          </c:val>
          <c:extLst>
            <c:ext xmlns:c16="http://schemas.microsoft.com/office/drawing/2014/chart" uri="{C3380CC4-5D6E-409C-BE32-E72D297353CC}">
              <c16:uniqueId val="{00000004-834D-4B20-B9A5-D9C651599274}"/>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Board in 2022/23</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69746408616373"/>
          <c:y val="0.15452954318782783"/>
          <c:w val="0.40039008831354761"/>
          <c:h val="0.73358399349871806"/>
        </c:manualLayout>
      </c:layout>
      <c:doughnutChart>
        <c:varyColors val="1"/>
        <c:ser>
          <c:idx val="0"/>
          <c:order val="0"/>
          <c:tx>
            <c:strRef>
              <c:f>'People (Internal)'!$B$30</c:f>
              <c:strCache>
                <c:ptCount val="1"/>
                <c:pt idx="0">
                  <c:v>Board</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C88-4A33-B816-80BDE33FD10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C88-4A33-B816-80BDE33FD108}"/>
              </c:ext>
            </c:extLst>
          </c:dPt>
          <c:dLbls>
            <c:spPr>
              <a:solidFill>
                <a:srgbClr val="FFFFFF"/>
              </a:solidFill>
              <a:ln>
                <a:solidFill>
                  <a:srgbClr val="000000">
                    <a:lumMod val="25000"/>
                    <a:lumOff val="75000"/>
                  </a:srgb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'People (Internal)'!$D$7:$E$7</c:f>
              <c:strCache>
                <c:ptCount val="2"/>
                <c:pt idx="0">
                  <c:v>Female</c:v>
                </c:pt>
                <c:pt idx="1">
                  <c:v>Male</c:v>
                </c:pt>
              </c:strCache>
            </c:strRef>
          </c:cat>
          <c:val>
            <c:numRef>
              <c:f>'People (Internal)'!$D$30:$E$30</c:f>
              <c:numCache>
                <c:formatCode>_-* #,##0_-;\-* #,##0_-;_-* "-"??_-;_-@_-</c:formatCode>
                <c:ptCount val="2"/>
                <c:pt idx="0">
                  <c:v>3</c:v>
                </c:pt>
                <c:pt idx="1">
                  <c:v>6</c:v>
                </c:pt>
              </c:numCache>
            </c:numRef>
          </c:val>
          <c:extLst>
            <c:ext xmlns:c16="http://schemas.microsoft.com/office/drawing/2014/chart" uri="{C3380CC4-5D6E-409C-BE32-E72D297353CC}">
              <c16:uniqueId val="{00000004-2C88-4A33-B816-80BDE33FD10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_rels/drawing1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image" Target="../media/image4.png"/><Relationship Id="rId4"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Home!A1"/><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chart" Target="../charts/chart6.xml"/><Relationship Id="rId5" Type="http://schemas.openxmlformats.org/officeDocument/2006/relationships/chart" Target="../charts/chart7.xml"/><Relationship Id="rId4"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ERM CVS Assured metrics'!Print_Area"/></Relationships>
</file>

<file path=xl/drawings/_rels/drawing2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hyperlink" Target="#Home!A1"/><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11905</xdr:colOff>
      <xdr:row>0</xdr:row>
      <xdr:rowOff>0</xdr:rowOff>
    </xdr:from>
    <xdr:to>
      <xdr:col>17</xdr:col>
      <xdr:colOff>380706</xdr:colOff>
      <xdr:row>37</xdr:row>
      <xdr:rowOff>133349</xdr:rowOff>
    </xdr:to>
    <xdr:pic>
      <xdr:nvPicPr>
        <xdr:cNvPr id="4" name="Picture 3">
          <a:extLst>
            <a:ext uri="{FF2B5EF4-FFF2-40B4-BE49-F238E27FC236}">
              <a16:creationId xmlns:a16="http://schemas.microsoft.com/office/drawing/2014/main" id="{F3512F3C-8A42-0AF8-FBA9-8146B2E75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5" y="0"/>
          <a:ext cx="10489114" cy="67413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44449</xdr:colOff>
      <xdr:row>1</xdr:row>
      <xdr:rowOff>6349</xdr:rowOff>
    </xdr:from>
    <xdr:to>
      <xdr:col>4</xdr:col>
      <xdr:colOff>11905</xdr:colOff>
      <xdr:row>2</xdr:row>
      <xdr:rowOff>83342</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A573B1C-C3BE-4CF3-B0A4-4E65A60C7D54}"/>
            </a:ext>
          </a:extLst>
        </xdr:cNvPr>
        <xdr:cNvSpPr/>
      </xdr:nvSpPr>
      <xdr:spPr>
        <a:xfrm>
          <a:off x="9748043" y="173037"/>
          <a:ext cx="1836737" cy="374649"/>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487570</xdr:colOff>
      <xdr:row>1</xdr:row>
      <xdr:rowOff>137852</xdr:rowOff>
    </xdr:from>
    <xdr:to>
      <xdr:col>11</xdr:col>
      <xdr:colOff>901246</xdr:colOff>
      <xdr:row>2</xdr:row>
      <xdr:rowOff>95249</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3E261B2F-BE81-4A2F-97E3-5FB8DCF7FAEF}"/>
            </a:ext>
          </a:extLst>
        </xdr:cNvPr>
        <xdr:cNvSpPr/>
      </xdr:nvSpPr>
      <xdr:spPr>
        <a:xfrm>
          <a:off x="15659534" y="314745"/>
          <a:ext cx="1475033" cy="50168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3</xdr:col>
      <xdr:colOff>1921039</xdr:colOff>
      <xdr:row>2</xdr:row>
      <xdr:rowOff>37118</xdr:rowOff>
    </xdr:from>
    <xdr:to>
      <xdr:col>5</xdr:col>
      <xdr:colOff>400711</xdr:colOff>
      <xdr:row>19</xdr:row>
      <xdr:rowOff>112077</xdr:rowOff>
    </xdr:to>
    <xdr:pic>
      <xdr:nvPicPr>
        <xdr:cNvPr id="22" name="Picture 5">
          <a:extLst>
            <a:ext uri="{FF2B5EF4-FFF2-40B4-BE49-F238E27FC236}">
              <a16:creationId xmlns:a16="http://schemas.microsoft.com/office/drawing/2014/main" id="{CECFFF37-54D0-16DB-DBBF-CB53E4E79D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2977" y="751493"/>
          <a:ext cx="3492203" cy="324202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914400</xdr:colOff>
      <xdr:row>1</xdr:row>
      <xdr:rowOff>190500</xdr:rowOff>
    </xdr:from>
    <xdr:ext cx="3137590" cy="264560"/>
    <xdr:sp macro="" textlink="">
      <xdr:nvSpPr>
        <xdr:cNvPr id="2" name="TextBox 1">
          <a:extLst>
            <a:ext uri="{FF2B5EF4-FFF2-40B4-BE49-F238E27FC236}">
              <a16:creationId xmlns:a16="http://schemas.microsoft.com/office/drawing/2014/main" id="{AF340EC5-CA7B-478F-8D3E-5D7FA844E006}"/>
            </a:ext>
          </a:extLst>
        </xdr:cNvPr>
        <xdr:cNvSpPr txBox="1"/>
      </xdr:nvSpPr>
      <xdr:spPr>
        <a:xfrm>
          <a:off x="6410325" y="371475"/>
          <a:ext cx="3137590" cy="26456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a:t>Owner</a:t>
          </a:r>
          <a:r>
            <a:rPr lang="en-GB" sz="1100" baseline="0"/>
            <a:t> - Tony Malone, Georgina Baker, Louise Todd</a:t>
          </a:r>
          <a:endParaRPr lang="en-GB" sz="1100"/>
        </a:p>
      </xdr:txBody>
    </xdr:sp>
    <xdr:clientData/>
  </xdr:oneCellAnchor>
  <xdr:twoCellAnchor>
    <xdr:from>
      <xdr:col>1</xdr:col>
      <xdr:colOff>436462</xdr:colOff>
      <xdr:row>3</xdr:row>
      <xdr:rowOff>1781857</xdr:rowOff>
    </xdr:from>
    <xdr:to>
      <xdr:col>3</xdr:col>
      <xdr:colOff>924949</xdr:colOff>
      <xdr:row>5</xdr:row>
      <xdr:rowOff>62595</xdr:rowOff>
    </xdr:to>
    <xdr:sp macro="" textlink="">
      <xdr:nvSpPr>
        <xdr:cNvPr id="3" name="TextBox 2">
          <a:extLst>
            <a:ext uri="{FF2B5EF4-FFF2-40B4-BE49-F238E27FC236}">
              <a16:creationId xmlns:a16="http://schemas.microsoft.com/office/drawing/2014/main" id="{8140C983-3BFC-9976-1E85-D5C41D83C3EF}"/>
            </a:ext>
          </a:extLst>
        </xdr:cNvPr>
        <xdr:cNvSpPr txBox="1"/>
      </xdr:nvSpPr>
      <xdr:spPr>
        <a:xfrm rot="21047830">
          <a:off x="1463045" y="2713190"/>
          <a:ext cx="13505987" cy="788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a:t>DO NOT USE THESE NUMBERS</a:t>
          </a:r>
          <a:r>
            <a:rPr lang="en-GB" sz="2800" baseline="0"/>
            <a:t> IN THE ARA - HIDE TAB - FOR INTERNAL PURPOSES ONLY!!!</a:t>
          </a:r>
          <a:endParaRPr lang="en-GB" sz="2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314325</xdr:colOff>
      <xdr:row>1</xdr:row>
      <xdr:rowOff>301626</xdr:rowOff>
    </xdr:from>
    <xdr:to>
      <xdr:col>10</xdr:col>
      <xdr:colOff>15875</xdr:colOff>
      <xdr:row>2</xdr:row>
      <xdr:rowOff>31751</xdr:rowOff>
    </xdr:to>
    <xdr:sp macro="" textlink="">
      <xdr:nvSpPr>
        <xdr:cNvPr id="9" name="Rectangle: Rounded Corners 2">
          <a:hlinkClick xmlns:r="http://schemas.openxmlformats.org/officeDocument/2006/relationships" r:id="rId1"/>
          <a:extLst>
            <a:ext uri="{FF2B5EF4-FFF2-40B4-BE49-F238E27FC236}">
              <a16:creationId xmlns:a16="http://schemas.microsoft.com/office/drawing/2014/main" id="{093B8847-9CDF-4EED-9F94-0DD9DAA73B5E}"/>
            </a:ext>
          </a:extLst>
        </xdr:cNvPr>
        <xdr:cNvSpPr/>
      </xdr:nvSpPr>
      <xdr:spPr>
        <a:xfrm>
          <a:off x="19840575" y="476251"/>
          <a:ext cx="1289050" cy="412750"/>
        </a:xfrm>
        <a:prstGeom prst="round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1198880</xdr:colOff>
      <xdr:row>0</xdr:row>
      <xdr:rowOff>105135</xdr:rowOff>
    </xdr:from>
    <xdr:to>
      <xdr:col>1</xdr:col>
      <xdr:colOff>2363470</xdr:colOff>
      <xdr:row>2</xdr:row>
      <xdr:rowOff>305435</xdr:rowOff>
    </xdr:to>
    <xdr:pic>
      <xdr:nvPicPr>
        <xdr:cNvPr id="2" name="Picture 1">
          <a:extLst>
            <a:ext uri="{FF2B5EF4-FFF2-40B4-BE49-F238E27FC236}">
              <a16:creationId xmlns:a16="http://schemas.microsoft.com/office/drawing/2014/main" id="{E29B2D67-C84F-675B-7635-AE9909896A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005" y="105135"/>
          <a:ext cx="1164590" cy="10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297656</xdr:colOff>
      <xdr:row>1</xdr:row>
      <xdr:rowOff>7027</xdr:rowOff>
    </xdr:from>
    <xdr:to>
      <xdr:col>11</xdr:col>
      <xdr:colOff>979353</xdr:colOff>
      <xdr:row>1</xdr:row>
      <xdr:rowOff>312736</xdr:rowOff>
    </xdr:to>
    <xdr:sp macro="" textlink="">
      <xdr:nvSpPr>
        <xdr:cNvPr id="6" name="Rectangle: Rounded Corners 2">
          <a:hlinkClick xmlns:r="http://schemas.openxmlformats.org/officeDocument/2006/relationships" r:id="rId1"/>
          <a:extLst>
            <a:ext uri="{FF2B5EF4-FFF2-40B4-BE49-F238E27FC236}">
              <a16:creationId xmlns:a16="http://schemas.microsoft.com/office/drawing/2014/main" id="{2F63B64C-E4D2-40C0-BA52-9AAFED5E83BF}"/>
            </a:ext>
          </a:extLst>
        </xdr:cNvPr>
        <xdr:cNvSpPr/>
      </xdr:nvSpPr>
      <xdr:spPr>
        <a:xfrm>
          <a:off x="16883062" y="173715"/>
          <a:ext cx="681697" cy="305709"/>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1308350</xdr:colOff>
      <xdr:row>0</xdr:row>
      <xdr:rowOff>388847</xdr:rowOff>
    </xdr:from>
    <xdr:to>
      <xdr:col>1</xdr:col>
      <xdr:colOff>2448400</xdr:colOff>
      <xdr:row>2</xdr:row>
      <xdr:rowOff>66335</xdr:rowOff>
    </xdr:to>
    <xdr:pic>
      <xdr:nvPicPr>
        <xdr:cNvPr id="2" name="Picture 1">
          <a:extLst>
            <a:ext uri="{FF2B5EF4-FFF2-40B4-BE49-F238E27FC236}">
              <a16:creationId xmlns:a16="http://schemas.microsoft.com/office/drawing/2014/main" id="{CE4D3046-5E37-4196-91B8-36F5C6E01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4279" y="388847"/>
          <a:ext cx="1133700" cy="1051809"/>
        </a:xfrm>
        <a:prstGeom prst="rect">
          <a:avLst/>
        </a:prstGeom>
      </xdr:spPr>
    </xdr:pic>
    <xdr:clientData/>
  </xdr:twoCellAnchor>
  <xdr:twoCellAnchor>
    <xdr:from>
      <xdr:col>15</xdr:col>
      <xdr:colOff>283481</xdr:colOff>
      <xdr:row>12</xdr:row>
      <xdr:rowOff>105169</xdr:rowOff>
    </xdr:from>
    <xdr:to>
      <xdr:col>23</xdr:col>
      <xdr:colOff>360136</xdr:colOff>
      <xdr:row>44</xdr:row>
      <xdr:rowOff>91621</xdr:rowOff>
    </xdr:to>
    <xdr:graphicFrame macro="">
      <xdr:nvGraphicFramePr>
        <xdr:cNvPr id="5" name="Chart 4">
          <a:extLst>
            <a:ext uri="{FF2B5EF4-FFF2-40B4-BE49-F238E27FC236}">
              <a16:creationId xmlns:a16="http://schemas.microsoft.com/office/drawing/2014/main" id="{DA298B5C-A7E4-F844-76BA-36D2D24A4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503238</xdr:colOff>
      <xdr:row>35</xdr:row>
      <xdr:rowOff>0</xdr:rowOff>
    </xdr:from>
    <xdr:to>
      <xdr:col>21</xdr:col>
      <xdr:colOff>258762</xdr:colOff>
      <xdr:row>51</xdr:row>
      <xdr:rowOff>142875</xdr:rowOff>
    </xdr:to>
    <xdr:graphicFrame macro="">
      <xdr:nvGraphicFramePr>
        <xdr:cNvPr id="52" name="Chart 2">
          <a:extLst>
            <a:ext uri="{FF2B5EF4-FFF2-40B4-BE49-F238E27FC236}">
              <a16:creationId xmlns:a16="http://schemas.microsoft.com/office/drawing/2014/main" id="{AFA120A1-9F7D-1A42-F4C5-C17BC4134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505279</xdr:colOff>
      <xdr:row>3</xdr:row>
      <xdr:rowOff>59531</xdr:rowOff>
    </xdr:from>
    <xdr:to>
      <xdr:col>21</xdr:col>
      <xdr:colOff>276225</xdr:colOff>
      <xdr:row>19</xdr:row>
      <xdr:rowOff>27441</xdr:rowOff>
    </xdr:to>
    <xdr:graphicFrame macro="">
      <xdr:nvGraphicFramePr>
        <xdr:cNvPr id="50" name="Chart 3">
          <a:extLst>
            <a:ext uri="{FF2B5EF4-FFF2-40B4-BE49-F238E27FC236}">
              <a16:creationId xmlns:a16="http://schemas.microsoft.com/office/drawing/2014/main" id="{EA97AE52-2D1D-463E-BA15-03F501890F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493599</xdr:colOff>
      <xdr:row>19</xdr:row>
      <xdr:rowOff>74496</xdr:rowOff>
    </xdr:from>
    <xdr:to>
      <xdr:col>21</xdr:col>
      <xdr:colOff>285749</xdr:colOff>
      <xdr:row>33</xdr:row>
      <xdr:rowOff>152056</xdr:rowOff>
    </xdr:to>
    <xdr:graphicFrame macro="">
      <xdr:nvGraphicFramePr>
        <xdr:cNvPr id="47" name="Chart 4">
          <a:extLst>
            <a:ext uri="{FF2B5EF4-FFF2-40B4-BE49-F238E27FC236}">
              <a16:creationId xmlns:a16="http://schemas.microsoft.com/office/drawing/2014/main" id="{94A6C88C-C0EF-484F-ACAE-4D9CA5F7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64680</xdr:colOff>
      <xdr:row>1</xdr:row>
      <xdr:rowOff>253002</xdr:rowOff>
    </xdr:from>
    <xdr:to>
      <xdr:col>18</xdr:col>
      <xdr:colOff>771436</xdr:colOff>
      <xdr:row>1</xdr:row>
      <xdr:rowOff>557803</xdr:rowOff>
    </xdr:to>
    <xdr:sp macro="" textlink="">
      <xdr:nvSpPr>
        <xdr:cNvPr id="2" name="Rectangle: Rounded Corners 6">
          <a:hlinkClick xmlns:r="http://schemas.openxmlformats.org/officeDocument/2006/relationships" r:id="rId4"/>
          <a:extLst>
            <a:ext uri="{FF2B5EF4-FFF2-40B4-BE49-F238E27FC236}">
              <a16:creationId xmlns:a16="http://schemas.microsoft.com/office/drawing/2014/main" id="{118A3D8D-AA14-475A-8441-348DA23A9874}"/>
            </a:ext>
          </a:extLst>
        </xdr:cNvPr>
        <xdr:cNvSpPr/>
      </xdr:nvSpPr>
      <xdr:spPr>
        <a:xfrm>
          <a:off x="21670555" y="411752"/>
          <a:ext cx="70675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2796858</xdr:colOff>
      <xdr:row>0</xdr:row>
      <xdr:rowOff>109061</xdr:rowOff>
    </xdr:from>
    <xdr:to>
      <xdr:col>1</xdr:col>
      <xdr:colOff>3936908</xdr:colOff>
      <xdr:row>3</xdr:row>
      <xdr:rowOff>30231</xdr:rowOff>
    </xdr:to>
    <xdr:pic>
      <xdr:nvPicPr>
        <xdr:cNvPr id="3" name="Picture 2">
          <a:extLst>
            <a:ext uri="{FF2B5EF4-FFF2-40B4-BE49-F238E27FC236}">
              <a16:creationId xmlns:a16="http://schemas.microsoft.com/office/drawing/2014/main" id="{61121C86-20A4-4F38-82A3-C1D0578587A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63546" y="109061"/>
          <a:ext cx="1133700" cy="10284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2980690</xdr:colOff>
      <xdr:row>1</xdr:row>
      <xdr:rowOff>27940</xdr:rowOff>
    </xdr:from>
    <xdr:to>
      <xdr:col>10</xdr:col>
      <xdr:colOff>3646171</xdr:colOff>
      <xdr:row>1</xdr:row>
      <xdr:rowOff>332741</xdr:rowOff>
    </xdr:to>
    <xdr:sp macro="" textlink="">
      <xdr:nvSpPr>
        <xdr:cNvPr id="7" name="Rectangle: Rounded Corners 3">
          <a:hlinkClick xmlns:r="http://schemas.openxmlformats.org/officeDocument/2006/relationships" r:id="rId1"/>
          <a:extLst>
            <a:ext uri="{FF2B5EF4-FFF2-40B4-BE49-F238E27FC236}">
              <a16:creationId xmlns:a16="http://schemas.microsoft.com/office/drawing/2014/main" id="{C73CE76F-9381-4711-A3B7-9A56AB2B6933}"/>
            </a:ext>
          </a:extLst>
        </xdr:cNvPr>
        <xdr:cNvSpPr/>
      </xdr:nvSpPr>
      <xdr:spPr>
        <a:xfrm>
          <a:off x="21154390" y="199390"/>
          <a:ext cx="665481"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1</xdr:col>
      <xdr:colOff>3177540</xdr:colOff>
      <xdr:row>0</xdr:row>
      <xdr:rowOff>0</xdr:rowOff>
    </xdr:from>
    <xdr:to>
      <xdr:col>1</xdr:col>
      <xdr:colOff>4229597</xdr:colOff>
      <xdr:row>3</xdr:row>
      <xdr:rowOff>93845</xdr:rowOff>
    </xdr:to>
    <xdr:pic>
      <xdr:nvPicPr>
        <xdr:cNvPr id="2" name="Picture 1">
          <a:extLst>
            <a:ext uri="{FF2B5EF4-FFF2-40B4-BE49-F238E27FC236}">
              <a16:creationId xmlns:a16="http://schemas.microsoft.com/office/drawing/2014/main" id="{C9852A7D-E347-48B8-B993-84495520A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31540" y="0"/>
          <a:ext cx="1052057" cy="1062220"/>
        </a:xfrm>
        <a:prstGeom prst="rect">
          <a:avLst/>
        </a:prstGeom>
      </xdr:spPr>
    </xdr:pic>
    <xdr:clientData/>
  </xdr:twoCellAnchor>
  <xdr:twoCellAnchor>
    <xdr:from>
      <xdr:col>7</xdr:col>
      <xdr:colOff>588282</xdr:colOff>
      <xdr:row>28</xdr:row>
      <xdr:rowOff>159657</xdr:rowOff>
    </xdr:from>
    <xdr:to>
      <xdr:col>8</xdr:col>
      <xdr:colOff>1050925</xdr:colOff>
      <xdr:row>44</xdr:row>
      <xdr:rowOff>122010</xdr:rowOff>
    </xdr:to>
    <xdr:graphicFrame macro="">
      <xdr:nvGraphicFramePr>
        <xdr:cNvPr id="3" name="Chart 2">
          <a:extLst>
            <a:ext uri="{FF2B5EF4-FFF2-40B4-BE49-F238E27FC236}">
              <a16:creationId xmlns:a16="http://schemas.microsoft.com/office/drawing/2014/main" id="{D23C5DCA-4E8C-DA28-C0B9-538BF2EFC3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10267</xdr:colOff>
      <xdr:row>16</xdr:row>
      <xdr:rowOff>156368</xdr:rowOff>
    </xdr:from>
    <xdr:to>
      <xdr:col>3</xdr:col>
      <xdr:colOff>8732</xdr:colOff>
      <xdr:row>28</xdr:row>
      <xdr:rowOff>87049</xdr:rowOff>
    </xdr:to>
    <xdr:pic>
      <xdr:nvPicPr>
        <xdr:cNvPr id="9" name="Picture 2">
          <a:extLst>
            <a:ext uri="{FF2B5EF4-FFF2-40B4-BE49-F238E27FC236}">
              <a16:creationId xmlns:a16="http://schemas.microsoft.com/office/drawing/2014/main" id="{C66B3D88-F7AB-D2DE-62C7-F7ABB5C972C1}"/>
            </a:ext>
          </a:extLst>
        </xdr:cNvPr>
        <xdr:cNvPicPr>
          <a:picLocks noChangeAspect="1"/>
        </xdr:cNvPicPr>
      </xdr:nvPicPr>
      <xdr:blipFill>
        <a:blip xmlns:r="http://schemas.openxmlformats.org/officeDocument/2006/relationships" r:embed="rId1"/>
        <a:stretch>
          <a:fillRect/>
        </a:stretch>
      </xdr:blipFill>
      <xdr:spPr>
        <a:xfrm>
          <a:off x="188861" y="3668712"/>
          <a:ext cx="5534871" cy="1924581"/>
        </a:xfrm>
        <a:prstGeom prst="rect">
          <a:avLst/>
        </a:prstGeom>
      </xdr:spPr>
    </xdr:pic>
    <xdr:clientData/>
  </xdr:twoCellAnchor>
  <xdr:twoCellAnchor>
    <xdr:from>
      <xdr:col>9</xdr:col>
      <xdr:colOff>738188</xdr:colOff>
      <xdr:row>1</xdr:row>
      <xdr:rowOff>132556</xdr:rowOff>
    </xdr:from>
    <xdr:to>
      <xdr:col>9</xdr:col>
      <xdr:colOff>1683545</xdr:colOff>
      <xdr:row>1</xdr:row>
      <xdr:rowOff>437357</xdr:rowOff>
    </xdr:to>
    <xdr:sp macro="" textlink="">
      <xdr:nvSpPr>
        <xdr:cNvPr id="5" name="Rectangle: Rounded Corners 3">
          <a:hlinkClick xmlns:r="http://schemas.openxmlformats.org/officeDocument/2006/relationships" r:id="rId2"/>
          <a:extLst>
            <a:ext uri="{FF2B5EF4-FFF2-40B4-BE49-F238E27FC236}">
              <a16:creationId xmlns:a16="http://schemas.microsoft.com/office/drawing/2014/main" id="{44F536BB-F50C-4C0E-BBF6-2C97D7936A72}"/>
            </a:ext>
          </a:extLst>
        </xdr:cNvPr>
        <xdr:cNvSpPr/>
      </xdr:nvSpPr>
      <xdr:spPr>
        <a:xfrm>
          <a:off x="12799219" y="299244"/>
          <a:ext cx="945357"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2</xdr:col>
      <xdr:colOff>642936</xdr:colOff>
      <xdr:row>0</xdr:row>
      <xdr:rowOff>83343</xdr:rowOff>
    </xdr:from>
    <xdr:to>
      <xdr:col>2</xdr:col>
      <xdr:colOff>1782986</xdr:colOff>
      <xdr:row>3</xdr:row>
      <xdr:rowOff>10863</xdr:rowOff>
    </xdr:to>
    <xdr:pic>
      <xdr:nvPicPr>
        <xdr:cNvPr id="3" name="Picture 2">
          <a:extLst>
            <a:ext uri="{FF2B5EF4-FFF2-40B4-BE49-F238E27FC236}">
              <a16:creationId xmlns:a16="http://schemas.microsoft.com/office/drawing/2014/main" id="{414B5338-83AE-4C7D-B91D-CA5CC329A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67124" y="83343"/>
          <a:ext cx="1140050" cy="102845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208756</xdr:colOff>
      <xdr:row>1</xdr:row>
      <xdr:rowOff>149225</xdr:rowOff>
    </xdr:from>
    <xdr:to>
      <xdr:col>13</xdr:col>
      <xdr:colOff>259557</xdr:colOff>
      <xdr:row>1</xdr:row>
      <xdr:rowOff>454026</xdr:rowOff>
    </xdr:to>
    <xdr:sp macro="" textlink="">
      <xdr:nvSpPr>
        <xdr:cNvPr id="4" name="Rectangle: Rounded Corners 2">
          <a:hlinkClick xmlns:r="http://schemas.openxmlformats.org/officeDocument/2006/relationships" r:id="rId1"/>
          <a:extLst>
            <a:ext uri="{FF2B5EF4-FFF2-40B4-BE49-F238E27FC236}">
              <a16:creationId xmlns:a16="http://schemas.microsoft.com/office/drawing/2014/main" id="{F1CDAC9D-CFC4-4576-9B48-9B197D8A1814}"/>
            </a:ext>
          </a:extLst>
        </xdr:cNvPr>
        <xdr:cNvSpPr/>
      </xdr:nvSpPr>
      <xdr:spPr>
        <a:xfrm>
          <a:off x="12210256" y="315913"/>
          <a:ext cx="6699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6</xdr:col>
      <xdr:colOff>20426</xdr:colOff>
      <xdr:row>7</xdr:row>
      <xdr:rowOff>59530</xdr:rowOff>
    </xdr:from>
    <xdr:to>
      <xdr:col>14</xdr:col>
      <xdr:colOff>153875</xdr:colOff>
      <xdr:row>15</xdr:row>
      <xdr:rowOff>180711</xdr:rowOff>
    </xdr:to>
    <xdr:pic>
      <xdr:nvPicPr>
        <xdr:cNvPr id="2" name="Picture 1">
          <a:extLst>
            <a:ext uri="{FF2B5EF4-FFF2-40B4-BE49-F238E27FC236}">
              <a16:creationId xmlns:a16="http://schemas.microsoft.com/office/drawing/2014/main" id="{06FCF078-B7B3-7B5C-ED9E-DD0677DD6C3B}"/>
            </a:ext>
          </a:extLst>
        </xdr:cNvPr>
        <xdr:cNvPicPr>
          <a:picLocks noChangeAspect="1"/>
        </xdr:cNvPicPr>
      </xdr:nvPicPr>
      <xdr:blipFill>
        <a:blip xmlns:r="http://schemas.openxmlformats.org/officeDocument/2006/relationships" r:embed="rId2"/>
        <a:stretch>
          <a:fillRect/>
        </a:stretch>
      </xdr:blipFill>
      <xdr:spPr>
        <a:xfrm>
          <a:off x="8307176" y="3964780"/>
          <a:ext cx="5086449" cy="3895462"/>
        </a:xfrm>
        <a:prstGeom prst="rect">
          <a:avLst/>
        </a:prstGeom>
      </xdr:spPr>
    </xdr:pic>
    <xdr:clientData/>
  </xdr:twoCellAnchor>
  <xdr:twoCellAnchor editAs="oneCell">
    <xdr:from>
      <xdr:col>1</xdr:col>
      <xdr:colOff>3094355</xdr:colOff>
      <xdr:row>0</xdr:row>
      <xdr:rowOff>59531</xdr:rowOff>
    </xdr:from>
    <xdr:to>
      <xdr:col>2</xdr:col>
      <xdr:colOff>476251</xdr:colOff>
      <xdr:row>2</xdr:row>
      <xdr:rowOff>125411</xdr:rowOff>
    </xdr:to>
    <xdr:pic>
      <xdr:nvPicPr>
        <xdr:cNvPr id="5" name="Picture 4">
          <a:extLst>
            <a:ext uri="{FF2B5EF4-FFF2-40B4-BE49-F238E27FC236}">
              <a16:creationId xmlns:a16="http://schemas.microsoft.com/office/drawing/2014/main" id="{7A49DB5D-ED79-EA4F-EAC1-F8B975208F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1043" y="59531"/>
          <a:ext cx="1406208" cy="11493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497228</xdr:colOff>
      <xdr:row>24</xdr:row>
      <xdr:rowOff>1929</xdr:rowOff>
    </xdr:from>
    <xdr:to>
      <xdr:col>14</xdr:col>
      <xdr:colOff>544286</xdr:colOff>
      <xdr:row>44</xdr:row>
      <xdr:rowOff>191181</xdr:rowOff>
    </xdr:to>
    <xdr:graphicFrame macro="">
      <xdr:nvGraphicFramePr>
        <xdr:cNvPr id="98" name="Chart 2">
          <a:extLst>
            <a:ext uri="{FF2B5EF4-FFF2-40B4-BE49-F238E27FC236}">
              <a16:creationId xmlns:a16="http://schemas.microsoft.com/office/drawing/2014/main" id="{EF85B7F5-FAA5-CA79-6E34-3EEE753361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122919</xdr:colOff>
      <xdr:row>4</xdr:row>
      <xdr:rowOff>151361</xdr:rowOff>
    </xdr:from>
    <xdr:to>
      <xdr:col>1</xdr:col>
      <xdr:colOff>93014</xdr:colOff>
      <xdr:row>10</xdr:row>
      <xdr:rowOff>37711</xdr:rowOff>
    </xdr:to>
    <xdr:pic>
      <xdr:nvPicPr>
        <xdr:cNvPr id="50" name="Picture 7">
          <a:extLst>
            <a:ext uri="{FF2B5EF4-FFF2-40B4-BE49-F238E27FC236}">
              <a16:creationId xmlns:a16="http://schemas.microsoft.com/office/drawing/2014/main" id="{041C861C-F3F2-D245-7F43-1EBCB30FD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19" y="2951711"/>
          <a:ext cx="1455995" cy="1410350"/>
        </a:xfrm>
        <a:prstGeom prst="rect">
          <a:avLst/>
        </a:prstGeom>
      </xdr:spPr>
    </xdr:pic>
    <xdr:clientData/>
  </xdr:twoCellAnchor>
  <xdr:twoCellAnchor editAs="oneCell">
    <xdr:from>
      <xdr:col>0</xdr:col>
      <xdr:colOff>0</xdr:colOff>
      <xdr:row>43</xdr:row>
      <xdr:rowOff>104775</xdr:rowOff>
    </xdr:from>
    <xdr:to>
      <xdr:col>0</xdr:col>
      <xdr:colOff>1409645</xdr:colOff>
      <xdr:row>49</xdr:row>
      <xdr:rowOff>140350</xdr:rowOff>
    </xdr:to>
    <xdr:pic>
      <xdr:nvPicPr>
        <xdr:cNvPr id="49" name="Picture 9">
          <a:extLst>
            <a:ext uri="{FF2B5EF4-FFF2-40B4-BE49-F238E27FC236}">
              <a16:creationId xmlns:a16="http://schemas.microsoft.com/office/drawing/2014/main" id="{4B56EA8C-A1BB-E78F-F563-DB98323B4B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697325"/>
          <a:ext cx="1457270" cy="1410350"/>
        </a:xfrm>
        <a:prstGeom prst="rect">
          <a:avLst/>
        </a:prstGeom>
      </xdr:spPr>
    </xdr:pic>
    <xdr:clientData/>
  </xdr:twoCellAnchor>
  <xdr:twoCellAnchor>
    <xdr:from>
      <xdr:col>12</xdr:col>
      <xdr:colOff>1825625</xdr:colOff>
      <xdr:row>1</xdr:row>
      <xdr:rowOff>269875</xdr:rowOff>
    </xdr:from>
    <xdr:to>
      <xdr:col>13</xdr:col>
      <xdr:colOff>371476</xdr:colOff>
      <xdr:row>2</xdr:row>
      <xdr:rowOff>130176</xdr:rowOff>
    </xdr:to>
    <xdr:sp macro="" textlink="">
      <xdr:nvSpPr>
        <xdr:cNvPr id="52" name="Rectangle: Rounded Corners 3">
          <a:hlinkClick xmlns:r="http://schemas.openxmlformats.org/officeDocument/2006/relationships" r:id="rId4"/>
          <a:extLst>
            <a:ext uri="{FF2B5EF4-FFF2-40B4-BE49-F238E27FC236}">
              <a16:creationId xmlns:a16="http://schemas.microsoft.com/office/drawing/2014/main" id="{4B65A18E-0926-4173-8FBB-53A05A140924}"/>
            </a:ext>
          </a:extLst>
        </xdr:cNvPr>
        <xdr:cNvSpPr/>
      </xdr:nvSpPr>
      <xdr:spPr>
        <a:xfrm>
          <a:off x="36369625" y="444500"/>
          <a:ext cx="657226" cy="30480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twoCellAnchor>
    <xdr:from>
      <xdr:col>14</xdr:col>
      <xdr:colOff>458107</xdr:colOff>
      <xdr:row>125</xdr:row>
      <xdr:rowOff>137773</xdr:rowOff>
    </xdr:from>
    <xdr:to>
      <xdr:col>20</xdr:col>
      <xdr:colOff>181882</xdr:colOff>
      <xdr:row>138</xdr:row>
      <xdr:rowOff>95933</xdr:rowOff>
    </xdr:to>
    <xdr:graphicFrame macro="">
      <xdr:nvGraphicFramePr>
        <xdr:cNvPr id="104" name="Chart 4">
          <a:extLst>
            <a:ext uri="{FF2B5EF4-FFF2-40B4-BE49-F238E27FC236}">
              <a16:creationId xmlns:a16="http://schemas.microsoft.com/office/drawing/2014/main" id="{48B8429D-BFB1-3EC3-0D5F-13B5B60D8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121374</xdr:colOff>
      <xdr:row>17</xdr:row>
      <xdr:rowOff>206646</xdr:rowOff>
    </xdr:from>
    <xdr:to>
      <xdr:col>4</xdr:col>
      <xdr:colOff>238125</xdr:colOff>
      <xdr:row>17</xdr:row>
      <xdr:rowOff>492125</xdr:rowOff>
    </xdr:to>
    <xdr:sp macro="" textlink="">
      <xdr:nvSpPr>
        <xdr:cNvPr id="6" name="TextBox 2">
          <a:hlinkClick xmlns:r="http://schemas.openxmlformats.org/officeDocument/2006/relationships" r:id="rId1"/>
          <a:extLst>
            <a:ext uri="{FF2B5EF4-FFF2-40B4-BE49-F238E27FC236}">
              <a16:creationId xmlns:a16="http://schemas.microsoft.com/office/drawing/2014/main" id="{1F3FFF3B-FBC1-463D-0EA3-59EED240DB8B}"/>
            </a:ext>
          </a:extLst>
        </xdr:cNvPr>
        <xdr:cNvSpPr txBox="1"/>
      </xdr:nvSpPr>
      <xdr:spPr>
        <a:xfrm>
          <a:off x="530949" y="6216921"/>
          <a:ext cx="3002826" cy="285479"/>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50"/>
            <a:t>ERM CVS Limited</a:t>
          </a:r>
          <a:r>
            <a:rPr lang="en-GB" sz="1050" baseline="0"/>
            <a:t> assured selected metrics</a:t>
          </a:r>
          <a:endParaRPr lang="en-GB" sz="105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189080</xdr:colOff>
      <xdr:row>8</xdr:row>
      <xdr:rowOff>57150</xdr:rowOff>
    </xdr:from>
    <xdr:to>
      <xdr:col>27</xdr:col>
      <xdr:colOff>390525</xdr:colOff>
      <xdr:row>30</xdr:row>
      <xdr:rowOff>31297</xdr:rowOff>
    </xdr:to>
    <xdr:graphicFrame macro="">
      <xdr:nvGraphicFramePr>
        <xdr:cNvPr id="9" name="Chart 1">
          <a:extLst>
            <a:ext uri="{FF2B5EF4-FFF2-40B4-BE49-F238E27FC236}">
              <a16:creationId xmlns:a16="http://schemas.microsoft.com/office/drawing/2014/main" id="{50694A66-7234-4753-915B-6DF55400A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162380</xdr:colOff>
      <xdr:row>37</xdr:row>
      <xdr:rowOff>9979</xdr:rowOff>
    </xdr:from>
    <xdr:to>
      <xdr:col>22</xdr:col>
      <xdr:colOff>22680</xdr:colOff>
      <xdr:row>51</xdr:row>
      <xdr:rowOff>31750</xdr:rowOff>
    </xdr:to>
    <xdr:graphicFrame macro="">
      <xdr:nvGraphicFramePr>
        <xdr:cNvPr id="12" name="Chart 2">
          <a:extLst>
            <a:ext uri="{FF2B5EF4-FFF2-40B4-BE49-F238E27FC236}">
              <a16:creationId xmlns:a16="http://schemas.microsoft.com/office/drawing/2014/main" id="{1242BAD5-1AB1-4F48-8169-83AD292F6A1B}"/>
            </a:ext>
            <a:ext uri="{147F2762-F138-4A5C-976F-8EAC2B608ADB}">
              <a16:predDERef xmlns:a16="http://schemas.microsoft.com/office/drawing/2014/main" pred="{F9EEF4F5-F48E-D973-8E1E-1E0EA77E8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131190</xdr:colOff>
      <xdr:row>6</xdr:row>
      <xdr:rowOff>105340</xdr:rowOff>
    </xdr:from>
    <xdr:to>
      <xdr:col>21</xdr:col>
      <xdr:colOff>517524</xdr:colOff>
      <xdr:row>32</xdr:row>
      <xdr:rowOff>130175</xdr:rowOff>
    </xdr:to>
    <xdr:graphicFrame macro="">
      <xdr:nvGraphicFramePr>
        <xdr:cNvPr id="14" name="Chart 3">
          <a:extLst>
            <a:ext uri="{FF2B5EF4-FFF2-40B4-BE49-F238E27FC236}">
              <a16:creationId xmlns:a16="http://schemas.microsoft.com/office/drawing/2014/main" id="{0F409554-BE7A-4029-8667-2746907CE985}"/>
            </a:ext>
            <a:ext uri="{147F2762-F138-4A5C-976F-8EAC2B608ADB}">
              <a16:predDERef xmlns:a16="http://schemas.microsoft.com/office/drawing/2014/main" pred="{C2A215C7-52CD-4BF2-AFB8-DB0DE2792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61491</xdr:colOff>
      <xdr:row>0</xdr:row>
      <xdr:rowOff>124084</xdr:rowOff>
    </xdr:from>
    <xdr:to>
      <xdr:col>1</xdr:col>
      <xdr:colOff>930</xdr:colOff>
      <xdr:row>5</xdr:row>
      <xdr:rowOff>7099</xdr:rowOff>
    </xdr:to>
    <xdr:pic>
      <xdr:nvPicPr>
        <xdr:cNvPr id="5" name="Picture 3">
          <a:extLst>
            <a:ext uri="{FF2B5EF4-FFF2-40B4-BE49-F238E27FC236}">
              <a16:creationId xmlns:a16="http://schemas.microsoft.com/office/drawing/2014/main" id="{B59F77CD-4184-4360-848B-2CB3DD39AC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666" y="120909"/>
          <a:ext cx="1431689" cy="1375265"/>
        </a:xfrm>
        <a:prstGeom prst="rect">
          <a:avLst/>
        </a:prstGeom>
      </xdr:spPr>
    </xdr:pic>
    <xdr:clientData/>
  </xdr:twoCellAnchor>
  <xdr:twoCellAnchor>
    <xdr:from>
      <xdr:col>7</xdr:col>
      <xdr:colOff>571499</xdr:colOff>
      <xdr:row>0</xdr:row>
      <xdr:rowOff>380999</xdr:rowOff>
    </xdr:from>
    <xdr:to>
      <xdr:col>8</xdr:col>
      <xdr:colOff>194583</xdr:colOff>
      <xdr:row>1</xdr:row>
      <xdr:rowOff>247196</xdr:rowOff>
    </xdr:to>
    <xdr:sp macro="" textlink="">
      <xdr:nvSpPr>
        <xdr:cNvPr id="6" name="Rectangle: Rounded Corners 2">
          <a:hlinkClick xmlns:r="http://schemas.openxmlformats.org/officeDocument/2006/relationships" r:id="rId5"/>
          <a:extLst>
            <a:ext uri="{FF2B5EF4-FFF2-40B4-BE49-F238E27FC236}">
              <a16:creationId xmlns:a16="http://schemas.microsoft.com/office/drawing/2014/main" id="{6DC82246-D824-4F62-AE56-27828CC4D2FB}"/>
            </a:ext>
          </a:extLst>
        </xdr:cNvPr>
        <xdr:cNvSpPr/>
      </xdr:nvSpPr>
      <xdr:spPr>
        <a:xfrm>
          <a:off x="15801974" y="380999"/>
          <a:ext cx="664484" cy="294822"/>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1650999</xdr:colOff>
      <xdr:row>1</xdr:row>
      <xdr:rowOff>141604</xdr:rowOff>
    </xdr:from>
    <xdr:to>
      <xdr:col>4</xdr:col>
      <xdr:colOff>2311400</xdr:colOff>
      <xdr:row>2</xdr:row>
      <xdr:rowOff>53975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207EBE5-920E-0251-561B-AABD75B6C442}"/>
            </a:ext>
          </a:extLst>
        </xdr:cNvPr>
        <xdr:cNvSpPr/>
      </xdr:nvSpPr>
      <xdr:spPr>
        <a:xfrm>
          <a:off x="7778749" y="316229"/>
          <a:ext cx="660401" cy="309246"/>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104775</xdr:colOff>
      <xdr:row>1</xdr:row>
      <xdr:rowOff>57150</xdr:rowOff>
    </xdr:from>
    <xdr:to>
      <xdr:col>16</xdr:col>
      <xdr:colOff>311604</xdr:colOff>
      <xdr:row>2</xdr:row>
      <xdr:rowOff>58058</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88451C5-4A6E-4825-802B-7B467FBD37DB}"/>
            </a:ext>
          </a:extLst>
        </xdr:cNvPr>
        <xdr:cNvSpPr/>
      </xdr:nvSpPr>
      <xdr:spPr>
        <a:xfrm>
          <a:off x="9248775" y="238125"/>
          <a:ext cx="816429" cy="31523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latin typeface="Verdana" panose="020B0604030504040204" pitchFamily="34" charset="0"/>
              <a:ea typeface="Verdana" panose="020B0604030504040204" pitchFamily="34" charset="0"/>
            </a:rPr>
            <a:t>Home</a:t>
          </a:r>
        </a:p>
      </xdr:txBody>
    </xdr:sp>
    <xdr:clientData/>
  </xdr:twoCellAnchor>
  <xdr:twoCellAnchor editAs="oneCell">
    <xdr:from>
      <xdr:col>8</xdr:col>
      <xdr:colOff>352424</xdr:colOff>
      <xdr:row>6</xdr:row>
      <xdr:rowOff>121624</xdr:rowOff>
    </xdr:from>
    <xdr:to>
      <xdr:col>15</xdr:col>
      <xdr:colOff>173066</xdr:colOff>
      <xdr:row>15</xdr:row>
      <xdr:rowOff>278766</xdr:rowOff>
    </xdr:to>
    <xdr:pic>
      <xdr:nvPicPr>
        <xdr:cNvPr id="3" name="Picture 5">
          <a:extLst>
            <a:ext uri="{FF2B5EF4-FFF2-40B4-BE49-F238E27FC236}">
              <a16:creationId xmlns:a16="http://schemas.microsoft.com/office/drawing/2014/main" id="{E20C22E2-A44C-4DDC-93DF-5681E740BF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57824" y="1778974"/>
          <a:ext cx="4009737" cy="37550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127793</xdr:colOff>
      <xdr:row>1</xdr:row>
      <xdr:rowOff>103982</xdr:rowOff>
    </xdr:from>
    <xdr:to>
      <xdr:col>8</xdr:col>
      <xdr:colOff>904762</xdr:colOff>
      <xdr:row>1</xdr:row>
      <xdr:rowOff>421709</xdr:rowOff>
    </xdr:to>
    <xdr:sp macro="" textlink="">
      <xdr:nvSpPr>
        <xdr:cNvPr id="3" name="Rectangle: Rounded Corners 5">
          <a:hlinkClick xmlns:r="http://schemas.openxmlformats.org/officeDocument/2006/relationships" r:id="rId1"/>
          <a:extLst>
            <a:ext uri="{FF2B5EF4-FFF2-40B4-BE49-F238E27FC236}">
              <a16:creationId xmlns:a16="http://schemas.microsoft.com/office/drawing/2014/main" id="{5EFE1545-ED07-453C-9E8F-E14EA3790AD0}"/>
            </a:ext>
          </a:extLst>
        </xdr:cNvPr>
        <xdr:cNvSpPr/>
      </xdr:nvSpPr>
      <xdr:spPr>
        <a:xfrm>
          <a:off x="18689637" y="318295"/>
          <a:ext cx="776969" cy="317727"/>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2456090</xdr:colOff>
      <xdr:row>1</xdr:row>
      <xdr:rowOff>73478</xdr:rowOff>
    </xdr:from>
    <xdr:to>
      <xdr:col>5</xdr:col>
      <xdr:colOff>3453040</xdr:colOff>
      <xdr:row>2</xdr:row>
      <xdr:rowOff>125638</xdr:rowOff>
    </xdr:to>
    <xdr:sp macro="" textlink="">
      <xdr:nvSpPr>
        <xdr:cNvPr id="4" name="Rectangle: Rounded Corners 5">
          <a:hlinkClick xmlns:r="http://schemas.openxmlformats.org/officeDocument/2006/relationships" r:id="rId1"/>
          <a:extLst>
            <a:ext uri="{FF2B5EF4-FFF2-40B4-BE49-F238E27FC236}">
              <a16:creationId xmlns:a16="http://schemas.microsoft.com/office/drawing/2014/main" id="{A54FF2BD-5C34-4D79-B506-1E8D5B66564D}"/>
            </a:ext>
          </a:extLst>
        </xdr:cNvPr>
        <xdr:cNvSpPr/>
      </xdr:nvSpPr>
      <xdr:spPr>
        <a:xfrm>
          <a:off x="17056554" y="250371"/>
          <a:ext cx="996950" cy="365124"/>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376874</xdr:colOff>
      <xdr:row>1</xdr:row>
      <xdr:rowOff>45562</xdr:rowOff>
    </xdr:from>
    <xdr:to>
      <xdr:col>4</xdr:col>
      <xdr:colOff>1067278</xdr:colOff>
      <xdr:row>2</xdr:row>
      <xdr:rowOff>38895</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C544749C-2D2A-4273-A870-D63017560729}"/>
            </a:ext>
          </a:extLst>
        </xdr:cNvPr>
        <xdr:cNvSpPr/>
      </xdr:nvSpPr>
      <xdr:spPr>
        <a:xfrm>
          <a:off x="12914155" y="212250"/>
          <a:ext cx="690404" cy="302895"/>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2945765</xdr:colOff>
      <xdr:row>1</xdr:row>
      <xdr:rowOff>72390</xdr:rowOff>
    </xdr:from>
    <xdr:to>
      <xdr:col>7</xdr:col>
      <xdr:colOff>3606801</xdr:colOff>
      <xdr:row>2</xdr:row>
      <xdr:rowOff>53976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9694B841-B5A3-410A-B01B-F754DA130206}"/>
            </a:ext>
          </a:extLst>
        </xdr:cNvPr>
        <xdr:cNvSpPr/>
      </xdr:nvSpPr>
      <xdr:spPr>
        <a:xfrm>
          <a:off x="14109065" y="234315"/>
          <a:ext cx="661036" cy="295911"/>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324303</xdr:colOff>
      <xdr:row>1</xdr:row>
      <xdr:rowOff>39916</xdr:rowOff>
    </xdr:from>
    <xdr:to>
      <xdr:col>17</xdr:col>
      <xdr:colOff>723447</xdr:colOff>
      <xdr:row>2</xdr:row>
      <xdr:rowOff>84819</xdr:rowOff>
    </xdr:to>
    <xdr:sp macro="" textlink="">
      <xdr:nvSpPr>
        <xdr:cNvPr id="2" name="Rectangle: Rounded Corners 5">
          <a:hlinkClick xmlns:r="http://schemas.openxmlformats.org/officeDocument/2006/relationships" r:id="rId1"/>
          <a:extLst>
            <a:ext uri="{FF2B5EF4-FFF2-40B4-BE49-F238E27FC236}">
              <a16:creationId xmlns:a16="http://schemas.microsoft.com/office/drawing/2014/main" id="{F58B9707-91B2-4539-A5FA-7ABDEF730679}"/>
            </a:ext>
          </a:extLst>
        </xdr:cNvPr>
        <xdr:cNvSpPr/>
      </xdr:nvSpPr>
      <xdr:spPr>
        <a:xfrm>
          <a:off x="16564428" y="214541"/>
          <a:ext cx="2399394" cy="362403"/>
        </a:xfrm>
        <a:prstGeom prst="roundRect">
          <a:avLst/>
        </a:prstGeom>
        <a:solidFill>
          <a:srgbClr val="1E22A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Verdana" panose="020B0604030504040204" pitchFamily="34" charset="0"/>
              <a:ea typeface="Verdana" panose="020B0604030504040204" pitchFamily="34" charset="0"/>
            </a:rPr>
            <a:t>Home</a:t>
          </a:r>
        </a:p>
      </xdr:txBody>
    </xdr:sp>
    <xdr:clientData/>
  </xdr:twoCellAnchor>
</xdr:wsDr>
</file>

<file path=xl/persons/person.xml><?xml version="1.0" encoding="utf-8"?>
<personList xmlns="http://schemas.microsoft.com/office/spreadsheetml/2018/threadedcomments" xmlns:x="http://schemas.openxmlformats.org/spreadsheetml/2006/main">
  <person displayName="Xin Ngfat" id="{F4220FD2-7558-4741-BBAB-9074C7EFAC39}" userId="xin.ngfat@matthey.com" providerId="PeoplePicker"/>
  <person displayName="Gary Machin" id="{FC52F80B-84B8-43F7-A5E0-FE3EB28AFC19}" userId="Gary.Machin@matthey.com" providerId="PeoplePicker"/>
  <person displayName="Julie Bolam" id="{56837F4D-98AE-47A8-BBB8-DF4A5807D6FC}" userId="Julie.Bolam@matthey.com" providerId="PeoplePicker"/>
  <person displayName="Tony Malone" id="{A91117D3-B92D-49E3-BF2C-B525DE5A9950}" userId="Tony.Malone@matthey.com" providerId="PeoplePicker"/>
  <person displayName="Holly Scott" id="{120D46B2-DC5C-45FC-801C-D947D6172F47}" userId="holly.scott@matthey.com" providerId="PeoplePicker"/>
  <person displayName="Graeme Ellis" id="{BFA071F7-F323-481E-9A2F-58466DCEC08F}" userId="Graeme.Ellis@matthey.com" providerId="PeoplePicker"/>
  <person displayName="Trevor Rouse" id="{DB587674-DFC6-40D1-B86F-A160DC484CC7}" userId="Trevor.Rouse@matthey.com" providerId="PeoplePicker"/>
  <person displayName="Victoria Barlow" id="{958ACA67-8A81-4DE0-9E77-085D6A961BE1}" userId="Victoria.BArlow@matthey.com" providerId="PeoplePicker"/>
  <person displayName="Xin Ngfat" id="{FFB89494-4C8C-4DF8-AB66-EF7261C141A5}" userId="S::xin.ngfat@matthey.com::42310b3c-a146-49d6-9822-712383918215" providerId="AD"/>
  <person displayName="Tony Malone" id="{E1623999-F9A8-4EC8-8D3B-00734938D900}" userId="S::Tony.Malone@matthey.com::9dc78bb7-226d-4a69-b201-0da6dc0f20f6" providerId="AD"/>
  <person displayName="Julie Bolam" id="{492F2C60-448D-4089-9B04-C8158CA34543}" userId="S::julie.bolam@matthey.com::9f012013-4cb9-420f-91f3-903ce311daba" providerId="AD"/>
  <person displayName="Tony Malone" id="{44DF744A-8902-4FBE-BABD-0F0ABEADB985}" userId="S::tony.malone@matthey.com::9dc78bb7-226d-4a69-b201-0da6dc0f20f6" providerId="AD"/>
  <person displayName="Trevor Rouse" id="{C017F7F4-BE32-4D0D-8779-D892A34AC297}" userId="S::trevor.rouse@matthey.com::51e38b27-88af-48ab-ba6d-c0686a6c1e52" providerId="AD"/>
  <person displayName="Victoria Barlow" id="{E8CA4EDD-2D17-4DEE-9F0D-2A16927BA2D7}" userId="S::victoria.barlow@matthey.com::7b7b1888-62ed-49b3-9f77-28fada238780" providerId="AD"/>
</personList>
</file>

<file path=xl/theme/theme1.xml><?xml version="1.0" encoding="utf-8"?>
<a:theme xmlns:a="http://schemas.openxmlformats.org/drawingml/2006/main" name="Office Theme">
  <a:themeElements>
    <a:clrScheme name="JM - External">
      <a:dk1>
        <a:srgbClr val="000000"/>
      </a:dk1>
      <a:lt1>
        <a:srgbClr val="FFFFFF"/>
      </a:lt1>
      <a:dk2>
        <a:srgbClr val="1E22AA"/>
      </a:dk2>
      <a:lt2>
        <a:srgbClr val="575756"/>
      </a:lt2>
      <a:accent1>
        <a:srgbClr val="1E22AA"/>
      </a:accent1>
      <a:accent2>
        <a:srgbClr val="E50076"/>
      </a:accent2>
      <a:accent3>
        <a:srgbClr val="9DD3CB"/>
      </a:accent3>
      <a:accent4>
        <a:srgbClr val="00ACE9"/>
      </a:accent4>
      <a:accent5>
        <a:srgbClr val="6E368C"/>
      </a:accent5>
      <a:accent6>
        <a:srgbClr val="E3E3E3"/>
      </a:accent6>
      <a:hlink>
        <a:srgbClr val="575756"/>
      </a:hlink>
      <a:folHlink>
        <a:srgbClr val="57575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0" dT="2023-04-12T12:27:26.58" personId="{E1623999-F9A8-4EC8-8D3B-00734938D900}" id="{045CEAD6-44D5-4DE1-AE3A-0499C42C9616}">
    <text>Scope 1 value restated due to improbved accuracy in N2O reporting.</text>
  </threadedComment>
  <threadedComment ref="I10" dT="2023-04-12T12:27:36.79" personId="{E1623999-F9A8-4EC8-8D3B-00734938D900}" id="{D8177E34-4D20-4233-952E-063C50A69C81}">
    <text>Scope 1 value restated due to improbved accuracy in N2O reporting.</text>
  </threadedComment>
  <threadedComment ref="J10" dT="2023-04-12T12:27:45.86" personId="{E1623999-F9A8-4EC8-8D3B-00734938D900}" id="{EB1C496A-7E95-46CD-B1C4-2C14A77160C9}">
    <text>Scope 1 value restated due to improbved accuracy in N2O reporting.</text>
  </threadedComment>
  <threadedComment ref="K10" dT="2023-04-12T12:27:58.30" personId="{E1623999-F9A8-4EC8-8D3B-00734938D900}" id="{31588365-2E37-48C3-A341-F195A3CC917D}">
    <text>Scope 1 value restated due to improbved accuracy in N2O reporting.</text>
  </threadedComment>
  <threadedComment ref="L10" dT="2023-04-12T12:28:06.58" personId="{E1623999-F9A8-4EC8-8D3B-00734938D900}" id="{6DE5A362-2CB6-4CAE-918A-B45D7D1B215B}">
    <text>Scope 1 value restated due to improbved accuracy in N2O reporting.</text>
  </threadedComment>
  <threadedComment ref="M10" dT="2023-04-12T12:28:16.35" personId="{E1623999-F9A8-4EC8-8D3B-00734938D900}" id="{66A0C1D0-063F-46BA-B2B7-35584E49DB76}">
    <text>Scope 1 value restated due to improbved accuracy in N2O reporting.</text>
  </threadedComment>
  <threadedComment ref="N10" dT="2023-04-12T12:28:27.27" personId="{E1623999-F9A8-4EC8-8D3B-00734938D900}" id="{7395D06B-4809-436C-8613-C7B8EA4843EA}">
    <text>Scope 1 value restated due to improbved accuracy in N2O reporting.</text>
  </threadedComment>
  <threadedComment ref="H13" dT="2023-04-12T12:28:48.72" personId="{E1623999-F9A8-4EC8-8D3B-00734938D900}" id="{E2DACDBD-2CE9-404F-9CD1-EA1926F7E895}">
    <text>Scope 1 value restated due to improbved accuracy in N2O reporting.</text>
  </threadedComment>
  <threadedComment ref="I13" dT="2023-04-12T12:28:56.19" personId="{E1623999-F9A8-4EC8-8D3B-00734938D900}" id="{5BBA88AF-99A1-4EE5-A219-EE93D2238B34}">
    <text>Scope 1 value restated due to improbved accuracy in N2O reporting.</text>
  </threadedComment>
  <threadedComment ref="J13" dT="2023-04-12T12:29:04.39" personId="{E1623999-F9A8-4EC8-8D3B-00734938D900}" id="{2C43F909-8CE6-44CD-A9BD-F2A9F2136806}">
    <text>Scope 1 value restated due to improbved accuracy in N2O reporting.</text>
  </threadedComment>
  <threadedComment ref="K13" dT="2023-04-12T12:29:12.64" personId="{E1623999-F9A8-4EC8-8D3B-00734938D900}" id="{DCA6DCC2-4F95-4441-8A02-030ECD0194BB}">
    <text>Scope 1 value restated due to improbved accuracy in N2O reporting.</text>
  </threadedComment>
  <threadedComment ref="L13" dT="2023-04-12T12:29:21.44" personId="{E1623999-F9A8-4EC8-8D3B-00734938D900}" id="{E5EF1409-32A3-47D2-95CD-E380E26A28E5}">
    <text>Scope 1 value restated due to improbved accuracy in N2O reporting.</text>
  </threadedComment>
  <threadedComment ref="M13" dT="2023-04-12T12:29:32.19" personId="{E1623999-F9A8-4EC8-8D3B-00734938D900}" id="{B6AECDD5-0693-4415-B7BC-DF4F010AB5EF}">
    <text>Scope 1 value restated due to improbved accuracy in N2O reporting.</text>
  </threadedComment>
  <threadedComment ref="N13" dT="2023-04-12T12:29:41.81" personId="{E1623999-F9A8-4EC8-8D3B-00734938D900}" id="{FD31075B-9724-4D99-9246-CAB9D9771295}">
    <text>Scope 1 value restated due to improbved accuracy in N2O reporting.</text>
  </threadedComment>
  <threadedComment ref="H14" dT="2023-04-12T12:29:51.00" personId="{E1623999-F9A8-4EC8-8D3B-00734938D900}" id="{2D5D4FAA-F4DC-4012-BB10-693DB2B05DC8}">
    <text>Scope 1 value restated due to improbved accuracy in N2O reporting.</text>
  </threadedComment>
  <threadedComment ref="I14" dT="2023-04-12T12:29:59.63" personId="{E1623999-F9A8-4EC8-8D3B-00734938D900}" id="{05FA9193-32F8-40FA-BE15-690D7028CBCC}">
    <text>Scope 1 value restated due to improbved accuracy in N2O reporting.</text>
  </threadedComment>
  <threadedComment ref="J14" dT="2023-04-12T12:30:08.49" personId="{E1623999-F9A8-4EC8-8D3B-00734938D900}" id="{F313A705-16E2-42CA-911B-106A4110655C}">
    <text>Scope 1 value restated due to improbved accuracy in N2O reporting.</text>
  </threadedComment>
  <threadedComment ref="K14" dT="2023-04-12T12:30:15.63" personId="{E1623999-F9A8-4EC8-8D3B-00734938D900}" id="{0218E8B7-C208-4FBE-8BF2-6D8FB15A903F}">
    <text>Scope 1 value restated due to improbved accuracy in N2O reporting.</text>
  </threadedComment>
  <threadedComment ref="L14" dT="2023-04-12T12:30:24.77" personId="{E1623999-F9A8-4EC8-8D3B-00734938D900}" id="{1E44BA25-80ED-4FB3-9E92-571D4DF6C243}">
    <text>Scope 1 value restated due to improbved accuracy in N2O reporting.</text>
  </threadedComment>
  <threadedComment ref="M14" dT="2023-04-12T12:30:32.46" personId="{E1623999-F9A8-4EC8-8D3B-00734938D900}" id="{4B56B321-22A0-41E6-BEBD-72F8A1AB0AB7}">
    <text>Scope 1 value restated due to improbved accuracy in N2O reporting.</text>
  </threadedComment>
  <threadedComment ref="N14" dT="2023-04-12T12:30:40.17" personId="{E1623999-F9A8-4EC8-8D3B-00734938D900}" id="{C8765530-3B60-4CEF-A961-F5F29077E42B}">
    <text>Scope 1 value restated due to improbved accuracy in N2O reporting.</text>
  </threadedComment>
  <threadedComment ref="G100" dT="2022-04-14T12:32:10.40" personId="{E1623999-F9A8-4EC8-8D3B-00734938D900}" id="{56C32388-E193-46ED-9ACA-92FB0958F5BB}">
    <text>Original data was 298,955 kg</text>
  </threadedComment>
  <threadedComment ref="H100" dT="2022-04-14T12:34:15.87" personId="{E1623999-F9A8-4EC8-8D3B-00734938D900}" id="{E99AD1A7-DF42-4DF8-BA52-F02DF784972E}">
    <text>Original value was 301,869</text>
  </threadedComment>
  <threadedComment ref="K120" dT="2022-04-14T09:02:14.77" personId="{E1623999-F9A8-4EC8-8D3B-00734938D900}" id="{1E0FCF4C-9EEA-4D19-B7A5-51AF4D59D8FE}">
    <text>Original value before rstatement was 4107694</text>
  </threadedComment>
  <threadedComment ref="K122" dT="2022-04-14T09:06:39.21" personId="{E1623999-F9A8-4EC8-8D3B-00734938D900}" id="{ABC36D99-FAA2-463C-B701-6B82A6B210FA}">
    <text>Original value before restatement was 1224735</text>
  </threadedComment>
  <threadedComment ref="K125" dT="2022-04-14T09:12:14.27" personId="{E1623999-F9A8-4EC8-8D3B-00734938D900}" id="{07B07872-8C1B-4596-8DAE-D7873EADC94A}">
    <text>Original value before restatement was 615809</text>
  </threadedComment>
  <threadedComment ref="K130" dT="2022-04-14T08:24:52.39" personId="{E1623999-F9A8-4EC8-8D3B-00734938D900}" id="{29719286-53A7-48C2-8938-DF1D49675701}">
    <text>Original value last year of 141026138 changed after energy restatements for renewable energy</text>
  </threadedComment>
  <threadedComment ref="K132" dT="2022-04-14T08:23:52.68" personId="{E1623999-F9A8-4EC8-8D3B-00734938D900}" id="{1A878988-3E19-4FE6-A6B1-9181675A35CC}">
    <text>Original value from last year reported was 340204183 Following restatement has altered</text>
  </threadedComment>
  <threadedComment ref="K135" dT="2022-04-14T08:44:59.84" personId="{E1623999-F9A8-4EC8-8D3B-00734938D900}" id="{3E34FCC1-B6DB-4896-A1B4-C063FABAF873}">
    <text>Original value before correction was 171,057,996</text>
  </threadedComment>
  <threadedComment ref="K137" dT="2022-04-14T09:01:42.53" personId="{E1623999-F9A8-4EC8-8D3B-00734938D900}" id="{E2276F93-69E3-4439-8844-5EA8EE80479C}">
    <text>Original value was 30.9% before restatement of renewable electricity</text>
  </threadedComment>
</ThreadedComments>
</file>

<file path=xl/threadedComments/threadedComment2.xml><?xml version="1.0" encoding="utf-8"?>
<ThreadedComments xmlns="http://schemas.microsoft.com/office/spreadsheetml/2018/threadedcomments" xmlns:x="http://schemas.openxmlformats.org/spreadsheetml/2006/main">
  <threadedComment ref="R34" dT="2024-04-26T18:52:15.45" personId="{FFB89494-4C8C-4DF8-AB66-EF7261C141A5}" id="{F092CB2E-4203-42F2-BD2F-74C6245C12F3}">
    <text>@Trevor Rouse are you able to carve out China?</text>
    <mentions>
      <mention mentionpersonId="{DB587674-DFC6-40D1-B86F-A160DC484CC7}" mentionId="{3A0A644E-0D52-46C6-8E5C-E8AAA6230E4E}" startIndex="0" length="13"/>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F1" dT="2024-04-24T09:32:30.08" personId="{FFB89494-4C8C-4DF8-AB66-EF7261C141A5}" id="{E4F7E7CA-AF99-4444-B457-44EA0116EAC2}">
    <text>@Graeme Ellis fyi</text>
    <mentions>
      <mention mentionpersonId="{BFA071F7-F323-481E-9A2F-58466DCEC08F}" mentionId="{FBE9DE70-6162-4DF3-AF02-1820E86438B1}" startIndex="0" length="13"/>
    </mentions>
  </threadedComment>
  <threadedComment ref="G1" dT="2024-01-05T11:58:54.60" personId="{FFB89494-4C8C-4DF8-AB66-EF7261C141A5}" id="{4797ADAB-84A8-44DA-BC88-ABF14B481556}">
    <text xml:space="preserve">@Gary Machin hello, please see this working version of the 2024 databook
</text>
    <mentions>
      <mention mentionpersonId="{FC52F80B-84B8-43F7-A5E0-FE3EB28AFC19}" mentionId="{C355CED3-86D3-4BC7-9301-F5CAA9DD1958}" startIndex="0" length="12"/>
    </mentions>
  </threadedComment>
</ThreadedComments>
</file>

<file path=xl/threadedComments/threadedComment4.xml><?xml version="1.0" encoding="utf-8"?>
<ThreadedComments xmlns="http://schemas.microsoft.com/office/spreadsheetml/2018/threadedcomments" xmlns:x="http://schemas.openxmlformats.org/spreadsheetml/2006/main">
  <threadedComment ref="F58" dT="2023-05-19T13:04:32.47" personId="{FFB89494-4C8C-4DF8-AB66-EF7261C141A5}" id="{D3D927BC-1CDB-4513-B406-DEBDB920A912}">
    <text>@Tony Malone I dunno if you have to replicate this on the "actual" tab now?</text>
    <mentions>
      <mention mentionpersonId="{A91117D3-B92D-49E3-BF2C-B525DE5A9950}" mentionId="{73E61544-9BFC-42F0-9982-F0C1A2405ABC}" startIndex="0" length="12"/>
    </mentions>
  </threadedComment>
  <threadedComment ref="N134" dT="2023-05-19T17:08:59.20" personId="{FFB89494-4C8C-4DF8-AB66-EF7261C141A5}" id="{4E702EDD-0DD4-4CC2-8471-CFD1D7BD8A98}">
    <text>@Tony Malone I've just subtracted and got this number, is it ok? It was zero in 2019/20?</text>
    <mentions>
      <mention mentionpersonId="{A91117D3-B92D-49E3-BF2C-B525DE5A9950}" mentionId="{DFD1E6D3-2606-42B2-BEEE-BE1E159B2FA4}" startIndex="0" length="12"/>
    </mentions>
  </threadedComment>
  <threadedComment ref="N134" dT="2023-05-22T15:19:10.53" personId="{44DF744A-8902-4FBE-BABD-0F0ABEADB985}" id="{D4C5FDC9-18DD-42DA-BC1F-751932AB76BE}" parentId="{4E702EDD-0DD4-4CC2-8471-CFD1D7BD8A98}">
    <text>@Xin Ngfat We were not recording this data at this point so we do not have a number for this indicator</text>
    <mentions>
      <mention mentionpersonId="{F4220FD2-7558-4741-BBAB-9074C7EFAC39}" mentionId="{D35D1A60-0CF8-4C03-B39E-A6510C1D2EBA}" startIndex="0" length="10"/>
    </mentions>
  </threadedComment>
</ThreadedComments>
</file>

<file path=xl/threadedComments/threadedComment5.xml><?xml version="1.0" encoding="utf-8"?>
<ThreadedComments xmlns="http://schemas.microsoft.com/office/spreadsheetml/2018/threadedcomments" xmlns:x="http://schemas.openxmlformats.org/spreadsheetml/2006/main">
  <threadedComment ref="B32" dT="2023-04-03T16:01:22.18" personId="{FFB89494-4C8C-4DF8-AB66-EF7261C141A5}" id="{88CFE28E-21D1-4056-9225-B05788A1C467}">
    <text>@Victoria Barlow - for your team to provide numbers once finalised. Thank you.</text>
    <mentions>
      <mention mentionpersonId="{958ACA67-8A81-4DE0-9E77-085D6A961BE1}" mentionId="{8DE731B3-12A2-4412-B751-4724357E6A54}" startIndex="0" length="16"/>
    </mentions>
  </threadedComment>
  <threadedComment ref="D33" dT="2023-04-26T12:57:17.92" personId="{FFB89494-4C8C-4DF8-AB66-EF7261C141A5}" id="{C02B732B-636A-4CEB-815E-3948C14291C4}">
    <text>@Trevor Rouse are these numbers as at 31st March 2023 or avg numbers over the financial year?</text>
    <mentions>
      <mention mentionpersonId="{DB587674-DFC6-40D1-B86F-A160DC484CC7}" mentionId="{8A792534-EE6E-4AA2-9238-5CC7F749CAA1}" startIndex="0" length="13"/>
    </mentions>
  </threadedComment>
  <threadedComment ref="D33" dT="2023-04-26T19:04:46.26" personId="{C017F7F4-BE32-4D0D-8779-D892A34AC297}" id="{B95CE716-357E-4556-8FF1-D28FE699C3FC}" parentId="{C02B732B-636A-4CEB-815E-3948C14291C4}">
    <text>As at 31st March 2023</text>
  </threadedComment>
  <threadedComment ref="C34" dT="2023-04-25T16:05:42.34" personId="{FFB89494-4C8C-4DF8-AB66-EF7261C141A5}" id="{02AD94CE-5BA5-4EDE-8525-A8931064BB55}">
    <text>@Trevor Rouse do you have a definition we can use here? preferably not with GG12+ as that won't mean anything externally</text>
    <mentions>
      <mention mentionpersonId="{DB587674-DFC6-40D1-B86F-A160DC484CC7}" mentionId="{BE4B5041-6781-4C7B-AACA-A1DE96D9C922}" startIndex="0" length="13"/>
    </mentions>
  </threadedComment>
  <threadedComment ref="C34" dT="2023-04-26T19:14:19.66" personId="{C017F7F4-BE32-4D0D-8779-D892A34AC297}" id="{FAD71C8B-32E8-40FF-9C17-A98740DC73F6}" parentId="{02AD94CE-5BA5-4EDE-8525-A8931064BB55}">
    <text>All employees whether they are a People manager or not at a minimum pay grade</text>
  </threadedComment>
  <threadedComment ref="M34" dT="2023-05-12T09:30:12.51" personId="{FFB89494-4C8C-4DF8-AB66-EF7261C141A5}" id="{BEFF355C-3301-4268-899F-0446A980FBF7}">
    <text>@Trevor Rouse please could you just confirm this number for me, make sure you are happy with the split and that this is 28% for 2022/23</text>
    <mentions>
      <mention mentionpersonId="{DB587674-DFC6-40D1-B86F-A160DC484CC7}" mentionId="{DAF17AEE-77B1-4DA5-ABAB-1DD7C90DB0EF}" startIndex="0" length="13"/>
    </mentions>
  </threadedComment>
  <threadedComment ref="M34" dT="2023-05-12T10:01:01.59" personId="{C017F7F4-BE32-4D0D-8779-D892A34AC297}" id="{D318FECB-6124-4784-8710-8FFCEBB0A164}" parentId="{BEFF355C-3301-4268-899F-0446A980FBF7}">
    <text>Yes - happy with the split and the 28%</text>
  </threadedComment>
  <threadedComment ref="B37" dT="2023-04-21T22:16:31.86" personId="{E8CA4EDD-2D17-4DEE-9F0D-2A16927BA2D7}" id="{6E85BAEE-3492-4EDB-A49D-4F4B86EF50CB}">
    <text>VB reviewed and confirmed 21/04/23</text>
  </threadedComment>
  <threadedComment ref="B37" dT="2023-04-27T11:11:39.24" personId="{FFB89494-4C8C-4DF8-AB66-EF7261C141A5}" id="{B4B7D574-9CD5-4C51-BAC2-011B86838721}" parentId="{6E85BAEE-3492-4EDB-A49D-4F4B86EF50CB}">
    <text>@Victoria Barlow thank you, do we have any historical data?</text>
    <mentions>
      <mention mentionpersonId="{958ACA67-8A81-4DE0-9E77-085D6A961BE1}" mentionId="{64E00A25-8E6A-4BA1-8350-AFB036124120}" startIndex="0" length="16"/>
    </mentions>
  </threadedComment>
  <threadedComment ref="B37" dT="2023-05-10T08:21:47.03" personId="{FFB89494-4C8C-4DF8-AB66-EF7261C141A5}" id="{FA9CB1B0-C70D-40CB-8CB3-CD824C556B83}" parentId="{6E85BAEE-3492-4EDB-A49D-4F4B86EF50CB}">
    <text>@Victoria Barlow is there any prior years data available?</text>
    <mentions>
      <mention mentionpersonId="{958ACA67-8A81-4DE0-9E77-085D6A961BE1}" mentionId="{E385FFE5-D557-4F13-A430-DA94CF6F3F2C}" startIndex="0" length="16"/>
    </mentions>
  </threadedComment>
  <threadedComment ref="B37" dT="2023-05-11T19:58:53.11" personId="{FFB89494-4C8C-4DF8-AB66-EF7261C141A5}" id="{BBD7D8A5-45F0-42A0-A0EC-916ADA495480}" parentId="{6E85BAEE-3492-4EDB-A49D-4F4B86EF50CB}">
    <text>@Holly Scott are you able to provide prior year ages?</text>
    <mentions>
      <mention mentionpersonId="{120D46B2-DC5C-45FC-801C-D947D6172F47}" mentionId="{A312E632-2606-48DE-A031-ECD08FF38EEE}" startIndex="0" length="12"/>
    </mentions>
  </threadedComment>
  <threadedComment ref="B37" dT="2023-05-12T23:06:31.18" personId="{E8CA4EDD-2D17-4DEE-9F0D-2A16927BA2D7}" id="{68C95814-9226-4D16-91C1-1AAB5EA0ABE0}" parentId="{6E85BAEE-3492-4EDB-A49D-4F4B86EF50CB}">
    <text>@Xin Ngfat added in</text>
    <mentions>
      <mention mentionpersonId="{F4220FD2-7558-4741-BBAB-9074C7EFAC39}" mentionId="{1E624491-19CC-4E96-9FF8-3F62509CACBA}" startIndex="0" length="10"/>
    </mentions>
  </threadedComment>
  <threadedComment ref="B37" dT="2023-05-18T17:35:25.95" personId="{FFB89494-4C8C-4DF8-AB66-EF7261C141A5}" id="{B28D149F-B327-44D0-8CFC-4C4E7B40A099}" parentId="{6E85BAEE-3492-4EDB-A49D-4F4B86EF50CB}">
    <text>@Victoria Barlow @Holly Scott definitely some numbers in there</text>
    <mentions>
      <mention mentionpersonId="{958ACA67-8A81-4DE0-9E77-085D6A961BE1}" mentionId="{025749E4-1F2F-4582-821C-94EA6C57061E}" startIndex="0" length="16"/>
      <mention mentionpersonId="{120D46B2-DC5C-45FC-801C-D947D6172F47}" mentionId="{D6445537-9B92-4504-931B-AD74E2FBE1B8}" startIndex="17" length="12"/>
    </mentions>
  </threadedComment>
  <threadedComment ref="C47" dT="2023-04-19T17:57:29.28" personId="{FFB89494-4C8C-4DF8-AB66-EF7261C141A5}" id="{001970F9-6B2E-4346-99A5-39219D8D021B}">
    <text>@Trevor Rouse why is this? Age details voluntary?</text>
    <mentions>
      <mention mentionpersonId="{DB587674-DFC6-40D1-B86F-A160DC484CC7}" mentionId="{B5EFF236-7D0C-49D2-A193-1B97666F3982}" startIndex="0" length="13"/>
    </mentions>
  </threadedComment>
  <threadedComment ref="C47" dT="2023-04-19T23:22:50.01" personId="{C017F7F4-BE32-4D0D-8779-D892A34AC297}" id="{B1D22F47-A607-49A1-B930-A1FBB28E6252}" parentId="{001970F9-6B2E-4346-99A5-39219D8D021B}">
    <text>Yes - age details voluntary</text>
  </threadedComment>
  <threadedComment ref="C51" dT="2023-04-26T10:38:57.18" personId="{FFB89494-4C8C-4DF8-AB66-EF7261C141A5}" id="{03841D26-5513-474E-A67B-CF977A8D9E33}">
    <text>@Trevor Rouse</text>
    <mentions>
      <mention mentionpersonId="{DB587674-DFC6-40D1-B86F-A160DC484CC7}" mentionId="{BD9E69CA-0901-4F8F-AB0D-7A41FC63275E}" startIndex="0" length="13"/>
    </mentions>
  </threadedComment>
  <threadedComment ref="C51" dT="2023-04-26T19:03:11.05" personId="{C017F7F4-BE32-4D0D-8779-D892A34AC297}" id="{E6D833B0-1799-44A1-9816-F35B50CFD5E2}" parentId="{03841D26-5513-474E-A67B-CF977A8D9E33}">
    <text>Employee turnover rate initiated by employer</text>
  </threadedComment>
  <threadedComment ref="C53" dT="2023-05-11T13:21:21.85" personId="{FFB89494-4C8C-4DF8-AB66-EF7261C141A5}" id="{E9077630-1FCD-49E0-8638-50CEE60F698E}">
    <text>@Trevor Rouse can we put in the calculation detail please of first day, last day etc</text>
    <mentions>
      <mention mentionpersonId="{DB587674-DFC6-40D1-B86F-A160DC484CC7}" mentionId="{3F9AA52A-7FBB-4882-AF2D-4FD84F5868B1}" startIndex="0" length="13"/>
    </mentions>
  </threadedComment>
  <threadedComment ref="C53" dT="2023-05-11T13:25:01.58" personId="{FFB89494-4C8C-4DF8-AB66-EF7261C141A5}" id="{6E1CF550-BBC2-49BF-9F0B-11E0128BE1B9}" parentId="{E9077630-1FCD-49E0-8638-50CEE60F698E}">
    <text>@Trevor Rouse and perm employee only</text>
    <mentions>
      <mention mentionpersonId="{DB587674-DFC6-40D1-B86F-A160DC484CC7}" mentionId="{396C589A-D717-45F3-98ED-2D723C25EBE3}" startIndex="0" length="13"/>
    </mentions>
  </threadedComment>
  <threadedComment ref="C53" dT="2023-05-11T14:08:02.29" personId="{C017F7F4-BE32-4D0D-8779-D892A34AC297}" id="{55EE225F-4C09-4EBB-A02C-9FECD4C40209}" parentId="{E9077630-1FCD-49E0-8638-50CEE60F698E}">
    <text>@Xin Ngfat - think you have this now - number of leavers over last 12 months divided by average headcount say as at data points 1 April 2022 and 31 March 2023</text>
    <mentions>
      <mention mentionpersonId="{F4220FD2-7558-4741-BBAB-9074C7EFAC39}" mentionId="{17438211-CD55-4B04-B85D-626B2E41E07E}" startIndex="0" length="10"/>
    </mentions>
  </threadedComment>
  <threadedComment ref="C54" dT="2023-04-26T10:38:57.18" personId="{FFB89494-4C8C-4DF8-AB66-EF7261C141A5}" id="{8D7664A8-D9AB-409E-BC7A-63330965D85C}">
    <text>@Trevor Rouse</text>
    <mentions>
      <mention mentionpersonId="{DB587674-DFC6-40D1-B86F-A160DC484CC7}" mentionId="{0A96DF18-0285-4C3A-B173-2747118ED4AF}" startIndex="0" length="13"/>
    </mentions>
  </threadedComment>
  <threadedComment ref="C54" dT="2023-04-26T19:03:11.05" personId="{C017F7F4-BE32-4D0D-8779-D892A34AC297}" id="{BA9456A9-14D6-4BE0-874F-DA6C731ABC2F}" parentId="{8D7664A8-D9AB-409E-BC7A-63330965D85C}">
    <text>Employee turnover rate initiated by employer</text>
  </threadedComment>
  <threadedComment ref="C94" dT="2023-05-11T12:32:18.27" personId="{FFB89494-4C8C-4DF8-AB66-EF7261C141A5}" id="{24774F3C-A95F-4E42-B59F-47A22CD07DB5}">
    <text>@Trevor Rouse could you provide this excl health please - I think it's 12510 this year, any idea for historical?</text>
    <mentions>
      <mention mentionpersonId="{DB587674-DFC6-40D1-B86F-A160DC484CC7}" mentionId="{F7A899CD-3D72-4A9E-98A8-5C4CE134CB44}" startIndex="0" length="13"/>
    </mentions>
  </threadedComment>
  <threadedComment ref="B115" dT="2023-05-16T15:59:05.34" personId="{FFB89494-4C8C-4DF8-AB66-EF7261C141A5}" id="{65C9ADAF-508A-4C6E-B538-0C965DAA136B}">
    <text>@Trevor Rouse is this something you can pull from Workday?</text>
    <mentions>
      <mention mentionpersonId="{DB587674-DFC6-40D1-B86F-A160DC484CC7}" mentionId="{95E82A99-462C-4A03-A131-40F5DE847644}" startIndex="0" length="13"/>
    </mentions>
  </threadedComment>
  <threadedComment ref="B124" dT="2023-05-16T15:59:05.34" personId="{FFB89494-4C8C-4DF8-AB66-EF7261C141A5}" id="{A2CA4E63-ED3C-426E-B8D2-FEF83A215810}">
    <text>@Trevor Rouse is this something you can pull from Workday?</text>
    <mentions>
      <mention mentionpersonId="{DB587674-DFC6-40D1-B86F-A160DC484CC7}" mentionId="{46891BC0-A160-484D-8220-659F81E33D34}" startIndex="0" length="13"/>
    </mentions>
  </threadedComment>
  <threadedComment ref="B132" dT="2023-05-16T15:59:05.34" personId="{FFB89494-4C8C-4DF8-AB66-EF7261C141A5}" id="{D0DCF2E0-067B-4DB8-8039-E4686F86BC52}">
    <text>@Trevor Rouse is this something you can pull from Workday?</text>
    <mentions>
      <mention mentionpersonId="{DB587674-DFC6-40D1-B86F-A160DC484CC7}" mentionId="{FA8501AD-3FDD-4468-8B7A-5924B7C8CC27}" startIndex="0" length="13"/>
    </mentions>
  </threadedComment>
  <threadedComment ref="B138" dT="2023-05-16T15:59:05.34" personId="{FFB89494-4C8C-4DF8-AB66-EF7261C141A5}" id="{FD15BE50-FFBA-48D5-AEB0-A413712E4AD2}">
    <text>@Trevor Rouse is this something you can pull from Workday?</text>
    <mentions>
      <mention mentionpersonId="{DB587674-DFC6-40D1-B86F-A160DC484CC7}" mentionId="{0C1F2AAA-FBCB-4364-92AD-3D35F19073A0}" startIndex="0" length="13"/>
    </mentions>
  </threadedComment>
  <threadedComment ref="C151" dT="2023-05-18T12:49:47.89" personId="{FFB89494-4C8C-4DF8-AB66-EF7261C141A5}" id="{728C9CDD-C922-4B62-BF8F-21E63D9803F2}">
    <text>@Julie Bolam to confirm once happy with the breakdown of numbers please.</text>
    <mentions>
      <mention mentionpersonId="{56837F4D-98AE-47A8-BBB8-DF4A5807D6FC}" mentionId="{C0FC51FF-49DB-4AC6-A51C-ABA43CC2FB5D}" startIndex="0" length="12"/>
    </mentions>
  </threadedComment>
  <threadedComment ref="C151" dT="2023-05-24T16:38:07.78" personId="{492F2C60-448D-4089-9B04-C8158CA34543}" id="{75EF2D87-9DE8-4ED1-8BC4-9CCCDCBF97BD}" parentId="{728C9CDD-C922-4B62-BF8F-21E63D9803F2}">
    <text xml:space="preserve">Only JM employees assigned Comp Law and ABAC. Code of Ethics to CW and JM . </text>
  </threadedComment>
  <threadedComment ref="C151" dT="2023-05-26T13:40:05.71" personId="{FFB89494-4C8C-4DF8-AB66-EF7261C141A5}" id="{BE704D9F-6DCD-4DC1-81E9-9037925AEC2A}" parentId="{728C9CDD-C922-4B62-BF8F-21E63D9803F2}">
    <text>@Julie Bolam 
So Comp law and ABC to permanent employees only
Code of Ethics to perm staff and temp staff with contracts over 3 months</text>
    <mentions>
      <mention mentionpersonId="{56837F4D-98AE-47A8-BBB8-DF4A5807D6FC}" mentionId="{A8A8465D-32EE-400F-844D-18633709ED36}" startIndex="0" length="12"/>
    </mentions>
  </threadedComment>
  <threadedComment ref="C182" dT="2023-05-18T12:49:47.89" personId="{FFB89494-4C8C-4DF8-AB66-EF7261C141A5}" id="{7E8A7E52-B244-4F21-B8F8-040ABF19BEC2}">
    <text>@Julie Bolam to confirm once happy with the breakdown of numbers please.</text>
    <mentions>
      <mention mentionpersonId="{56837F4D-98AE-47A8-BBB8-DF4A5807D6FC}" mentionId="{67F56105-CCE1-42F5-A21E-005B70CA8B95}" startIndex="0" length="12"/>
    </mentions>
  </threadedComment>
  <threadedComment ref="C182" dT="2023-05-24T16:38:07.78" personId="{492F2C60-448D-4089-9B04-C8158CA34543}" id="{0E818167-DF43-49E6-A93D-1E5FE727E1B4}" parentId="{7E8A7E52-B244-4F21-B8F8-040ABF19BEC2}">
    <text xml:space="preserve">Only JM employees assigned Comp Law and ABAC. Code of Ethics to CW and JM . </text>
  </threadedComment>
  <threadedComment ref="C182" dT="2023-05-26T13:40:05.71" personId="{FFB89494-4C8C-4DF8-AB66-EF7261C141A5}" id="{DE4D591F-6808-4F21-9E15-D1823A09AB6F}" parentId="{7E8A7E52-B244-4F21-B8F8-040ABF19BEC2}">
    <text>@Julie Bolam 
So Comp law and ABC to permanent employees only
Code of Ethics to perm staff and temp staff with contracts over 3 months</text>
    <mentions>
      <mention mentionpersonId="{56837F4D-98AE-47A8-BBB8-DF4A5807D6FC}" mentionId="{D33AB9D6-1F2E-410F-B955-2217618800E0}" startIndex="0" length="12"/>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3.xml"/><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matthey.com/en/about-us/partnering-with-us/supplier-code-of-conduct?assetCategoryIds=&amp;sort=ddm__keyword__232257__Date-"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19.bin"/><Relationship Id="rId5" Type="http://schemas.microsoft.com/office/2017/10/relationships/threadedComment" Target="../threadedComments/threadedComment4.xml"/><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microsoft.com/office/2017/10/relationships/threadedComment" Target="../threadedComments/threadedComment5.xml"/><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matthey.com/nature-statement" TargetMode="External"/><Relationship Id="rId3" Type="http://schemas.openxmlformats.org/officeDocument/2006/relationships/hyperlink" Target="https://matthey.com/documents/161599/481702/2022-06-07+Corporate+EHS+Policy+Statement+FINAL+%28Amended%29.pdf/5dd3eee5-76e0-8d4d-4854-42163d9a7447?t=1654961678367" TargetMode="External"/><Relationship Id="rId7" Type="http://schemas.openxmlformats.org/officeDocument/2006/relationships/hyperlink" Target="https://matthey.com/sustainability/policies-disclosures-and-position-statements/anti-bribery-and-corruption-policy" TargetMode="External"/><Relationship Id="rId2" Type="http://schemas.openxmlformats.org/officeDocument/2006/relationships/hyperlink" Target="https://matthey.com/en/sustainability/sustainability-governance" TargetMode="External"/><Relationship Id="rId1" Type="http://schemas.openxmlformats.org/officeDocument/2006/relationships/hyperlink" Target="https://matthey.com/documents/161599/481702/Global+Conflicts+of+Interest+Policy.pdf/9160e563-c3a0-35ab-d032-9d844c3cb8f5?t=1670344654748" TargetMode="External"/><Relationship Id="rId6" Type="http://schemas.openxmlformats.org/officeDocument/2006/relationships/hyperlink" Target="https://matthey.com/documents/161599/165034/Tax-Strategy-FY21.pdf/7d106cca-7a29-4856-8d18-6c65622c0e5b?t=1650968210554" TargetMode="External"/><Relationship Id="rId5" Type="http://schemas.openxmlformats.org/officeDocument/2006/relationships/hyperlink" Target="https://matthey.com/documents/161599/481702/Global+Tax+Policy.pdf/3fdd4cb2-b62b-e3f3-d170-affb18418399?t=1670345691972" TargetMode="External"/><Relationship Id="rId10" Type="http://schemas.openxmlformats.org/officeDocument/2006/relationships/drawing" Target="../drawings/drawing5.xml"/><Relationship Id="rId4" Type="http://schemas.openxmlformats.org/officeDocument/2006/relationships/hyperlink" Target="https://matthey.com/documents/161599/2096356/JM_Gender+Pay+Gap+Report+2023.pdf/b63fc339-8fb2-d833-3ef5-11b4edb9b310?t=1712141102812"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matthey.com/sustainability/sustainability-governanc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unglobalcompact.org/what-is-gc/participants/149760" TargetMode="External"/><Relationship Id="rId2" Type="http://schemas.openxmlformats.org/officeDocument/2006/relationships/hyperlink" Target="https://matthey.com/documents/161599/2096356/JM_Gender+Pay+Gap+Report+2023.pdf/b63fc339-8fb2-d833-3ef5-11b4edb9b310?t=1712141102812" TargetMode="External"/><Relationship Id="rId1" Type="http://schemas.openxmlformats.org/officeDocument/2006/relationships/hyperlink" Target="https://matthey.com/contact-us?assetCategoryIds=&amp;sort=ddm__keyword__232321__Country"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473-BB87-4E20-8775-6C1BEECC4EB3}">
  <sheetPr codeName="Sheet2">
    <tabColor theme="3"/>
    <pageSetUpPr fitToPage="1"/>
  </sheetPr>
  <dimension ref="S13"/>
  <sheetViews>
    <sheetView workbookViewId="0">
      <selection activeCell="R1" sqref="R1"/>
    </sheetView>
  </sheetViews>
  <sheetFormatPr defaultColWidth="8.88671875" defaultRowHeight="14.4"/>
  <cols>
    <col min="1" max="1" width="3.109375" style="1" customWidth="1"/>
    <col min="2" max="16384" width="8.88671875" style="1"/>
  </cols>
  <sheetData>
    <row r="13" spans="19:19">
      <c r="S13" s="886"/>
    </row>
  </sheetData>
  <sheetProtection algorithmName="SHA-512" hashValue="PmMtCh9D66Gpusnol8tIwsC9gqXVbMWoHn20EYXYIUMbl6x67kCSUvIrPGJ8JK/VQgySe5s8HDZfxPnsewOjjQ==" saltValue="nkt47juz4FHCmCLfg/9zzw==" spinCount="100000" sheet="1" objects="1" scenarios="1"/>
  <pageMargins left="0.70866141732283472" right="0.70866141732283472" top="0.74803149606299213" bottom="0.74803149606299213"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31B1-9825-4F97-BC0C-F2FCDDCD4F9E}">
  <sheetPr>
    <pageSetUpPr fitToPage="1"/>
  </sheetPr>
  <dimension ref="A2:J55"/>
  <sheetViews>
    <sheetView zoomScale="80" zoomScaleNormal="80" workbookViewId="0"/>
  </sheetViews>
  <sheetFormatPr defaultColWidth="8.88671875" defaultRowHeight="12.6"/>
  <cols>
    <col min="1" max="1" width="5.109375" style="495" customWidth="1"/>
    <col min="2" max="2" width="103.109375" style="3" customWidth="1"/>
    <col min="3" max="3" width="34.109375" style="3" customWidth="1"/>
    <col min="4" max="4" width="26.6640625" style="3" customWidth="1"/>
    <col min="5" max="5" width="12" style="3" bestFit="1" customWidth="1"/>
    <col min="6" max="6" width="5.88671875" style="3" hidden="1" customWidth="1"/>
    <col min="7" max="7" width="11.5546875" style="3" hidden="1" customWidth="1"/>
    <col min="8" max="8" width="8.44140625" style="3" hidden="1" customWidth="1"/>
    <col min="9" max="9" width="18.33203125" style="3" hidden="1" customWidth="1"/>
    <col min="10" max="10" width="2.5546875" style="3" hidden="1" customWidth="1"/>
    <col min="11" max="16384" width="8.88671875" style="3"/>
  </cols>
  <sheetData>
    <row r="2" spans="1:10" ht="23.1" customHeight="1">
      <c r="B2" s="1430" t="s">
        <v>565</v>
      </c>
      <c r="C2" s="1430"/>
      <c r="D2" s="1430"/>
      <c r="E2" s="652"/>
      <c r="F2" s="652"/>
      <c r="G2" s="652"/>
      <c r="H2" s="652"/>
    </row>
    <row r="3" spans="1:10" ht="14.1" customHeight="1">
      <c r="B3" s="465"/>
      <c r="C3" s="465"/>
      <c r="D3" s="465"/>
      <c r="E3" s="465"/>
      <c r="F3" s="465"/>
      <c r="G3" s="465"/>
      <c r="H3" s="465"/>
    </row>
    <row r="4" spans="1:10" ht="45" customHeight="1">
      <c r="B4" s="1429" t="s">
        <v>566</v>
      </c>
      <c r="C4" s="1429"/>
      <c r="D4" s="1429"/>
      <c r="E4" s="496"/>
      <c r="F4" s="496"/>
      <c r="G4" s="496"/>
      <c r="H4" s="496"/>
    </row>
    <row r="5" spans="1:10" ht="14.4" customHeight="1">
      <c r="B5" s="465"/>
      <c r="C5" s="465"/>
      <c r="D5" s="465"/>
      <c r="E5" s="496"/>
      <c r="F5" s="497"/>
      <c r="G5" s="497"/>
      <c r="H5" s="497"/>
      <c r="I5" s="465"/>
    </row>
    <row r="6" spans="1:10" s="734" customFormat="1" ht="32.4">
      <c r="A6" s="1048"/>
      <c r="B6" s="1100" t="s">
        <v>567</v>
      </c>
      <c r="C6" s="1101" t="s">
        <v>568</v>
      </c>
      <c r="D6" s="1102" t="s">
        <v>569</v>
      </c>
      <c r="E6" s="1103"/>
      <c r="F6" s="1104"/>
      <c r="G6" s="1104"/>
      <c r="H6" s="1104"/>
      <c r="I6" s="1102" t="s">
        <v>569</v>
      </c>
    </row>
    <row r="7" spans="1:10" ht="18.600000000000001">
      <c r="B7" s="696" t="s">
        <v>472</v>
      </c>
      <c r="C7" s="599" t="s">
        <v>570</v>
      </c>
      <c r="D7" s="908">
        <f>Environment!D10</f>
        <v>215429</v>
      </c>
      <c r="E7" s="496"/>
      <c r="F7" s="499">
        <v>233300</v>
      </c>
      <c r="G7" s="500">
        <v>233300</v>
      </c>
      <c r="H7" s="498"/>
      <c r="I7" s="908">
        <v>215429</v>
      </c>
      <c r="J7" s="1176">
        <f t="shared" ref="J7:J54" si="0">D7-I7</f>
        <v>0</v>
      </c>
    </row>
    <row r="8" spans="1:10" ht="18.600000000000001">
      <c r="B8" s="696" t="s">
        <v>475</v>
      </c>
      <c r="C8" s="599" t="s">
        <v>570</v>
      </c>
      <c r="D8" s="908">
        <f>Environment!D11</f>
        <v>66974</v>
      </c>
      <c r="E8" s="496"/>
      <c r="F8" s="499">
        <v>130386</v>
      </c>
      <c r="G8" s="500">
        <v>130386</v>
      </c>
      <c r="H8" s="498"/>
      <c r="I8" s="908">
        <v>66974</v>
      </c>
      <c r="J8" s="1176">
        <f t="shared" si="0"/>
        <v>0</v>
      </c>
    </row>
    <row r="9" spans="1:10" ht="18.600000000000001">
      <c r="B9" s="696" t="s">
        <v>554</v>
      </c>
      <c r="C9" s="599" t="s">
        <v>570</v>
      </c>
      <c r="D9" s="908">
        <f>Environment!D12</f>
        <v>196812</v>
      </c>
      <c r="E9" s="496"/>
      <c r="F9" s="499">
        <v>204848</v>
      </c>
      <c r="G9" s="500">
        <v>204848</v>
      </c>
      <c r="H9" s="498"/>
      <c r="I9" s="908">
        <v>196812</v>
      </c>
      <c r="J9" s="1176">
        <f t="shared" si="0"/>
        <v>0</v>
      </c>
    </row>
    <row r="10" spans="1:10" ht="18.600000000000001">
      <c r="B10" s="696" t="s">
        <v>571</v>
      </c>
      <c r="C10" s="599" t="s">
        <v>570</v>
      </c>
      <c r="D10" s="908">
        <f>Environment!D13</f>
        <v>282403</v>
      </c>
      <c r="E10" s="496"/>
      <c r="F10" s="499">
        <v>363686</v>
      </c>
      <c r="G10" s="500">
        <v>363686</v>
      </c>
      <c r="H10" s="498"/>
      <c r="I10" s="908">
        <v>282403</v>
      </c>
      <c r="J10" s="1176">
        <f t="shared" si="0"/>
        <v>0</v>
      </c>
    </row>
    <row r="11" spans="1:10" ht="18.600000000000001">
      <c r="B11" s="696" t="s">
        <v>558</v>
      </c>
      <c r="C11" s="599" t="s">
        <v>572</v>
      </c>
      <c r="D11" s="1227">
        <f>Environment!D15</f>
        <v>2.62</v>
      </c>
      <c r="E11" s="496"/>
      <c r="F11" s="501">
        <v>3.4</v>
      </c>
      <c r="G11" s="502">
        <v>3.4</v>
      </c>
      <c r="H11" s="498"/>
      <c r="I11" s="1174">
        <v>2.62</v>
      </c>
      <c r="J11" s="1176">
        <f t="shared" si="0"/>
        <v>0</v>
      </c>
    </row>
    <row r="12" spans="1:10" ht="16.2">
      <c r="B12" s="696" t="s">
        <v>573</v>
      </c>
      <c r="C12" s="599" t="s">
        <v>574</v>
      </c>
      <c r="D12" s="1175">
        <f>Environment!I15</f>
        <v>-0.17868338557993727</v>
      </c>
      <c r="E12" s="496"/>
      <c r="F12" s="503">
        <v>-8.1081081081081155E-2</v>
      </c>
      <c r="G12" s="504">
        <v>-0.08</v>
      </c>
      <c r="H12" s="498"/>
      <c r="I12" s="1175">
        <v>-0.17868338557993727</v>
      </c>
      <c r="J12" s="1176">
        <f t="shared" si="0"/>
        <v>0</v>
      </c>
    </row>
    <row r="13" spans="1:10" ht="16.2">
      <c r="B13" s="696" t="s">
        <v>561</v>
      </c>
      <c r="C13" s="599" t="s">
        <v>562</v>
      </c>
      <c r="D13" s="908">
        <f>Environment!D51</f>
        <v>1211683</v>
      </c>
      <c r="E13" s="496"/>
      <c r="F13" s="505">
        <v>1185612.237</v>
      </c>
      <c r="G13" s="500">
        <v>1185612</v>
      </c>
      <c r="H13" s="498"/>
      <c r="I13" s="908">
        <v>1211683</v>
      </c>
      <c r="J13" s="1176">
        <f t="shared" si="0"/>
        <v>0</v>
      </c>
    </row>
    <row r="14" spans="1:10" ht="16.2">
      <c r="B14" s="764" t="s">
        <v>575</v>
      </c>
      <c r="C14" s="764" t="s">
        <v>576</v>
      </c>
      <c r="D14" s="908">
        <f>Environment!D70</f>
        <v>936278140.20000005</v>
      </c>
      <c r="E14" s="496"/>
      <c r="F14" s="499">
        <v>986948044</v>
      </c>
      <c r="G14" s="500">
        <v>986948044</v>
      </c>
      <c r="H14" s="498"/>
      <c r="I14" s="908">
        <v>936278140.20000005</v>
      </c>
      <c r="J14" s="1176">
        <f t="shared" si="0"/>
        <v>0</v>
      </c>
    </row>
    <row r="15" spans="1:10" ht="16.2">
      <c r="B15" s="764" t="s">
        <v>577</v>
      </c>
      <c r="C15" s="764" t="s">
        <v>576</v>
      </c>
      <c r="D15" s="908">
        <f>Environment!D75</f>
        <v>275404458</v>
      </c>
      <c r="E15" s="496"/>
      <c r="F15" s="499">
        <v>198664193</v>
      </c>
      <c r="G15" s="500">
        <v>198664193</v>
      </c>
      <c r="H15" s="498"/>
      <c r="I15" s="908">
        <v>275404458</v>
      </c>
      <c r="J15" s="1176">
        <f t="shared" si="0"/>
        <v>0</v>
      </c>
    </row>
    <row r="16" spans="1:10" ht="16.2">
      <c r="B16" s="696" t="s">
        <v>578</v>
      </c>
      <c r="C16" s="599" t="s">
        <v>574</v>
      </c>
      <c r="D16" s="911">
        <f>Environment!D53</f>
        <v>0.56559999999999999</v>
      </c>
      <c r="E16" s="496"/>
      <c r="F16" s="506">
        <v>0.41015331242742104</v>
      </c>
      <c r="G16" s="504">
        <v>0.41</v>
      </c>
      <c r="H16" s="498"/>
      <c r="I16" s="911">
        <v>0.56559999999999999</v>
      </c>
      <c r="J16" s="1176">
        <f t="shared" si="0"/>
        <v>0</v>
      </c>
    </row>
    <row r="17" spans="1:10" ht="18.600000000000001">
      <c r="B17" s="765" t="s">
        <v>579</v>
      </c>
      <c r="C17" s="764" t="s">
        <v>553</v>
      </c>
      <c r="D17" s="908">
        <f>Environment!D18</f>
        <v>2531576</v>
      </c>
      <c r="E17" s="496"/>
      <c r="F17" s="499">
        <v>2495475</v>
      </c>
      <c r="G17" s="500">
        <v>2495475</v>
      </c>
      <c r="H17" s="498"/>
      <c r="I17" s="908">
        <v>2531576</v>
      </c>
      <c r="J17" s="1176">
        <f t="shared" si="0"/>
        <v>0</v>
      </c>
    </row>
    <row r="18" spans="1:10" ht="18.600000000000001">
      <c r="B18" s="696" t="s">
        <v>580</v>
      </c>
      <c r="C18" s="599" t="s">
        <v>570</v>
      </c>
      <c r="D18" s="908">
        <f>Environment!D20</f>
        <v>38687.160000000003</v>
      </c>
      <c r="E18" s="496"/>
      <c r="F18" s="499">
        <v>41018</v>
      </c>
      <c r="G18" s="500">
        <v>41018</v>
      </c>
      <c r="H18" s="498"/>
      <c r="I18" s="908">
        <v>38687.160000000003</v>
      </c>
      <c r="J18" s="1176">
        <f t="shared" si="0"/>
        <v>0</v>
      </c>
    </row>
    <row r="19" spans="1:10" s="1111" customFormat="1" ht="18.600000000000001" hidden="1">
      <c r="A19" s="1105"/>
      <c r="B19" s="1112" t="s">
        <v>476</v>
      </c>
      <c r="C19" s="1112" t="s">
        <v>570</v>
      </c>
      <c r="D19" s="1113">
        <f>Environment!D33</f>
        <v>3026404.2218367024</v>
      </c>
      <c r="E19" s="1155"/>
      <c r="F19" s="1114"/>
      <c r="G19" s="1110"/>
      <c r="I19" s="1113">
        <v>3026404.2218367024</v>
      </c>
      <c r="J19" s="1176">
        <f t="shared" si="0"/>
        <v>0</v>
      </c>
    </row>
    <row r="20" spans="1:10" ht="17.399999999999999">
      <c r="B20" s="599" t="s">
        <v>581</v>
      </c>
      <c r="C20" s="599" t="s">
        <v>582</v>
      </c>
      <c r="D20" s="908">
        <f>Environment!D86</f>
        <v>1791727</v>
      </c>
      <c r="E20" s="496"/>
      <c r="F20" s="499">
        <v>1800878</v>
      </c>
      <c r="G20" s="500">
        <v>1800878</v>
      </c>
      <c r="H20" s="498"/>
      <c r="I20" s="908">
        <v>1791727</v>
      </c>
      <c r="J20" s="1176">
        <f t="shared" si="0"/>
        <v>0</v>
      </c>
    </row>
    <row r="21" spans="1:10" ht="17.399999999999999">
      <c r="B21" s="696" t="s">
        <v>583</v>
      </c>
      <c r="C21" s="599" t="s">
        <v>582</v>
      </c>
      <c r="D21" s="908">
        <f>Environment!D88</f>
        <v>36477</v>
      </c>
      <c r="E21" s="496"/>
      <c r="F21" s="499">
        <v>48993</v>
      </c>
      <c r="G21" s="500">
        <v>48993</v>
      </c>
      <c r="H21" s="498"/>
      <c r="I21" s="908">
        <v>36477</v>
      </c>
      <c r="J21" s="1176">
        <f t="shared" si="0"/>
        <v>0</v>
      </c>
    </row>
    <row r="22" spans="1:10" ht="17.399999999999999">
      <c r="B22" s="696" t="s">
        <v>584</v>
      </c>
      <c r="C22" s="696" t="s">
        <v>585</v>
      </c>
      <c r="D22" s="908">
        <f>Environment!D97</f>
        <v>1755</v>
      </c>
      <c r="E22" s="496"/>
      <c r="F22" s="499">
        <v>1751.885</v>
      </c>
      <c r="G22" s="500">
        <v>1752</v>
      </c>
      <c r="H22" s="498"/>
      <c r="I22" s="908">
        <v>1755</v>
      </c>
      <c r="J22" s="1176">
        <f t="shared" si="0"/>
        <v>0</v>
      </c>
    </row>
    <row r="23" spans="1:10" ht="17.399999999999999">
      <c r="B23" s="765" t="s">
        <v>586</v>
      </c>
      <c r="C23" s="696" t="s">
        <v>585</v>
      </c>
      <c r="D23" s="912">
        <f>Environment!D98</f>
        <v>402</v>
      </c>
      <c r="E23" s="496"/>
      <c r="F23" s="507">
        <v>399.17399999999998</v>
      </c>
      <c r="G23" s="502">
        <v>399</v>
      </c>
      <c r="H23" s="498"/>
      <c r="I23" s="912">
        <v>402</v>
      </c>
      <c r="J23" s="1176">
        <f t="shared" si="0"/>
        <v>0</v>
      </c>
    </row>
    <row r="24" spans="1:10" ht="16.2">
      <c r="B24" s="599" t="s">
        <v>587</v>
      </c>
      <c r="C24" s="599" t="s">
        <v>588</v>
      </c>
      <c r="D24" s="909">
        <f>Environment!D93</f>
        <v>264</v>
      </c>
      <c r="E24" s="496"/>
      <c r="F24" s="501">
        <v>242</v>
      </c>
      <c r="G24" s="502">
        <v>242</v>
      </c>
      <c r="H24" s="498"/>
      <c r="I24" s="909">
        <v>264</v>
      </c>
      <c r="J24" s="1176">
        <f t="shared" si="0"/>
        <v>0</v>
      </c>
    </row>
    <row r="25" spans="1:10" ht="16.2">
      <c r="B25" s="765" t="s">
        <v>589</v>
      </c>
      <c r="C25" s="765" t="s">
        <v>574</v>
      </c>
      <c r="D25" s="910">
        <f>Environment!D94</f>
        <v>0.9</v>
      </c>
      <c r="E25" s="496"/>
      <c r="F25" s="503">
        <v>0.75</v>
      </c>
      <c r="G25" s="504">
        <v>0.75</v>
      </c>
      <c r="H25" s="498"/>
      <c r="I25" s="910">
        <v>0.9</v>
      </c>
      <c r="J25" s="1176">
        <f t="shared" si="0"/>
        <v>0</v>
      </c>
    </row>
    <row r="26" spans="1:10" ht="16.2">
      <c r="B26" s="764" t="s">
        <v>590</v>
      </c>
      <c r="C26" s="764" t="s">
        <v>591</v>
      </c>
      <c r="D26" s="908">
        <f>Environment!D111+Environment!D112</f>
        <v>37610</v>
      </c>
      <c r="E26" s="496"/>
      <c r="F26" s="505"/>
      <c r="G26" s="500"/>
      <c r="H26" s="498"/>
      <c r="I26" s="908">
        <v>37610</v>
      </c>
      <c r="J26" s="1176">
        <f t="shared" si="0"/>
        <v>0</v>
      </c>
    </row>
    <row r="27" spans="1:10" ht="16.2">
      <c r="B27" s="765" t="s">
        <v>592</v>
      </c>
      <c r="C27" s="765" t="s">
        <v>591</v>
      </c>
      <c r="D27" s="908">
        <f>Environment!D115</f>
        <v>3338</v>
      </c>
      <c r="E27" s="496"/>
      <c r="F27" s="505">
        <v>4347</v>
      </c>
      <c r="G27" s="500">
        <v>4347</v>
      </c>
      <c r="H27" s="498"/>
      <c r="I27" s="908">
        <v>3338</v>
      </c>
      <c r="J27" s="1176">
        <f t="shared" si="0"/>
        <v>0</v>
      </c>
    </row>
    <row r="28" spans="1:10" ht="16.2">
      <c r="B28" s="765" t="s">
        <v>593</v>
      </c>
      <c r="C28" s="765" t="s">
        <v>591</v>
      </c>
      <c r="D28" s="908">
        <f>Environment!D113</f>
        <v>1213</v>
      </c>
      <c r="E28" s="496"/>
      <c r="F28" s="505"/>
      <c r="G28" s="500"/>
      <c r="H28" s="498"/>
      <c r="I28" s="908">
        <v>1213</v>
      </c>
      <c r="J28" s="1176">
        <f t="shared" si="0"/>
        <v>0</v>
      </c>
    </row>
    <row r="29" spans="1:10" ht="16.2">
      <c r="B29" s="765" t="s">
        <v>594</v>
      </c>
      <c r="C29" s="765" t="s">
        <v>591</v>
      </c>
      <c r="D29" s="908">
        <f>Environment!D114</f>
        <v>23064</v>
      </c>
      <c r="E29" s="496"/>
      <c r="F29" s="505"/>
      <c r="G29" s="500"/>
      <c r="H29" s="498"/>
      <c r="I29" s="908">
        <v>23064</v>
      </c>
      <c r="J29" s="1176">
        <f t="shared" si="0"/>
        <v>0</v>
      </c>
    </row>
    <row r="30" spans="1:10" ht="16.2">
      <c r="B30" s="764" t="s">
        <v>595</v>
      </c>
      <c r="C30" s="764" t="s">
        <v>591</v>
      </c>
      <c r="D30" s="908">
        <f>Environment!D108</f>
        <v>65225</v>
      </c>
      <c r="E30" s="496"/>
      <c r="F30" s="505">
        <v>62885.399999999994</v>
      </c>
      <c r="G30" s="500">
        <v>62885</v>
      </c>
      <c r="H30" s="498"/>
      <c r="I30" s="908">
        <v>65225</v>
      </c>
      <c r="J30" s="1176">
        <f t="shared" si="0"/>
        <v>0</v>
      </c>
    </row>
    <row r="31" spans="1:10" ht="16.2">
      <c r="B31" s="765" t="s">
        <v>596</v>
      </c>
      <c r="C31" s="764" t="s">
        <v>591</v>
      </c>
      <c r="D31" s="908">
        <f>Environment!D131+Environment!D133</f>
        <v>25263</v>
      </c>
      <c r="E31" s="496"/>
      <c r="F31" s="505"/>
      <c r="G31" s="500"/>
      <c r="H31" s="498"/>
      <c r="I31" s="908">
        <v>25263</v>
      </c>
      <c r="J31" s="1176">
        <f t="shared" si="0"/>
        <v>0</v>
      </c>
    </row>
    <row r="32" spans="1:10" ht="16.2">
      <c r="B32" s="764" t="s">
        <v>597</v>
      </c>
      <c r="C32" s="764" t="s">
        <v>591</v>
      </c>
      <c r="D32" s="908">
        <f>Environment!D125</f>
        <v>1373</v>
      </c>
      <c r="E32" s="496"/>
      <c r="F32" s="505"/>
      <c r="G32" s="500"/>
      <c r="H32" s="498"/>
      <c r="I32" s="908">
        <v>1373</v>
      </c>
      <c r="J32" s="1176">
        <f t="shared" si="0"/>
        <v>0</v>
      </c>
    </row>
    <row r="33" spans="1:10" ht="16.2">
      <c r="B33" s="764" t="s">
        <v>598</v>
      </c>
      <c r="C33" s="764" t="s">
        <v>591</v>
      </c>
      <c r="D33" s="908">
        <f>Environment!D123</f>
        <v>201</v>
      </c>
      <c r="E33" s="496"/>
      <c r="F33" s="505"/>
      <c r="G33" s="500"/>
      <c r="H33" s="498"/>
      <c r="I33" s="908">
        <v>201</v>
      </c>
      <c r="J33" s="1176">
        <f t="shared" si="0"/>
        <v>0</v>
      </c>
    </row>
    <row r="34" spans="1:10" ht="16.2">
      <c r="B34" s="764" t="s">
        <v>599</v>
      </c>
      <c r="C34" s="764" t="s">
        <v>591</v>
      </c>
      <c r="D34" s="908">
        <f>Environment!D124</f>
        <v>15463</v>
      </c>
      <c r="E34" s="496"/>
      <c r="F34" s="505"/>
      <c r="G34" s="500"/>
      <c r="H34" s="498"/>
      <c r="I34" s="908">
        <v>15463</v>
      </c>
      <c r="J34" s="1176">
        <f t="shared" si="0"/>
        <v>0</v>
      </c>
    </row>
    <row r="35" spans="1:10" ht="16.2">
      <c r="B35" s="765" t="s">
        <v>600</v>
      </c>
      <c r="C35" s="765" t="s">
        <v>591</v>
      </c>
      <c r="D35" s="908">
        <f>Environment!D107</f>
        <v>42300</v>
      </c>
      <c r="E35" s="496"/>
      <c r="F35" s="505">
        <v>41859.699999999997</v>
      </c>
      <c r="G35" s="500">
        <v>41860</v>
      </c>
      <c r="H35" s="498"/>
      <c r="I35" s="908">
        <v>42300</v>
      </c>
      <c r="J35" s="1176">
        <f t="shared" si="0"/>
        <v>0</v>
      </c>
    </row>
    <row r="36" spans="1:10" ht="16.2">
      <c r="B36" s="765" t="s">
        <v>601</v>
      </c>
      <c r="C36" s="765" t="s">
        <v>591</v>
      </c>
      <c r="D36" s="908">
        <f>Environment!D142</f>
        <v>3571</v>
      </c>
      <c r="E36" s="496"/>
      <c r="F36" s="505">
        <v>4369</v>
      </c>
      <c r="G36" s="500">
        <v>4369</v>
      </c>
      <c r="H36" s="498"/>
      <c r="I36" s="908">
        <v>3571</v>
      </c>
      <c r="J36" s="1176">
        <f t="shared" si="0"/>
        <v>0</v>
      </c>
    </row>
    <row r="37" spans="1:10" ht="16.2">
      <c r="B37" s="765" t="s">
        <v>602</v>
      </c>
      <c r="C37" s="765" t="s">
        <v>591</v>
      </c>
      <c r="D37" s="908">
        <f>Environment!D139</f>
        <v>15257</v>
      </c>
      <c r="E37" s="496"/>
      <c r="F37" s="505">
        <v>17307</v>
      </c>
      <c r="G37" s="500">
        <v>17307</v>
      </c>
      <c r="H37" s="498"/>
      <c r="I37" s="908">
        <v>15257</v>
      </c>
      <c r="J37" s="1176">
        <f t="shared" si="0"/>
        <v>0</v>
      </c>
    </row>
    <row r="38" spans="1:10" ht="16.2">
      <c r="B38" s="765" t="s">
        <v>603</v>
      </c>
      <c r="C38" s="765" t="s">
        <v>591</v>
      </c>
      <c r="D38" s="908">
        <f>Environment!D140+Environment!D141</f>
        <v>11687</v>
      </c>
      <c r="E38" s="496"/>
      <c r="F38" s="505">
        <v>12938</v>
      </c>
      <c r="G38" s="500">
        <v>12938</v>
      </c>
      <c r="H38" s="498"/>
      <c r="I38" s="908">
        <v>11687</v>
      </c>
      <c r="J38" s="1176">
        <f t="shared" si="0"/>
        <v>0</v>
      </c>
    </row>
    <row r="39" spans="1:10" s="1111" customFormat="1" ht="16.2" hidden="1">
      <c r="A39" s="1105"/>
      <c r="B39" s="1106" t="s">
        <v>604</v>
      </c>
      <c r="C39" s="1106"/>
      <c r="D39" s="1107"/>
      <c r="E39" s="1108"/>
      <c r="F39" s="1109"/>
      <c r="G39" s="1110"/>
      <c r="I39" s="1107"/>
      <c r="J39" s="1176">
        <f t="shared" si="0"/>
        <v>0</v>
      </c>
    </row>
    <row r="40" spans="1:10" ht="16.2">
      <c r="B40" s="765" t="s">
        <v>605</v>
      </c>
      <c r="C40" s="765" t="s">
        <v>591</v>
      </c>
      <c r="D40" s="1099">
        <f>Environment!D145</f>
        <v>318.29000000000002</v>
      </c>
      <c r="E40" s="496"/>
      <c r="F40" s="505">
        <v>336</v>
      </c>
      <c r="G40" s="502">
        <v>336</v>
      </c>
      <c r="H40" s="498"/>
      <c r="I40" s="1099">
        <v>318.29000000000002</v>
      </c>
      <c r="J40" s="1176">
        <f t="shared" si="0"/>
        <v>0</v>
      </c>
    </row>
    <row r="41" spans="1:10" ht="16.2">
      <c r="B41" s="765" t="s">
        <v>606</v>
      </c>
      <c r="C41" s="765" t="s">
        <v>591</v>
      </c>
      <c r="D41" s="1099">
        <f>Environment!D146</f>
        <v>36.020000000000003</v>
      </c>
      <c r="E41" s="496"/>
      <c r="F41" s="505">
        <v>31</v>
      </c>
      <c r="G41" s="502">
        <v>31</v>
      </c>
      <c r="H41" s="498"/>
      <c r="I41" s="1099">
        <v>36.020000000000003</v>
      </c>
      <c r="J41" s="1176">
        <f t="shared" si="0"/>
        <v>0</v>
      </c>
    </row>
    <row r="42" spans="1:10" ht="16.2">
      <c r="B42" s="765" t="s">
        <v>607</v>
      </c>
      <c r="C42" s="765" t="s">
        <v>591</v>
      </c>
      <c r="D42" s="1099">
        <f>Environment!D147</f>
        <v>44.76</v>
      </c>
      <c r="E42" s="496"/>
      <c r="F42" s="505">
        <v>42</v>
      </c>
      <c r="G42" s="502">
        <v>42</v>
      </c>
      <c r="H42" s="498"/>
      <c r="I42" s="1099">
        <v>44.76</v>
      </c>
      <c r="J42" s="1176">
        <f t="shared" si="0"/>
        <v>0</v>
      </c>
    </row>
    <row r="43" spans="1:10" ht="16.2">
      <c r="B43" s="765" t="s">
        <v>608</v>
      </c>
      <c r="C43" s="765" t="s">
        <v>574</v>
      </c>
      <c r="D43" s="911">
        <f>Environment!D148</f>
        <v>0.875</v>
      </c>
      <c r="E43" s="496"/>
      <c r="F43" s="506">
        <v>0.86</v>
      </c>
      <c r="G43" s="504">
        <v>0.86</v>
      </c>
      <c r="H43" s="498"/>
      <c r="I43" s="911">
        <v>0.875</v>
      </c>
      <c r="J43" s="1176">
        <f t="shared" si="0"/>
        <v>0</v>
      </c>
    </row>
    <row r="44" spans="1:10" ht="16.2">
      <c r="B44" s="765" t="s">
        <v>609</v>
      </c>
      <c r="C44" s="765" t="s">
        <v>574</v>
      </c>
      <c r="D44" s="911">
        <f>Environment!D149</f>
        <v>0.67500000000000004</v>
      </c>
      <c r="E44" s="496"/>
      <c r="F44" s="506">
        <v>0.36</v>
      </c>
      <c r="G44" s="504">
        <v>0.36</v>
      </c>
      <c r="H44" s="498"/>
      <c r="I44" s="911">
        <v>0.67500000000000004</v>
      </c>
      <c r="J44" s="1176">
        <f t="shared" si="0"/>
        <v>0</v>
      </c>
    </row>
    <row r="45" spans="1:10" ht="16.2">
      <c r="B45" s="765" t="s">
        <v>610</v>
      </c>
      <c r="C45" s="765" t="s">
        <v>574</v>
      </c>
      <c r="D45" s="911">
        <f>Environment!D150</f>
        <v>0.8</v>
      </c>
      <c r="E45" s="496"/>
      <c r="F45" s="506">
        <v>0.56999999999999995</v>
      </c>
      <c r="G45" s="504">
        <v>0.56999999999999995</v>
      </c>
      <c r="H45" s="498"/>
      <c r="I45" s="911">
        <v>0.8</v>
      </c>
      <c r="J45" s="1176">
        <f t="shared" si="0"/>
        <v>0</v>
      </c>
    </row>
    <row r="46" spans="1:10" ht="18.600000000000001">
      <c r="B46" s="765" t="s">
        <v>611</v>
      </c>
      <c r="C46" s="599" t="s">
        <v>570</v>
      </c>
      <c r="D46" s="908">
        <f>Environment!D45</f>
        <v>1110057</v>
      </c>
      <c r="E46" s="496"/>
      <c r="F46" s="506"/>
      <c r="G46" s="504"/>
      <c r="H46" s="498"/>
      <c r="I46" s="908">
        <v>1110057</v>
      </c>
      <c r="J46" s="1176">
        <f t="shared" si="0"/>
        <v>0</v>
      </c>
    </row>
    <row r="47" spans="1:10" ht="16.2">
      <c r="B47" s="765" t="s">
        <v>612</v>
      </c>
      <c r="C47" s="765" t="s">
        <v>574</v>
      </c>
      <c r="D47" s="911">
        <v>0.6875</v>
      </c>
      <c r="E47" s="496"/>
      <c r="F47" s="506"/>
      <c r="G47" s="504"/>
      <c r="H47" s="498"/>
      <c r="I47" s="911">
        <v>0.6875</v>
      </c>
      <c r="J47" s="1176">
        <f t="shared" si="0"/>
        <v>0</v>
      </c>
    </row>
    <row r="48" spans="1:10" ht="16.2">
      <c r="B48" s="764" t="s">
        <v>613</v>
      </c>
      <c r="C48" s="764" t="s">
        <v>614</v>
      </c>
      <c r="D48" s="1174">
        <f>'Health and Safety'!D10</f>
        <v>0.84</v>
      </c>
      <c r="E48" s="496"/>
      <c r="F48" s="501">
        <v>1.1599999999999999</v>
      </c>
      <c r="G48" s="502">
        <v>1.1599999999999999</v>
      </c>
      <c r="H48" s="498"/>
      <c r="I48" s="1174">
        <v>0.84</v>
      </c>
      <c r="J48" s="1176">
        <f t="shared" si="0"/>
        <v>0</v>
      </c>
    </row>
    <row r="49" spans="2:10" ht="16.2">
      <c r="B49" s="764" t="s">
        <v>615</v>
      </c>
      <c r="C49" s="764" t="s">
        <v>614</v>
      </c>
      <c r="D49" s="909">
        <f>'Health and Safety'!E10</f>
        <v>0.95</v>
      </c>
      <c r="E49" s="496"/>
      <c r="F49" s="501">
        <v>1.37</v>
      </c>
      <c r="G49" s="502">
        <v>1.37</v>
      </c>
      <c r="H49" s="498"/>
      <c r="I49" s="909">
        <v>0.95</v>
      </c>
      <c r="J49" s="1176">
        <f t="shared" si="0"/>
        <v>0</v>
      </c>
    </row>
    <row r="50" spans="2:10" ht="16.2">
      <c r="B50" s="599" t="s">
        <v>616</v>
      </c>
      <c r="C50" s="599" t="s">
        <v>614</v>
      </c>
      <c r="D50" s="909">
        <f>'Health and Safety'!D12</f>
        <v>0</v>
      </c>
      <c r="E50" s="496"/>
      <c r="F50" s="501">
        <v>0.08</v>
      </c>
      <c r="G50" s="502">
        <v>0.08</v>
      </c>
      <c r="H50" s="498"/>
      <c r="I50" s="909">
        <v>0</v>
      </c>
      <c r="J50" s="1176">
        <f t="shared" si="0"/>
        <v>0</v>
      </c>
    </row>
    <row r="51" spans="2:10" ht="16.2">
      <c r="B51" s="599" t="s">
        <v>617</v>
      </c>
      <c r="C51" s="599" t="s">
        <v>618</v>
      </c>
      <c r="D51" s="913">
        <f>'Health and Safety'!D29</f>
        <v>0.108</v>
      </c>
      <c r="E51" s="496"/>
      <c r="F51" s="508">
        <v>0.29599999999999999</v>
      </c>
      <c r="G51" s="502">
        <v>0.3</v>
      </c>
      <c r="H51" s="498"/>
      <c r="I51" s="913">
        <v>0.108</v>
      </c>
      <c r="J51" s="1176">
        <f t="shared" si="0"/>
        <v>0</v>
      </c>
    </row>
    <row r="52" spans="2:10" ht="16.2">
      <c r="B52" s="599" t="s">
        <v>619</v>
      </c>
      <c r="C52" s="599" t="s">
        <v>620</v>
      </c>
      <c r="D52" s="909">
        <f>'Health and Safety'!D23</f>
        <v>0.36</v>
      </c>
      <c r="E52" s="496"/>
      <c r="F52" s="501">
        <v>0.47</v>
      </c>
      <c r="G52" s="502">
        <v>0.47</v>
      </c>
      <c r="H52" s="498"/>
      <c r="I52" s="909">
        <v>0.36</v>
      </c>
      <c r="J52" s="1176">
        <f t="shared" si="0"/>
        <v>0</v>
      </c>
    </row>
    <row r="53" spans="2:10" ht="16.2">
      <c r="B53" s="765" t="s">
        <v>621</v>
      </c>
      <c r="C53" s="765" t="s">
        <v>622</v>
      </c>
      <c r="D53" s="913">
        <f>'Health and Safety'!D27</f>
        <v>0.877</v>
      </c>
      <c r="E53" s="496"/>
      <c r="F53" s="508">
        <v>1.0149999999999999</v>
      </c>
      <c r="G53" s="502">
        <v>1.02</v>
      </c>
      <c r="H53" s="498"/>
      <c r="I53" s="913">
        <v>0.877</v>
      </c>
      <c r="J53" s="1176">
        <f t="shared" si="0"/>
        <v>0</v>
      </c>
    </row>
    <row r="54" spans="2:10" ht="16.2">
      <c r="B54" s="765" t="s">
        <v>623</v>
      </c>
      <c r="C54" s="765" t="s">
        <v>574</v>
      </c>
      <c r="D54" s="911">
        <f>People!O41</f>
        <v>0.29876252209781967</v>
      </c>
      <c r="E54" s="496"/>
      <c r="F54" s="508" t="e">
        <f>#REF!-#REF!</f>
        <v>#REF!</v>
      </c>
      <c r="G54" s="502"/>
      <c r="H54" s="498"/>
      <c r="I54" s="911">
        <v>0.29876252209781967</v>
      </c>
      <c r="J54" s="1176">
        <f t="shared" si="0"/>
        <v>0</v>
      </c>
    </row>
    <row r="55" spans="2:10">
      <c r="E55" s="496"/>
      <c r="F55" s="498"/>
      <c r="G55" s="498"/>
      <c r="H55" s="498"/>
    </row>
  </sheetData>
  <sheetProtection algorithmName="SHA-512" hashValue="M0+5CSHHqvvjtFSTSH0VI4Ezj5wtDTQYInYq6cXXktWnDCP4Ij3Kke28WAG7kR2lNld5XP1ZX3gZIKbyP+vUHQ==" saltValue="cY0Z1aS0lFDJ1OUF/9us0Q==" spinCount="100000" sheet="1" objects="1" scenarios="1"/>
  <mergeCells count="2">
    <mergeCell ref="B4:D4"/>
    <mergeCell ref="B2:D2"/>
  </mergeCells>
  <pageMargins left="0.23622047244094491" right="0.23622047244094491" top="0.74803149606299213" bottom="0.74803149606299213" header="0.31496062992125984" footer="0.31496062992125984"/>
  <pageSetup paperSize="9"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05C-C679-4A3F-89E1-EEFD83B59210}">
  <sheetPr>
    <tabColor theme="3"/>
    <pageSetUpPr fitToPage="1"/>
  </sheetPr>
  <dimension ref="B2:U35"/>
  <sheetViews>
    <sheetView zoomScale="80" zoomScaleNormal="80" workbookViewId="0"/>
  </sheetViews>
  <sheetFormatPr defaultColWidth="8.88671875" defaultRowHeight="12.6"/>
  <cols>
    <col min="1" max="1" width="6.44140625" style="3" customWidth="1"/>
    <col min="2" max="2" width="36.5546875" style="3" bestFit="1" customWidth="1"/>
    <col min="3" max="3" width="19.5546875" style="3" customWidth="1"/>
    <col min="4" max="4" width="57.109375" style="3" bestFit="1" customWidth="1"/>
    <col min="5" max="5" width="14.6640625" style="3" bestFit="1" customWidth="1"/>
    <col min="6" max="6" width="12.5546875" style="3" bestFit="1" customWidth="1"/>
    <col min="7" max="7" width="14.33203125" style="3" bestFit="1" customWidth="1"/>
    <col min="8" max="8" width="18.44140625" style="3" customWidth="1"/>
    <col min="9" max="12" width="15.109375" style="3" customWidth="1"/>
    <col min="13" max="13" width="12.88671875" style="3" customWidth="1"/>
    <col min="14" max="14" width="24.5546875" style="3" customWidth="1"/>
    <col min="15" max="15" width="25.5546875" style="3" customWidth="1"/>
    <col min="16" max="16" width="14.109375" style="3" customWidth="1"/>
    <col min="17" max="17" width="9.109375" style="3" customWidth="1"/>
    <col min="18" max="16384" width="8.88671875" style="3"/>
  </cols>
  <sheetData>
    <row r="2" spans="2:21" ht="43.35" customHeight="1">
      <c r="B2" s="917" t="s">
        <v>624</v>
      </c>
      <c r="C2" s="509"/>
      <c r="D2" s="509"/>
      <c r="E2" s="509"/>
      <c r="G2" s="509"/>
      <c r="H2" s="509"/>
      <c r="I2" s="509"/>
      <c r="J2" s="509"/>
      <c r="K2" s="509"/>
      <c r="L2" s="509"/>
      <c r="M2" s="509"/>
      <c r="N2" s="509"/>
      <c r="O2" s="509"/>
      <c r="P2" s="509"/>
      <c r="Q2" s="509"/>
      <c r="R2" s="509"/>
      <c r="S2" s="509"/>
      <c r="T2" s="509"/>
      <c r="U2" s="509"/>
    </row>
    <row r="3" spans="2:21" ht="28.35" customHeight="1">
      <c r="G3" s="510"/>
      <c r="H3" s="510"/>
      <c r="I3" s="510"/>
      <c r="J3" s="510"/>
      <c r="K3" s="510"/>
      <c r="L3" s="510"/>
      <c r="M3" s="510"/>
      <c r="N3" s="510"/>
      <c r="O3" s="510"/>
      <c r="P3" s="510"/>
      <c r="Q3" s="510"/>
    </row>
    <row r="4" spans="2:21" ht="18.600000000000001" customHeight="1">
      <c r="F4" s="511"/>
      <c r="G4" s="510"/>
      <c r="H4" s="510"/>
      <c r="I4" s="510"/>
      <c r="J4" s="510"/>
      <c r="K4" s="510"/>
      <c r="L4" s="510"/>
      <c r="M4" s="510"/>
      <c r="N4" s="510"/>
      <c r="O4" s="510"/>
      <c r="P4" s="510"/>
      <c r="Q4" s="510"/>
    </row>
    <row r="5" spans="2:21" ht="18.600000000000001" customHeight="1">
      <c r="F5" s="511"/>
      <c r="G5" s="510"/>
      <c r="H5" s="510"/>
      <c r="I5" s="510"/>
      <c r="J5" s="510"/>
      <c r="K5" s="510"/>
      <c r="L5" s="510"/>
      <c r="M5" s="510"/>
      <c r="N5" s="510"/>
      <c r="O5" s="510"/>
      <c r="P5" s="510"/>
      <c r="Q5" s="510"/>
    </row>
    <row r="20" spans="2:21" ht="39" customHeight="1"/>
    <row r="21" spans="2:21" ht="58.65" customHeight="1">
      <c r="B21" s="915" t="s">
        <v>625</v>
      </c>
      <c r="C21" s="915" t="s">
        <v>626</v>
      </c>
      <c r="D21" s="915" t="s">
        <v>627</v>
      </c>
      <c r="E21" s="916" t="s">
        <v>628</v>
      </c>
      <c r="F21" s="916" t="s">
        <v>629</v>
      </c>
      <c r="G21" s="916" t="s">
        <v>630</v>
      </c>
      <c r="H21" s="916" t="s">
        <v>631</v>
      </c>
      <c r="I21" s="916" t="s">
        <v>632</v>
      </c>
      <c r="J21" s="916" t="s">
        <v>633</v>
      </c>
      <c r="K21" s="916" t="s">
        <v>634</v>
      </c>
      <c r="L21" s="916" t="s">
        <v>635</v>
      </c>
    </row>
    <row r="22" spans="2:21" ht="47.4" customHeight="1">
      <c r="B22" s="766" t="s">
        <v>636</v>
      </c>
      <c r="C22" s="767" t="s">
        <v>637</v>
      </c>
      <c r="D22" s="771" t="s">
        <v>638</v>
      </c>
      <c r="E22" s="768" t="s">
        <v>548</v>
      </c>
      <c r="F22" s="951">
        <f>Environment!G45</f>
        <v>223946</v>
      </c>
      <c r="G22" s="1255">
        <v>50000000</v>
      </c>
      <c r="H22" s="1256">
        <f>(G22-$F22)/$F22</f>
        <v>222.26810927634341</v>
      </c>
      <c r="I22" s="1260">
        <f>Environment!D45</f>
        <v>1110057</v>
      </c>
      <c r="J22" s="1261">
        <f>(I22-$F22)/$F22</f>
        <v>3.9568065515793984</v>
      </c>
      <c r="K22" s="1251">
        <f>Environment!E45</f>
        <v>841721</v>
      </c>
      <c r="L22" s="769">
        <f>(K22-$F22)/$F22</f>
        <v>2.7585891241638612</v>
      </c>
      <c r="P22" s="513"/>
      <c r="Q22" s="513"/>
    </row>
    <row r="23" spans="2:21" ht="35.1" customHeight="1">
      <c r="B23" s="766" t="s">
        <v>639</v>
      </c>
      <c r="C23" s="767" t="s">
        <v>637</v>
      </c>
      <c r="D23" s="771" t="s">
        <v>640</v>
      </c>
      <c r="E23" s="768" t="s">
        <v>549</v>
      </c>
      <c r="F23" s="952">
        <f>Environment!H13</f>
        <v>405770</v>
      </c>
      <c r="G23" s="1255">
        <f>F23*(1-0.44)</f>
        <v>227231.2</v>
      </c>
      <c r="H23" s="1256">
        <f>($F23-G23)/$F23</f>
        <v>0.43999999999999995</v>
      </c>
      <c r="I23" s="1260">
        <f>Environment!D13</f>
        <v>282403</v>
      </c>
      <c r="J23" s="1261">
        <f>($F23-I23)/$F23</f>
        <v>0.30403184069793232</v>
      </c>
      <c r="K23" s="1251">
        <f>Environment!E13</f>
        <v>344910</v>
      </c>
      <c r="L23" s="769">
        <f>($F23-K23)/$F23</f>
        <v>0.14998644552332602</v>
      </c>
      <c r="P23" s="513"/>
      <c r="Q23" s="513"/>
      <c r="S23" s="513"/>
      <c r="T23" s="513"/>
      <c r="U23" s="513"/>
    </row>
    <row r="24" spans="2:21" ht="35.1" customHeight="1">
      <c r="B24" s="766" t="s">
        <v>641</v>
      </c>
      <c r="C24" s="767" t="s">
        <v>637</v>
      </c>
      <c r="D24" s="771" t="s">
        <v>642</v>
      </c>
      <c r="E24" s="768" t="s">
        <v>549</v>
      </c>
      <c r="F24" s="952">
        <f>Environment!H18</f>
        <v>3433660</v>
      </c>
      <c r="G24" s="1255">
        <f>F24*(1-0.42)</f>
        <v>1991522.8000000003</v>
      </c>
      <c r="H24" s="1256">
        <f>($F24-G24)/$F24</f>
        <v>0.41999999999999993</v>
      </c>
      <c r="I24" s="1260">
        <f>Environment!D18</f>
        <v>2531576</v>
      </c>
      <c r="J24" s="1261">
        <f>($F24-I24)/$F24</f>
        <v>0.26271791615943335</v>
      </c>
      <c r="K24" s="1251">
        <f>Environment!E18</f>
        <v>2450529</v>
      </c>
      <c r="L24" s="769">
        <f>($F24-K24)/$F24</f>
        <v>0.2863215927028302</v>
      </c>
      <c r="P24" s="513"/>
      <c r="Q24" s="513"/>
      <c r="S24" s="513"/>
      <c r="T24" s="513"/>
      <c r="U24" s="513"/>
    </row>
    <row r="25" spans="2:21" ht="35.1" customHeight="1">
      <c r="B25" s="766" t="s">
        <v>643</v>
      </c>
      <c r="C25" s="767" t="s">
        <v>574</v>
      </c>
      <c r="D25" s="771" t="s">
        <v>644</v>
      </c>
      <c r="E25" s="768" t="s">
        <v>547</v>
      </c>
      <c r="F25" s="1121">
        <v>0.70099999999999996</v>
      </c>
      <c r="G25" s="1257">
        <v>0.75</v>
      </c>
      <c r="H25" s="1256">
        <f>(G25-$F25)/$F25</f>
        <v>6.9900142653352426E-2</v>
      </c>
      <c r="I25" s="1262">
        <v>0.6875</v>
      </c>
      <c r="J25" s="1261">
        <f>(I25-$F25)/$F25</f>
        <v>-1.9258202567760282E-2</v>
      </c>
      <c r="K25" s="1252">
        <v>0.69199999999999995</v>
      </c>
      <c r="L25" s="769">
        <f>(K25-$F25)/$F25</f>
        <v>-1.283880171184024E-2</v>
      </c>
      <c r="P25" s="513"/>
      <c r="Q25" s="513"/>
      <c r="S25" s="513"/>
      <c r="T25" s="513"/>
      <c r="U25" s="513"/>
    </row>
    <row r="26" spans="2:21" ht="35.1" customHeight="1">
      <c r="B26" s="766" t="s">
        <v>600</v>
      </c>
      <c r="C26" s="767" t="s">
        <v>591</v>
      </c>
      <c r="D26" s="771" t="s">
        <v>645</v>
      </c>
      <c r="E26" s="768" t="s">
        <v>549</v>
      </c>
      <c r="F26" s="952">
        <f>Environment!H107</f>
        <v>42480</v>
      </c>
      <c r="G26" s="1255">
        <f>F26*(1-0.5)</f>
        <v>21240</v>
      </c>
      <c r="H26" s="1256">
        <f>($F26-G26)/$F26</f>
        <v>0.5</v>
      </c>
      <c r="I26" s="1260">
        <f>Environment!D107</f>
        <v>42300</v>
      </c>
      <c r="J26" s="1263">
        <f>($F26-I26)/$F26</f>
        <v>4.2372881355932203E-3</v>
      </c>
      <c r="K26" s="1251">
        <f>Environment!E107</f>
        <v>41854</v>
      </c>
      <c r="L26" s="769">
        <f>($F26-K26)/$F26</f>
        <v>1.4736346516007533E-2</v>
      </c>
      <c r="P26" s="513"/>
      <c r="Q26" s="513"/>
      <c r="S26" s="513"/>
      <c r="T26" s="1152"/>
      <c r="U26" s="513"/>
    </row>
    <row r="27" spans="2:21" ht="35.1" customHeight="1">
      <c r="B27" s="770" t="s">
        <v>584</v>
      </c>
      <c r="C27" s="1117" t="s">
        <v>646</v>
      </c>
      <c r="D27" s="771" t="s">
        <v>647</v>
      </c>
      <c r="E27" s="768" t="s">
        <v>549</v>
      </c>
      <c r="F27" s="952">
        <f>Environment!H97</f>
        <v>1932</v>
      </c>
      <c r="G27" s="1255">
        <f>F27*(1-0.25)</f>
        <v>1449</v>
      </c>
      <c r="H27" s="1256">
        <f>($F27-G27)/$F27</f>
        <v>0.25</v>
      </c>
      <c r="I27" s="1260">
        <f>Environment!D97</f>
        <v>1755</v>
      </c>
      <c r="J27" s="1261">
        <f>($F27-I27)/$F27</f>
        <v>9.1614906832298143E-2</v>
      </c>
      <c r="K27" s="1251">
        <f>Environment!E97</f>
        <v>1826</v>
      </c>
      <c r="L27" s="769">
        <f>($F27-K27)/$F27</f>
        <v>5.4865424430641824E-2</v>
      </c>
      <c r="P27" s="513"/>
      <c r="Q27" s="513"/>
      <c r="S27" s="513"/>
      <c r="T27" s="513"/>
      <c r="U27" s="513"/>
    </row>
    <row r="28" spans="2:21" ht="35.1" customHeight="1">
      <c r="B28" s="766" t="s">
        <v>648</v>
      </c>
      <c r="C28" s="767"/>
      <c r="D28" s="771" t="s">
        <v>649</v>
      </c>
      <c r="E28" s="768" t="s">
        <v>549</v>
      </c>
      <c r="F28" s="1120">
        <f>'Health and Safety'!H23</f>
        <v>0.79</v>
      </c>
      <c r="G28" s="1258">
        <v>0.25</v>
      </c>
      <c r="H28" s="1256">
        <f>($F28-G28)/$F28</f>
        <v>0.68354430379746833</v>
      </c>
      <c r="I28" s="1264">
        <f>'Health and Safety'!D23</f>
        <v>0.36</v>
      </c>
      <c r="J28" s="1261">
        <f>($F28-I28)/$F28</f>
        <v>0.54430379746835444</v>
      </c>
      <c r="K28" s="1253">
        <f>'Health and Safety'!E23</f>
        <v>0.47</v>
      </c>
      <c r="L28" s="769">
        <f>($F28-K28)/$F28</f>
        <v>0.40506329113924056</v>
      </c>
      <c r="P28" s="513"/>
      <c r="Q28" s="513"/>
    </row>
    <row r="29" spans="2:21" ht="35.1" customHeight="1">
      <c r="B29" s="766" t="s">
        <v>650</v>
      </c>
      <c r="C29" s="767" t="s">
        <v>622</v>
      </c>
      <c r="D29" s="771" t="s">
        <v>651</v>
      </c>
      <c r="E29" s="768" t="s">
        <v>549</v>
      </c>
      <c r="F29" s="1120">
        <f>'Health and Safety'!H27</f>
        <v>1.1819999999999999</v>
      </c>
      <c r="G29" s="1259">
        <v>0.4</v>
      </c>
      <c r="H29" s="1256">
        <f>($F29-G29)/$F29</f>
        <v>0.66159052453468692</v>
      </c>
      <c r="I29" s="1265">
        <f>'Health and Safety'!D27</f>
        <v>0.877</v>
      </c>
      <c r="J29" s="1261">
        <f>($F29-I29)/$F29</f>
        <v>0.25803722504230114</v>
      </c>
      <c r="K29" s="1254">
        <f>'Health and Safety'!E27</f>
        <v>1.0149999999999999</v>
      </c>
      <c r="L29" s="769">
        <f>($F29-K29)/$F29</f>
        <v>0.14128595600676822</v>
      </c>
      <c r="P29" s="513"/>
      <c r="Q29" s="513"/>
    </row>
    <row r="30" spans="2:21" ht="35.1" customHeight="1">
      <c r="B30" s="766" t="s">
        <v>652</v>
      </c>
      <c r="C30" s="767"/>
      <c r="D30" s="771" t="s">
        <v>653</v>
      </c>
      <c r="E30" s="1118"/>
      <c r="F30" s="1119">
        <v>6.9</v>
      </c>
      <c r="G30" s="1258">
        <v>8</v>
      </c>
      <c r="H30" s="1256">
        <f>(G30-$F30)/$F30</f>
        <v>0.15942028985507239</v>
      </c>
      <c r="I30" s="1264">
        <v>7.2</v>
      </c>
      <c r="J30" s="1261">
        <f>(I30-$F30)/$F30</f>
        <v>4.3478260869565188E-2</v>
      </c>
      <c r="K30" s="1253">
        <v>6.9</v>
      </c>
      <c r="L30" s="769">
        <f>(K30-$F30)/$F30</f>
        <v>0</v>
      </c>
      <c r="P30" s="513"/>
      <c r="Q30" s="513"/>
    </row>
    <row r="31" spans="2:21" ht="35.1" customHeight="1">
      <c r="B31" s="766" t="s">
        <v>654</v>
      </c>
      <c r="C31" s="767" t="s">
        <v>574</v>
      </c>
      <c r="D31" s="771" t="s">
        <v>655</v>
      </c>
      <c r="E31" s="768" t="s">
        <v>549</v>
      </c>
      <c r="F31" s="1121">
        <v>0.3</v>
      </c>
      <c r="G31" s="1257">
        <v>0.4</v>
      </c>
      <c r="H31" s="1256">
        <f>(G31-$F31)/$F31</f>
        <v>0.33333333333333348</v>
      </c>
      <c r="I31" s="1262">
        <f>People!O41</f>
        <v>0.29876252209781967</v>
      </c>
      <c r="J31" s="1261">
        <f>(I31-$F31)/$F31</f>
        <v>-4.1249263406010579E-3</v>
      </c>
      <c r="K31" s="1252">
        <v>0.28000000000000003</v>
      </c>
      <c r="L31" s="769">
        <f>(K31-$F31)/$F31</f>
        <v>-6.6666666666666541E-2</v>
      </c>
      <c r="P31" s="513"/>
      <c r="Q31" s="513"/>
    </row>
    <row r="34" spans="7:8">
      <c r="G34" s="513"/>
      <c r="H34" s="513"/>
    </row>
    <row r="35" spans="7:8">
      <c r="G35" s="1153"/>
      <c r="H35" s="1153"/>
    </row>
  </sheetData>
  <sheetProtection algorithmName="SHA-512" hashValue="dObZk+a0XTS74rhV6lwu+OjCeO9KcXvfhU6GLBKhjgiKS9wqaJVspcjxZvUiwWF6iFqTCrr9ECcm+yMke6+M3w==" saltValue="4FFSfsmcE1NDWLqq20RoNg==" spinCount="100000" sheet="1" objects="1" scenarios="1"/>
  <phoneticPr fontId="3" type="noConversion"/>
  <conditionalFormatting sqref="H22:H31">
    <cfRule type="dataBar" priority="6">
      <dataBar>
        <cfvo type="num" val="-0.2"/>
        <cfvo type="num" val="1"/>
        <color theme="3"/>
      </dataBar>
      <extLst>
        <ext xmlns:x14="http://schemas.microsoft.com/office/spreadsheetml/2009/9/main" uri="{B025F937-C7B1-47D3-B67F-A62EFF666E3E}">
          <x14:id>{E6E15988-90A6-42D8-BACA-98BF7E2EC095}</x14:id>
        </ext>
      </extLst>
    </cfRule>
  </conditionalFormatting>
  <conditionalFormatting sqref="J22:J31">
    <cfRule type="dataBar" priority="2">
      <dataBar>
        <cfvo type="num" val="-0.2"/>
        <cfvo type="num" val="1"/>
        <color theme="3"/>
      </dataBar>
      <extLst>
        <ext xmlns:x14="http://schemas.microsoft.com/office/spreadsheetml/2009/9/main" uri="{B025F937-C7B1-47D3-B67F-A62EFF666E3E}">
          <x14:id>{AEEF2B8A-4D50-4D71-A40E-A2209E5909EE}</x14:id>
        </ext>
      </extLst>
    </cfRule>
  </conditionalFormatting>
  <conditionalFormatting sqref="L22:L31">
    <cfRule type="dataBar" priority="1">
      <dataBar>
        <cfvo type="num" val="-0.2"/>
        <cfvo type="num" val="1"/>
        <color theme="3"/>
      </dataBar>
      <extLst>
        <ext xmlns:x14="http://schemas.microsoft.com/office/spreadsheetml/2009/9/main" uri="{B025F937-C7B1-47D3-B67F-A62EFF666E3E}">
          <x14:id>{FB893C09-3A3D-41C5-9124-F5CCF1ED86F4}</x14:id>
        </ext>
      </extLst>
    </cfRule>
  </conditionalFormatting>
  <pageMargins left="0.70866141732283472" right="0.70866141732283472" top="0.74803149606299213" bottom="0.74803149606299213" header="0.31496062992125984" footer="0.31496062992125984"/>
  <pageSetup paperSize="9" scale="48" orientation="landscape" r:id="rId1"/>
  <ignoredErrors>
    <ignoredError sqref="I22:I24 I26:I29 I31 K22:K24 K26:K29 L25 J25 H25" formula="1"/>
  </ignoredErrors>
  <drawing r:id="rId2"/>
  <extLst>
    <ext xmlns:x14="http://schemas.microsoft.com/office/spreadsheetml/2009/9/main" uri="{78C0D931-6437-407d-A8EE-F0AAD7539E65}">
      <x14:conditionalFormattings>
        <x14:conditionalFormatting xmlns:xm="http://schemas.microsoft.com/office/excel/2006/main">
          <x14:cfRule type="dataBar" id="{E6E15988-90A6-42D8-BACA-98BF7E2EC095}">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H22:H31</xm:sqref>
        </x14:conditionalFormatting>
        <x14:conditionalFormatting xmlns:xm="http://schemas.microsoft.com/office/excel/2006/main">
          <x14:cfRule type="dataBar" id="{AEEF2B8A-4D50-4D71-A40E-A2209E5909EE}">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J22:J31</xm:sqref>
        </x14:conditionalFormatting>
        <x14:conditionalFormatting xmlns:xm="http://schemas.microsoft.com/office/excel/2006/main">
          <x14:cfRule type="dataBar" id="{FB893C09-3A3D-41C5-9124-F5CCF1ED86F4}">
            <x14:dataBar minLength="0" maxLength="100" border="1" negativeBarBorderColorSameAsPositive="0">
              <x14:cfvo type="num">
                <xm:f>-0.2</xm:f>
              </x14:cfvo>
              <x14:cfvo type="num">
                <xm:f>1</xm:f>
              </x14:cfvo>
              <x14:borderColor rgb="FF638EC6"/>
              <x14:negativeFillColor rgb="FFFF0000"/>
              <x14:negativeBorderColor rgb="FFFF0000"/>
              <x14:axisColor rgb="FF000000"/>
            </x14:dataBar>
          </x14:cfRule>
          <xm:sqref>L22:L31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A6B4-BFB5-4FFA-B771-0CD89AA40FF1}">
  <sheetPr codeName="Sheet5">
    <tabColor rgb="FFFFC000"/>
  </sheetPr>
  <dimension ref="A2:Y144"/>
  <sheetViews>
    <sheetView workbookViewId="0"/>
  </sheetViews>
  <sheetFormatPr defaultColWidth="8.88671875" defaultRowHeight="13.8"/>
  <cols>
    <col min="1" max="1" width="14.88671875" style="2" customWidth="1"/>
    <col min="2" max="2" width="88.88671875" style="2" customWidth="1"/>
    <col min="3" max="3" width="97.44140625" style="2" customWidth="1"/>
    <col min="4" max="4" width="24.109375" style="2" customWidth="1"/>
    <col min="5" max="5" width="19.44140625" style="2" customWidth="1"/>
    <col min="6" max="6" width="17.109375" style="2" customWidth="1"/>
    <col min="7" max="7" width="18.5546875" style="2" bestFit="1" customWidth="1"/>
    <col min="8" max="8" width="21.109375" style="2" customWidth="1"/>
    <col min="9" max="9" width="17.88671875" style="2" customWidth="1"/>
    <col min="10" max="10" width="19.109375" style="2" bestFit="1" customWidth="1"/>
    <col min="11" max="12" width="20.109375" style="2" customWidth="1"/>
    <col min="13" max="13" width="22.109375" style="2" customWidth="1"/>
    <col min="14" max="14" width="21.88671875" style="2" customWidth="1"/>
    <col min="15" max="15" width="20.109375" style="2" customWidth="1"/>
    <col min="16" max="16" width="17.5546875" style="2" customWidth="1"/>
    <col min="17" max="16384" width="8.88671875" style="2"/>
  </cols>
  <sheetData>
    <row r="2" spans="1:25" ht="41.4">
      <c r="A2" s="16" t="s">
        <v>656</v>
      </c>
      <c r="B2" s="1444" t="s">
        <v>32</v>
      </c>
      <c r="C2" s="1444"/>
      <c r="D2" s="1444"/>
      <c r="E2" s="1444"/>
      <c r="F2" s="1444"/>
      <c r="G2" s="1444"/>
      <c r="H2" s="1444"/>
      <c r="I2" s="1444"/>
      <c r="J2" s="1444"/>
      <c r="K2" s="1444"/>
      <c r="L2" s="1444"/>
      <c r="M2" s="1444"/>
      <c r="N2" s="1444"/>
      <c r="O2" s="8"/>
      <c r="P2" s="19"/>
      <c r="Q2" s="19"/>
      <c r="R2" s="19"/>
      <c r="S2" s="19"/>
      <c r="T2" s="19"/>
      <c r="U2" s="20"/>
      <c r="V2" s="20"/>
      <c r="W2" s="20"/>
      <c r="X2" s="20"/>
    </row>
    <row r="3" spans="1:25" ht="19.8">
      <c r="B3" s="21"/>
      <c r="C3" s="21"/>
      <c r="D3" s="21"/>
      <c r="E3" s="21"/>
      <c r="F3" s="21"/>
      <c r="G3" s="22"/>
      <c r="H3" s="22"/>
      <c r="I3" s="22"/>
      <c r="J3" s="22"/>
      <c r="K3" s="22"/>
      <c r="L3" s="22"/>
      <c r="M3" s="22"/>
      <c r="N3" s="22"/>
      <c r="O3" s="22"/>
      <c r="P3" s="22"/>
      <c r="Q3" s="22"/>
      <c r="R3" s="22"/>
      <c r="S3" s="22"/>
      <c r="T3" s="22"/>
      <c r="U3" s="20"/>
      <c r="V3" s="20"/>
      <c r="W3" s="20"/>
      <c r="X3" s="20"/>
    </row>
    <row r="4" spans="1:25" ht="184.5" customHeight="1">
      <c r="B4" s="1438" t="s">
        <v>657</v>
      </c>
      <c r="C4" s="1438"/>
      <c r="D4" s="1438"/>
      <c r="E4" s="1438"/>
      <c r="F4" s="1438"/>
      <c r="G4" s="1438"/>
      <c r="H4" s="1438"/>
      <c r="I4" s="1438"/>
      <c r="J4" s="1438"/>
      <c r="K4" s="1438"/>
      <c r="L4" s="1438"/>
      <c r="M4" s="20"/>
      <c r="N4" s="20"/>
      <c r="O4" s="20"/>
      <c r="P4" s="20"/>
      <c r="Q4" s="20"/>
      <c r="R4" s="20"/>
      <c r="S4" s="20"/>
      <c r="T4" s="20"/>
      <c r="U4" s="20"/>
      <c r="V4" s="20"/>
      <c r="W4" s="20"/>
      <c r="X4" s="20"/>
    </row>
    <row r="5" spans="1:25">
      <c r="B5" s="23"/>
      <c r="C5" s="23"/>
      <c r="D5" s="23"/>
      <c r="E5" s="23"/>
      <c r="F5" s="23"/>
      <c r="G5" s="24"/>
      <c r="H5" s="24"/>
      <c r="I5" s="24"/>
      <c r="J5" s="20"/>
      <c r="K5" s="20"/>
      <c r="L5" s="20"/>
      <c r="M5" s="20"/>
      <c r="N5" s="20"/>
      <c r="O5" s="20"/>
      <c r="P5" s="25"/>
      <c r="Q5" s="20"/>
      <c r="R5" s="20"/>
      <c r="S5" s="20"/>
      <c r="T5" s="20"/>
      <c r="U5" s="20"/>
      <c r="V5" s="20"/>
      <c r="W5" s="20"/>
      <c r="X5" s="20"/>
    </row>
    <row r="6" spans="1:25" ht="24.6">
      <c r="B6" s="26" t="s">
        <v>658</v>
      </c>
      <c r="C6" s="27"/>
      <c r="D6" s="28"/>
      <c r="E6" s="28"/>
      <c r="F6" s="28"/>
      <c r="G6" s="1440"/>
      <c r="H6" s="1440"/>
      <c r="I6" s="1440"/>
      <c r="J6" s="29"/>
      <c r="K6" s="29"/>
      <c r="L6" s="29"/>
      <c r="M6" s="29"/>
      <c r="N6" s="29"/>
      <c r="O6" s="20"/>
      <c r="P6" s="20"/>
      <c r="Q6" s="20"/>
      <c r="R6" s="20"/>
      <c r="S6" s="20"/>
      <c r="T6" s="20"/>
      <c r="U6" s="20"/>
      <c r="V6" s="20"/>
      <c r="W6" s="20"/>
      <c r="X6" s="20"/>
    </row>
    <row r="7" spans="1:25">
      <c r="C7" s="30"/>
      <c r="D7" s="31"/>
      <c r="E7" s="31"/>
      <c r="F7" s="31"/>
      <c r="G7" s="32"/>
      <c r="H7" s="32"/>
      <c r="I7" s="32"/>
      <c r="J7" s="32"/>
      <c r="K7" s="32"/>
      <c r="L7" s="32"/>
      <c r="M7" s="33"/>
      <c r="N7" s="33"/>
      <c r="O7" s="20"/>
      <c r="P7" s="33"/>
      <c r="Q7" s="33"/>
      <c r="R7" s="33"/>
      <c r="S7" s="33"/>
      <c r="T7" s="33"/>
      <c r="U7" s="33"/>
      <c r="V7" s="33"/>
      <c r="W7" s="33"/>
      <c r="X7" s="33"/>
    </row>
    <row r="8" spans="1:25" ht="14.25" customHeight="1">
      <c r="B8" s="1445" t="s">
        <v>543</v>
      </c>
      <c r="C8" s="1446" t="s">
        <v>659</v>
      </c>
      <c r="D8" s="1447" t="s">
        <v>544</v>
      </c>
      <c r="E8" s="1439" t="s">
        <v>546</v>
      </c>
      <c r="F8" s="1439"/>
      <c r="G8" s="1439"/>
      <c r="H8" s="1442" t="s">
        <v>547</v>
      </c>
      <c r="I8" s="1442"/>
      <c r="J8" s="1442"/>
      <c r="K8" s="1442" t="s">
        <v>548</v>
      </c>
      <c r="L8" s="1442"/>
      <c r="M8" s="1442"/>
      <c r="N8" s="232" t="s">
        <v>549</v>
      </c>
      <c r="O8" s="20"/>
      <c r="P8" s="20"/>
      <c r="Q8" s="20"/>
      <c r="R8" s="20"/>
      <c r="S8" s="20"/>
      <c r="T8" s="20"/>
      <c r="U8" s="20"/>
      <c r="V8" s="20"/>
      <c r="W8" s="20"/>
      <c r="X8" s="20"/>
      <c r="Y8" s="20"/>
    </row>
    <row r="9" spans="1:25" ht="27.9" customHeight="1">
      <c r="B9" s="1445"/>
      <c r="C9" s="1446"/>
      <c r="D9" s="1448"/>
      <c r="E9" s="231" t="s">
        <v>550</v>
      </c>
      <c r="F9" s="231" t="s">
        <v>660</v>
      </c>
      <c r="G9" s="231" t="s">
        <v>661</v>
      </c>
      <c r="H9" s="232" t="s">
        <v>550</v>
      </c>
      <c r="I9" s="232" t="s">
        <v>660</v>
      </c>
      <c r="J9" s="233" t="s">
        <v>661</v>
      </c>
      <c r="K9" s="232" t="s">
        <v>550</v>
      </c>
      <c r="L9" s="232" t="s">
        <v>660</v>
      </c>
      <c r="M9" s="233" t="s">
        <v>661</v>
      </c>
      <c r="N9" s="232" t="s">
        <v>550</v>
      </c>
      <c r="O9" s="20"/>
      <c r="P9" s="34"/>
      <c r="Q9" s="34"/>
      <c r="R9" s="20"/>
      <c r="S9" s="20"/>
      <c r="T9" s="20"/>
      <c r="U9" s="20"/>
      <c r="V9" s="20"/>
      <c r="W9" s="20"/>
      <c r="X9" s="20"/>
      <c r="Y9" s="20"/>
    </row>
    <row r="10" spans="1:25" ht="126.6">
      <c r="B10" s="154" t="s">
        <v>472</v>
      </c>
      <c r="C10" s="155" t="s">
        <v>662</v>
      </c>
      <c r="D10" s="155" t="s">
        <v>663</v>
      </c>
      <c r="E10" s="243">
        <v>235892</v>
      </c>
      <c r="F10" s="243">
        <v>100466</v>
      </c>
      <c r="G10" s="243">
        <f>E10-F10</f>
        <v>135426</v>
      </c>
      <c r="H10" s="156">
        <v>262233</v>
      </c>
      <c r="I10" s="156">
        <v>108639</v>
      </c>
      <c r="J10" s="156">
        <f>H10-I10</f>
        <v>153594</v>
      </c>
      <c r="K10" s="156">
        <v>255832</v>
      </c>
      <c r="L10" s="156">
        <v>116770</v>
      </c>
      <c r="M10" s="156">
        <f>K10-L10</f>
        <v>139062</v>
      </c>
      <c r="N10" s="156">
        <v>253097</v>
      </c>
      <c r="O10" s="20"/>
      <c r="P10" s="35"/>
      <c r="Q10" s="35"/>
      <c r="R10" s="20"/>
      <c r="S10" s="20"/>
      <c r="T10" s="20"/>
      <c r="U10" s="20"/>
      <c r="V10" s="20"/>
      <c r="W10" s="20"/>
      <c r="X10" s="20"/>
      <c r="Y10" s="20"/>
    </row>
    <row r="11" spans="1:25" ht="82.8">
      <c r="B11" s="154" t="s">
        <v>475</v>
      </c>
      <c r="C11" s="155" t="s">
        <v>664</v>
      </c>
      <c r="D11" s="155" t="s">
        <v>663</v>
      </c>
      <c r="E11" s="243">
        <v>131449</v>
      </c>
      <c r="F11" s="243">
        <v>1024</v>
      </c>
      <c r="G11" s="243">
        <f t="shared" ref="G11:G14" si="0">E11-F11</f>
        <v>130425</v>
      </c>
      <c r="H11" s="156">
        <v>181419</v>
      </c>
      <c r="I11" s="156">
        <v>1482</v>
      </c>
      <c r="J11" s="156">
        <f t="shared" ref="J11:J14" si="1">H11-I11</f>
        <v>179937</v>
      </c>
      <c r="K11" s="156">
        <v>181525</v>
      </c>
      <c r="L11" s="156">
        <v>3969</v>
      </c>
      <c r="M11" s="156">
        <f>K11-L11</f>
        <v>177556</v>
      </c>
      <c r="N11" s="156">
        <v>192333</v>
      </c>
      <c r="O11" s="20"/>
      <c r="P11" s="35"/>
      <c r="Q11" s="35"/>
      <c r="R11" s="20"/>
      <c r="S11" s="20"/>
      <c r="T11" s="20"/>
      <c r="U11" s="20"/>
      <c r="V11" s="20"/>
      <c r="W11" s="20"/>
      <c r="X11" s="20"/>
      <c r="Y11" s="20"/>
    </row>
    <row r="12" spans="1:25" ht="82.8">
      <c r="B12" s="154" t="s">
        <v>554</v>
      </c>
      <c r="C12" s="155" t="s">
        <v>665</v>
      </c>
      <c r="D12" s="155" t="s">
        <v>663</v>
      </c>
      <c r="E12" s="243">
        <v>206357</v>
      </c>
      <c r="F12" s="243">
        <v>21721</v>
      </c>
      <c r="G12" s="243">
        <f t="shared" si="0"/>
        <v>184636</v>
      </c>
      <c r="H12" s="156">
        <v>241531</v>
      </c>
      <c r="I12" s="156">
        <v>29037</v>
      </c>
      <c r="J12" s="156">
        <f t="shared" si="1"/>
        <v>212494</v>
      </c>
      <c r="K12" s="156">
        <v>226283</v>
      </c>
      <c r="L12" s="156">
        <v>33772</v>
      </c>
      <c r="M12" s="156">
        <f t="shared" ref="M12:M14" si="2">K12-L12</f>
        <v>192511</v>
      </c>
      <c r="N12" s="156">
        <v>251569</v>
      </c>
      <c r="O12" s="20"/>
      <c r="P12" s="35"/>
      <c r="Q12" s="35"/>
      <c r="R12" s="20"/>
      <c r="S12" s="20"/>
      <c r="T12" s="20"/>
      <c r="U12" s="20"/>
      <c r="V12" s="20"/>
      <c r="W12" s="20"/>
      <c r="X12" s="20"/>
      <c r="Y12" s="20"/>
    </row>
    <row r="13" spans="1:25" ht="27.6">
      <c r="B13" s="157" t="s">
        <v>555</v>
      </c>
      <c r="C13" s="158" t="s">
        <v>666</v>
      </c>
      <c r="D13" s="158" t="s">
        <v>667</v>
      </c>
      <c r="E13" s="243">
        <v>367341</v>
      </c>
      <c r="F13" s="243">
        <v>101489</v>
      </c>
      <c r="G13" s="243">
        <f t="shared" si="0"/>
        <v>265852</v>
      </c>
      <c r="H13" s="240">
        <f>H10+H11</f>
        <v>443652</v>
      </c>
      <c r="I13" s="240">
        <f t="shared" ref="I13" si="3">I10+I11</f>
        <v>110121</v>
      </c>
      <c r="J13" s="240">
        <f t="shared" si="1"/>
        <v>333531</v>
      </c>
      <c r="K13" s="240">
        <v>437357</v>
      </c>
      <c r="L13" s="240">
        <v>120739</v>
      </c>
      <c r="M13" s="240">
        <f t="shared" si="2"/>
        <v>316618</v>
      </c>
      <c r="N13" s="240">
        <v>445430</v>
      </c>
      <c r="O13" s="20"/>
      <c r="P13" s="73"/>
      <c r="Q13" s="35"/>
      <c r="R13" s="20"/>
      <c r="S13" s="20"/>
      <c r="T13" s="20"/>
      <c r="U13" s="20"/>
      <c r="V13" s="20"/>
      <c r="W13" s="20"/>
      <c r="X13" s="20"/>
      <c r="Y13" s="20"/>
    </row>
    <row r="14" spans="1:25" ht="27.6">
      <c r="B14" s="154" t="s">
        <v>557</v>
      </c>
      <c r="C14" s="155" t="s">
        <v>668</v>
      </c>
      <c r="D14" s="155" t="s">
        <v>663</v>
      </c>
      <c r="E14" s="243">
        <v>442248</v>
      </c>
      <c r="F14" s="243">
        <v>122186</v>
      </c>
      <c r="G14" s="243">
        <f t="shared" si="0"/>
        <v>320062</v>
      </c>
      <c r="H14" s="156">
        <f>H10+H12</f>
        <v>503764</v>
      </c>
      <c r="I14" s="156">
        <v>137676</v>
      </c>
      <c r="J14" s="156">
        <f t="shared" si="1"/>
        <v>366088</v>
      </c>
      <c r="K14" s="156">
        <f>K10+K12</f>
        <v>482115</v>
      </c>
      <c r="L14" s="156">
        <f t="shared" ref="L14" si="4">L10+L12</f>
        <v>150542</v>
      </c>
      <c r="M14" s="156">
        <f t="shared" si="2"/>
        <v>331573</v>
      </c>
      <c r="N14" s="156">
        <v>504666</v>
      </c>
      <c r="O14" s="20"/>
      <c r="P14" s="74"/>
      <c r="Q14" s="35"/>
      <c r="R14" s="20"/>
      <c r="S14" s="20"/>
      <c r="T14" s="20"/>
      <c r="U14" s="20"/>
      <c r="V14" s="20"/>
      <c r="W14" s="20"/>
      <c r="X14" s="20"/>
      <c r="Y14" s="20"/>
    </row>
    <row r="15" spans="1:25" ht="28.8">
      <c r="B15" s="157" t="s">
        <v>558</v>
      </c>
      <c r="C15" s="158" t="s">
        <v>669</v>
      </c>
      <c r="D15" s="158" t="s">
        <v>670</v>
      </c>
      <c r="E15" s="244">
        <v>3.4</v>
      </c>
      <c r="F15" s="244">
        <v>22.3</v>
      </c>
      <c r="G15" s="244">
        <v>2.6</v>
      </c>
      <c r="H15" s="241">
        <v>3.9</v>
      </c>
      <c r="I15" s="241">
        <v>20.5</v>
      </c>
      <c r="J15" s="242">
        <v>3.1</v>
      </c>
      <c r="K15" s="241">
        <v>3.9</v>
      </c>
      <c r="L15" s="241">
        <v>12.2</v>
      </c>
      <c r="M15" s="241">
        <v>3.1</v>
      </c>
      <c r="N15" s="241">
        <v>3.6</v>
      </c>
      <c r="O15" s="20"/>
      <c r="P15" s="35"/>
      <c r="Q15" s="35"/>
      <c r="R15" s="20"/>
      <c r="S15" s="20"/>
      <c r="T15" s="20"/>
      <c r="U15" s="20"/>
      <c r="V15" s="20"/>
      <c r="W15" s="20"/>
      <c r="X15" s="20"/>
      <c r="Y15" s="20"/>
    </row>
    <row r="16" spans="1:25">
      <c r="B16" s="36"/>
      <c r="C16" s="36"/>
      <c r="D16" s="37"/>
      <c r="E16" s="37"/>
      <c r="F16" s="37"/>
      <c r="G16" s="38"/>
      <c r="H16" s="39"/>
      <c r="I16" s="39"/>
      <c r="J16" s="39"/>
      <c r="K16" s="39"/>
      <c r="L16" s="39"/>
      <c r="M16" s="40"/>
      <c r="N16" s="20"/>
      <c r="O16" s="20"/>
      <c r="P16" s="20"/>
      <c r="Q16" s="20"/>
      <c r="R16" s="20"/>
      <c r="S16" s="20"/>
      <c r="T16" s="20"/>
      <c r="U16" s="20"/>
      <c r="V16" s="20"/>
      <c r="W16" s="20"/>
      <c r="X16" s="20"/>
    </row>
    <row r="17" spans="2:24">
      <c r="B17" s="397" t="s">
        <v>671</v>
      </c>
      <c r="C17" s="397" t="s">
        <v>672</v>
      </c>
      <c r="D17" s="398" t="s">
        <v>544</v>
      </c>
      <c r="E17" s="399" t="s">
        <v>546</v>
      </c>
      <c r="F17" s="400" t="s">
        <v>547</v>
      </c>
      <c r="G17" s="400" t="s">
        <v>548</v>
      </c>
      <c r="H17" s="400" t="s">
        <v>549</v>
      </c>
      <c r="I17" s="34"/>
      <c r="J17" s="41"/>
      <c r="K17" s="39"/>
      <c r="L17" s="39"/>
      <c r="M17" s="40"/>
      <c r="N17" s="20"/>
      <c r="O17" s="20"/>
      <c r="P17" s="20"/>
      <c r="Q17" s="20"/>
      <c r="R17" s="20"/>
      <c r="S17" s="20"/>
      <c r="T17" s="20"/>
      <c r="U17" s="20"/>
      <c r="V17" s="20"/>
      <c r="W17" s="20"/>
      <c r="X17" s="20"/>
    </row>
    <row r="18" spans="2:24" ht="41.4">
      <c r="B18" s="402" t="s">
        <v>673</v>
      </c>
      <c r="C18" s="401" t="s">
        <v>674</v>
      </c>
      <c r="D18" s="402" t="s">
        <v>675</v>
      </c>
      <c r="E18" s="403">
        <v>2495473</v>
      </c>
      <c r="F18" s="404">
        <v>2978197</v>
      </c>
      <c r="G18" s="404">
        <v>2812518</v>
      </c>
      <c r="H18" s="404">
        <v>3433660</v>
      </c>
      <c r="I18" s="42"/>
      <c r="J18" s="75"/>
      <c r="K18" s="39"/>
      <c r="L18" s="39"/>
      <c r="M18" s="40"/>
      <c r="N18" s="20"/>
      <c r="O18" s="20"/>
      <c r="P18" s="20"/>
      <c r="Q18" s="20"/>
      <c r="R18" s="20"/>
      <c r="S18" s="20"/>
      <c r="T18" s="20"/>
      <c r="U18" s="20"/>
      <c r="V18" s="20"/>
      <c r="W18" s="20"/>
      <c r="X18" s="20"/>
    </row>
    <row r="19" spans="2:24" ht="27.6">
      <c r="B19" s="402" t="s">
        <v>676</v>
      </c>
      <c r="C19" s="401" t="s">
        <v>677</v>
      </c>
      <c r="D19" s="402" t="s">
        <v>675</v>
      </c>
      <c r="E19" s="403">
        <v>182667</v>
      </c>
      <c r="F19" s="404">
        <v>348360</v>
      </c>
      <c r="G19" s="404">
        <v>308835</v>
      </c>
      <c r="H19" s="404">
        <v>399630</v>
      </c>
      <c r="I19" s="39"/>
      <c r="J19" s="39"/>
      <c r="K19" s="39"/>
      <c r="L19" s="39"/>
      <c r="M19" s="40"/>
      <c r="N19" s="20"/>
      <c r="O19" s="20"/>
      <c r="P19" s="20"/>
      <c r="Q19" s="20"/>
      <c r="R19" s="20"/>
      <c r="S19" s="20"/>
      <c r="T19" s="20"/>
      <c r="U19" s="20"/>
      <c r="V19" s="20"/>
      <c r="W19" s="20"/>
      <c r="X19" s="20"/>
    </row>
    <row r="20" spans="2:24" ht="41.4">
      <c r="B20" s="402" t="s">
        <v>678</v>
      </c>
      <c r="C20" s="401" t="s">
        <v>679</v>
      </c>
      <c r="D20" s="402" t="s">
        <v>675</v>
      </c>
      <c r="E20" s="403">
        <v>41485</v>
      </c>
      <c r="F20" s="417">
        <v>47438</v>
      </c>
      <c r="G20" s="417">
        <v>39899</v>
      </c>
      <c r="H20" s="417">
        <v>41259</v>
      </c>
      <c r="I20" s="39"/>
      <c r="J20" s="39"/>
      <c r="K20" s="39"/>
      <c r="L20" s="39"/>
      <c r="M20" s="40"/>
      <c r="N20" s="20"/>
      <c r="O20" s="20"/>
      <c r="P20" s="20"/>
      <c r="Q20" s="20"/>
      <c r="R20" s="20"/>
      <c r="S20" s="20"/>
      <c r="T20" s="20"/>
      <c r="U20" s="20"/>
      <c r="V20" s="20"/>
      <c r="W20" s="20"/>
      <c r="X20" s="20"/>
    </row>
    <row r="21" spans="2:24" ht="27.6">
      <c r="B21" s="402" t="s">
        <v>680</v>
      </c>
      <c r="C21" s="401" t="s">
        <v>681</v>
      </c>
      <c r="D21" s="402" t="s">
        <v>675</v>
      </c>
      <c r="E21" s="403">
        <v>81999</v>
      </c>
      <c r="F21" s="404">
        <v>168750</v>
      </c>
      <c r="G21" s="404">
        <v>102552</v>
      </c>
      <c r="H21" s="404">
        <v>102552</v>
      </c>
      <c r="I21" s="39"/>
      <c r="J21" s="39"/>
      <c r="K21" s="39"/>
      <c r="L21" s="39"/>
      <c r="M21" s="40"/>
      <c r="N21" s="20"/>
      <c r="O21" s="20"/>
      <c r="P21" s="20"/>
      <c r="Q21" s="20"/>
      <c r="R21" s="20"/>
      <c r="S21" s="20"/>
      <c r="T21" s="20"/>
      <c r="U21" s="20"/>
      <c r="V21" s="20"/>
      <c r="W21" s="20"/>
      <c r="X21" s="20"/>
    </row>
    <row r="22" spans="2:24" ht="41.4">
      <c r="B22" s="402" t="s">
        <v>682</v>
      </c>
      <c r="C22" s="401" t="s">
        <v>683</v>
      </c>
      <c r="D22" s="402" t="s">
        <v>675</v>
      </c>
      <c r="E22" s="403">
        <v>4029</v>
      </c>
      <c r="F22" s="404">
        <v>5879</v>
      </c>
      <c r="G22" s="404">
        <v>5346</v>
      </c>
      <c r="H22" s="404">
        <v>5303</v>
      </c>
      <c r="I22" s="39"/>
      <c r="J22" s="39"/>
      <c r="K22" s="39"/>
      <c r="L22" s="39"/>
      <c r="M22" s="40"/>
      <c r="N22" s="20"/>
      <c r="O22" s="20"/>
      <c r="P22" s="20"/>
      <c r="Q22" s="20"/>
      <c r="R22" s="20"/>
      <c r="S22" s="20"/>
      <c r="T22" s="20"/>
      <c r="U22" s="20"/>
      <c r="V22" s="20"/>
      <c r="W22" s="20"/>
      <c r="X22" s="20"/>
    </row>
    <row r="23" spans="2:24" ht="69">
      <c r="B23" s="402" t="s">
        <v>684</v>
      </c>
      <c r="C23" s="401" t="s">
        <v>685</v>
      </c>
      <c r="D23" s="402" t="s">
        <v>675</v>
      </c>
      <c r="E23" s="403">
        <v>5077.333333333333</v>
      </c>
      <c r="F23" s="404">
        <v>1336</v>
      </c>
      <c r="G23" s="404">
        <v>67</v>
      </c>
      <c r="H23" s="404">
        <v>9202</v>
      </c>
      <c r="I23" s="39"/>
      <c r="J23" s="39"/>
      <c r="K23" s="39"/>
      <c r="L23" s="39"/>
      <c r="M23" s="40"/>
      <c r="N23" s="20"/>
      <c r="O23" s="20"/>
      <c r="P23" s="20"/>
      <c r="Q23" s="20"/>
      <c r="R23" s="20"/>
      <c r="S23" s="20"/>
      <c r="T23" s="20"/>
      <c r="U23" s="20"/>
      <c r="V23" s="20"/>
      <c r="W23" s="20"/>
      <c r="X23" s="20"/>
    </row>
    <row r="24" spans="2:24" ht="41.4">
      <c r="B24" s="402" t="s">
        <v>686</v>
      </c>
      <c r="C24" s="401" t="s">
        <v>687</v>
      </c>
      <c r="D24" s="402" t="s">
        <v>675</v>
      </c>
      <c r="E24" s="403">
        <v>13627</v>
      </c>
      <c r="F24" s="404">
        <v>15718</v>
      </c>
      <c r="G24" s="404">
        <v>29957</v>
      </c>
      <c r="H24" s="404">
        <v>29957</v>
      </c>
      <c r="I24" s="39"/>
      <c r="J24" s="39"/>
      <c r="K24" s="39"/>
      <c r="L24" s="39"/>
      <c r="M24" s="40"/>
      <c r="N24" s="20"/>
      <c r="O24" s="20"/>
      <c r="P24" s="20"/>
      <c r="Q24" s="20"/>
      <c r="R24" s="20"/>
      <c r="S24" s="20"/>
      <c r="T24" s="20"/>
      <c r="U24" s="20"/>
      <c r="V24" s="20"/>
      <c r="W24" s="20"/>
      <c r="X24" s="20"/>
    </row>
    <row r="25" spans="2:24" ht="15">
      <c r="B25" s="402" t="s">
        <v>688</v>
      </c>
      <c r="C25" s="401" t="s">
        <v>689</v>
      </c>
      <c r="D25" s="402" t="s">
        <v>675</v>
      </c>
      <c r="E25" s="403">
        <v>523</v>
      </c>
      <c r="F25" s="404">
        <v>698</v>
      </c>
      <c r="G25" s="404">
        <v>602</v>
      </c>
      <c r="H25" s="404">
        <v>5094</v>
      </c>
      <c r="I25" s="39"/>
      <c r="J25" s="39"/>
      <c r="K25" s="39"/>
      <c r="L25" s="39"/>
      <c r="M25" s="40"/>
      <c r="N25" s="20"/>
      <c r="O25" s="20"/>
      <c r="P25" s="20"/>
      <c r="Q25" s="20"/>
      <c r="R25" s="20"/>
      <c r="S25" s="20"/>
      <c r="T25" s="20"/>
      <c r="U25" s="20"/>
      <c r="V25" s="20"/>
      <c r="W25" s="20"/>
      <c r="X25" s="20"/>
    </row>
    <row r="26" spans="2:24" ht="27.6">
      <c r="B26" s="402" t="s">
        <v>690</v>
      </c>
      <c r="C26" s="401" t="s">
        <v>691</v>
      </c>
      <c r="D26" s="402" t="s">
        <v>675</v>
      </c>
      <c r="E26" s="403">
        <v>0</v>
      </c>
      <c r="F26" s="404">
        <v>0</v>
      </c>
      <c r="G26" s="404">
        <v>0</v>
      </c>
      <c r="H26" s="404">
        <v>0</v>
      </c>
      <c r="I26" s="39"/>
      <c r="J26" s="39"/>
      <c r="K26" s="39"/>
      <c r="L26" s="39"/>
      <c r="M26" s="40"/>
      <c r="N26" s="20"/>
      <c r="O26" s="20"/>
      <c r="P26" s="20"/>
      <c r="Q26" s="20"/>
      <c r="R26" s="20"/>
      <c r="S26" s="20"/>
      <c r="T26" s="20"/>
      <c r="U26" s="20"/>
      <c r="V26" s="20"/>
      <c r="W26" s="20"/>
      <c r="X26" s="20"/>
    </row>
    <row r="27" spans="2:24" ht="27.6">
      <c r="B27" s="402" t="s">
        <v>692</v>
      </c>
      <c r="C27" s="401" t="s">
        <v>693</v>
      </c>
      <c r="D27" s="402" t="s">
        <v>675</v>
      </c>
      <c r="E27" s="403">
        <v>0</v>
      </c>
      <c r="F27" s="404">
        <v>0</v>
      </c>
      <c r="G27" s="404">
        <v>0</v>
      </c>
      <c r="H27" s="404">
        <v>0</v>
      </c>
      <c r="I27" s="39"/>
      <c r="J27" s="39"/>
      <c r="K27" s="39"/>
      <c r="L27" s="39"/>
      <c r="M27" s="40"/>
      <c r="N27" s="20"/>
      <c r="O27" s="20"/>
      <c r="P27" s="20"/>
      <c r="Q27" s="20"/>
      <c r="R27" s="20"/>
      <c r="S27" s="20"/>
      <c r="T27" s="20"/>
      <c r="U27" s="20"/>
      <c r="V27" s="20"/>
      <c r="W27" s="20"/>
      <c r="X27" s="20"/>
    </row>
    <row r="28" spans="2:24" ht="41.4">
      <c r="B28" s="402" t="s">
        <v>694</v>
      </c>
      <c r="C28" s="401" t="s">
        <v>695</v>
      </c>
      <c r="D28" s="402" t="s">
        <v>675</v>
      </c>
      <c r="E28" s="403">
        <v>0</v>
      </c>
      <c r="F28" s="404">
        <v>0</v>
      </c>
      <c r="G28" s="404">
        <v>0</v>
      </c>
      <c r="H28" s="404">
        <v>0</v>
      </c>
      <c r="I28" s="43"/>
      <c r="J28" s="43"/>
      <c r="K28" s="39"/>
      <c r="L28" s="39"/>
      <c r="M28" s="40"/>
      <c r="N28" s="20"/>
      <c r="O28" s="20"/>
      <c r="P28" s="20"/>
      <c r="Q28" s="20"/>
      <c r="R28" s="20"/>
      <c r="S28" s="20"/>
      <c r="T28" s="20"/>
      <c r="U28" s="20"/>
      <c r="V28" s="20"/>
      <c r="W28" s="20"/>
      <c r="X28" s="20"/>
    </row>
    <row r="29" spans="2:24" ht="41.4">
      <c r="B29" s="402" t="s">
        <v>696</v>
      </c>
      <c r="C29" s="401" t="s">
        <v>697</v>
      </c>
      <c r="D29" s="402" t="s">
        <v>675</v>
      </c>
      <c r="E29" s="403">
        <v>0</v>
      </c>
      <c r="F29" s="404">
        <v>0</v>
      </c>
      <c r="G29" s="404">
        <v>0</v>
      </c>
      <c r="H29" s="404">
        <v>0</v>
      </c>
      <c r="I29" s="43"/>
      <c r="J29" s="43"/>
      <c r="K29" s="39"/>
      <c r="L29" s="39"/>
      <c r="M29" s="40"/>
      <c r="N29" s="20"/>
      <c r="O29" s="20"/>
      <c r="P29" s="20"/>
      <c r="Q29" s="20"/>
      <c r="R29" s="20"/>
      <c r="S29" s="20"/>
      <c r="T29" s="20"/>
      <c r="U29" s="20"/>
      <c r="V29" s="20"/>
      <c r="W29" s="20"/>
      <c r="X29" s="20"/>
    </row>
    <row r="30" spans="2:24" ht="15">
      <c r="B30" s="402" t="s">
        <v>698</v>
      </c>
      <c r="C30" s="401" t="s">
        <v>699</v>
      </c>
      <c r="D30" s="402" t="s">
        <v>675</v>
      </c>
      <c r="E30" s="403">
        <v>0</v>
      </c>
      <c r="F30" s="404">
        <v>0</v>
      </c>
      <c r="G30" s="404">
        <v>0</v>
      </c>
      <c r="H30" s="404">
        <v>0</v>
      </c>
      <c r="I30" s="43"/>
      <c r="J30" s="43"/>
      <c r="K30" s="39"/>
      <c r="L30" s="39"/>
      <c r="M30" s="40"/>
      <c r="N30" s="20"/>
      <c r="O30" s="20"/>
      <c r="P30" s="20"/>
      <c r="Q30" s="20"/>
      <c r="R30" s="20"/>
      <c r="S30" s="20"/>
      <c r="T30" s="20"/>
      <c r="U30" s="20"/>
      <c r="V30" s="20"/>
      <c r="W30" s="20"/>
      <c r="X30" s="20"/>
    </row>
    <row r="31" spans="2:24" ht="15">
      <c r="B31" s="402" t="s">
        <v>700</v>
      </c>
      <c r="C31" s="401" t="s">
        <v>701</v>
      </c>
      <c r="D31" s="402" t="s">
        <v>675</v>
      </c>
      <c r="E31" s="403">
        <v>0</v>
      </c>
      <c r="F31" s="404">
        <v>0</v>
      </c>
      <c r="G31" s="404">
        <v>0</v>
      </c>
      <c r="H31" s="404">
        <v>0</v>
      </c>
      <c r="I31" s="43"/>
      <c r="J31" s="43"/>
      <c r="K31" s="39"/>
      <c r="L31" s="39"/>
      <c r="M31" s="40"/>
      <c r="N31" s="20"/>
      <c r="O31" s="20"/>
      <c r="P31" s="20"/>
      <c r="Q31" s="20"/>
      <c r="R31" s="20"/>
      <c r="S31" s="20"/>
      <c r="T31" s="20"/>
      <c r="U31" s="20"/>
      <c r="V31" s="20"/>
      <c r="W31" s="20"/>
      <c r="X31" s="20"/>
    </row>
    <row r="32" spans="2:24" ht="41.4">
      <c r="B32" s="402" t="s">
        <v>702</v>
      </c>
      <c r="C32" s="401" t="s">
        <v>703</v>
      </c>
      <c r="D32" s="402" t="s">
        <v>675</v>
      </c>
      <c r="E32" s="403">
        <v>125196</v>
      </c>
      <c r="F32" s="404">
        <v>118356</v>
      </c>
      <c r="G32" s="404">
        <v>119005</v>
      </c>
      <c r="H32" s="404">
        <v>129337</v>
      </c>
      <c r="I32" s="39"/>
      <c r="J32" s="39"/>
      <c r="K32" s="39"/>
      <c r="L32" s="39"/>
      <c r="M32" s="40"/>
      <c r="N32" s="20"/>
      <c r="O32" s="20"/>
      <c r="P32" s="20"/>
      <c r="Q32" s="20"/>
      <c r="R32" s="20"/>
      <c r="S32" s="20"/>
      <c r="T32" s="20"/>
      <c r="U32" s="20"/>
      <c r="V32" s="20"/>
      <c r="W32" s="20"/>
      <c r="X32" s="20"/>
    </row>
    <row r="33" spans="2:24" ht="15">
      <c r="B33" s="402" t="s">
        <v>704</v>
      </c>
      <c r="C33" s="402"/>
      <c r="D33" s="405" t="s">
        <v>705</v>
      </c>
      <c r="E33" s="403">
        <f>SUM(E18:E32)</f>
        <v>2950076.3333333335</v>
      </c>
      <c r="F33" s="406">
        <f>SUM(F18:F32)</f>
        <v>3684732</v>
      </c>
      <c r="G33" s="406">
        <f>SUM(G18:G32)</f>
        <v>3418781</v>
      </c>
      <c r="H33" s="406">
        <f>SUM(H18:H32)</f>
        <v>4155994</v>
      </c>
      <c r="I33" s="39"/>
      <c r="J33" s="39"/>
      <c r="K33" s="39"/>
      <c r="L33" s="39"/>
      <c r="M33" s="40"/>
      <c r="N33" s="20"/>
      <c r="O33" s="20"/>
      <c r="P33" s="20"/>
      <c r="Q33" s="20"/>
      <c r="R33" s="20"/>
      <c r="S33" s="20"/>
      <c r="T33" s="20"/>
      <c r="U33" s="20"/>
      <c r="V33" s="20"/>
      <c r="W33" s="20"/>
      <c r="X33" s="20"/>
    </row>
    <row r="34" spans="2:24">
      <c r="B34" s="17"/>
      <c r="C34" s="17"/>
      <c r="D34" s="17"/>
      <c r="E34" s="17"/>
      <c r="F34" s="17"/>
      <c r="G34" s="44"/>
      <c r="H34" s="44"/>
      <c r="I34" s="39"/>
      <c r="J34" s="39"/>
      <c r="K34" s="39"/>
      <c r="L34" s="39"/>
      <c r="M34" s="40"/>
      <c r="N34" s="20"/>
      <c r="O34" s="20"/>
      <c r="P34" s="20"/>
      <c r="Q34" s="20"/>
      <c r="R34" s="20"/>
      <c r="S34" s="20"/>
      <c r="T34" s="20"/>
      <c r="U34" s="20"/>
      <c r="V34" s="20"/>
      <c r="W34" s="20"/>
      <c r="X34" s="20"/>
    </row>
    <row r="35" spans="2:24">
      <c r="B35" s="45"/>
      <c r="C35" s="18"/>
      <c r="E35" s="17"/>
      <c r="F35" s="17"/>
      <c r="G35" s="44"/>
      <c r="H35" s="44"/>
      <c r="I35" s="39"/>
      <c r="J35" s="39"/>
      <c r="K35" s="39"/>
      <c r="L35" s="39"/>
      <c r="M35" s="40"/>
      <c r="N35" s="20"/>
      <c r="O35" s="20"/>
      <c r="P35" s="20"/>
      <c r="Q35" s="20"/>
      <c r="R35" s="20"/>
      <c r="S35" s="20"/>
      <c r="T35" s="20"/>
      <c r="U35" s="20"/>
      <c r="V35" s="20"/>
      <c r="W35" s="20"/>
      <c r="X35" s="20"/>
    </row>
    <row r="36" spans="2:24">
      <c r="B36" s="45"/>
      <c r="C36" s="18"/>
      <c r="E36" s="17"/>
      <c r="F36" s="17"/>
      <c r="G36" s="44"/>
      <c r="H36" s="44"/>
      <c r="I36" s="39"/>
      <c r="J36" s="39"/>
      <c r="K36" s="39"/>
      <c r="L36" s="39"/>
      <c r="M36" s="40"/>
      <c r="N36" s="20"/>
      <c r="O36" s="20"/>
      <c r="P36" s="20"/>
      <c r="Q36" s="20"/>
      <c r="R36" s="20"/>
      <c r="S36" s="20"/>
      <c r="T36" s="20"/>
      <c r="U36" s="20"/>
      <c r="V36" s="20"/>
      <c r="W36" s="20"/>
      <c r="X36" s="20"/>
    </row>
    <row r="37" spans="2:24">
      <c r="B37" s="17"/>
      <c r="C37" s="17"/>
      <c r="D37" s="17"/>
      <c r="E37" s="17"/>
      <c r="F37" s="17"/>
      <c r="G37" s="44"/>
      <c r="H37" s="44"/>
      <c r="I37" s="44"/>
      <c r="J37" s="46"/>
      <c r="K37" s="46"/>
      <c r="L37" s="46"/>
      <c r="M37" s="20"/>
      <c r="N37" s="20"/>
      <c r="O37" s="20"/>
      <c r="P37" s="20"/>
      <c r="Q37" s="20"/>
      <c r="R37" s="20"/>
      <c r="S37" s="20"/>
      <c r="T37" s="20"/>
      <c r="U37" s="20"/>
      <c r="V37" s="20"/>
      <c r="W37" s="20"/>
      <c r="X37" s="20"/>
    </row>
    <row r="38" spans="2:24" ht="17.399999999999999">
      <c r="B38" s="234" t="s">
        <v>706</v>
      </c>
      <c r="C38" s="165"/>
      <c r="D38" s="235" t="s">
        <v>544</v>
      </c>
      <c r="E38" s="273" t="str">
        <f>E17</f>
        <v>2022/23</v>
      </c>
      <c r="F38" s="274" t="str">
        <f>F17</f>
        <v>2021/22</v>
      </c>
      <c r="G38" s="274" t="str">
        <f>G17</f>
        <v>2020/21</v>
      </c>
      <c r="H38" s="274" t="str">
        <f>H17</f>
        <v>2019/20</v>
      </c>
      <c r="I38" s="44"/>
      <c r="J38" s="46"/>
      <c r="K38" s="46"/>
      <c r="L38" s="46"/>
      <c r="M38" s="20"/>
      <c r="N38" s="20"/>
      <c r="O38" s="20"/>
      <c r="P38" s="20"/>
      <c r="Q38" s="20"/>
      <c r="R38" s="20"/>
      <c r="S38" s="20"/>
      <c r="T38" s="20"/>
      <c r="U38" s="20"/>
      <c r="V38" s="20"/>
      <c r="W38" s="20"/>
      <c r="X38" s="20"/>
    </row>
    <row r="39" spans="2:24" ht="15">
      <c r="B39" s="166" t="str">
        <f>B10</f>
        <v>Total Scope 1 GHG emissions</v>
      </c>
      <c r="C39" s="167" t="s">
        <v>550</v>
      </c>
      <c r="D39" s="161" t="s">
        <v>675</v>
      </c>
      <c r="E39" s="246">
        <f>E10</f>
        <v>235892</v>
      </c>
      <c r="F39" s="168">
        <f>H10</f>
        <v>262233</v>
      </c>
      <c r="G39" s="168">
        <f>K10</f>
        <v>255832</v>
      </c>
      <c r="H39" s="168">
        <f>N10</f>
        <v>253097</v>
      </c>
      <c r="J39" s="76"/>
      <c r="K39" s="46"/>
      <c r="L39" s="46"/>
      <c r="M39" s="20"/>
      <c r="N39" s="20"/>
      <c r="O39" s="20"/>
      <c r="P39" s="20"/>
      <c r="Q39" s="20"/>
      <c r="R39" s="20"/>
      <c r="S39" s="20"/>
      <c r="T39" s="20"/>
      <c r="U39" s="20"/>
      <c r="V39" s="20"/>
      <c r="W39" s="20"/>
      <c r="X39" s="20"/>
    </row>
    <row r="40" spans="2:24" ht="15">
      <c r="B40" s="166" t="str">
        <f>B11</f>
        <v>Total Scope 2 GHG emissions (market-based)</v>
      </c>
      <c r="C40" s="167" t="s">
        <v>550</v>
      </c>
      <c r="D40" s="161" t="s">
        <v>675</v>
      </c>
      <c r="E40" s="246">
        <f>E11</f>
        <v>131449</v>
      </c>
      <c r="F40" s="168">
        <f>H11</f>
        <v>181419</v>
      </c>
      <c r="G40" s="168">
        <f>K11</f>
        <v>181525</v>
      </c>
      <c r="H40" s="168">
        <f>N11</f>
        <v>192333</v>
      </c>
      <c r="J40" s="76"/>
      <c r="K40" s="46"/>
      <c r="L40" s="46"/>
      <c r="M40" s="20"/>
      <c r="N40" s="20"/>
      <c r="O40" s="20"/>
      <c r="P40" s="20"/>
      <c r="Q40" s="20"/>
      <c r="R40" s="20"/>
      <c r="S40" s="20"/>
      <c r="T40" s="20"/>
      <c r="U40" s="20"/>
      <c r="V40" s="20"/>
      <c r="W40" s="20"/>
      <c r="X40" s="20"/>
    </row>
    <row r="41" spans="2:24" ht="15">
      <c r="B41" s="166" t="str">
        <f>"Scope 3 - "&amp;B18</f>
        <v>Scope 3 - Total Scope 3 (Category 1) Purchased goods and services GHG emissions</v>
      </c>
      <c r="C41" s="160" t="s">
        <v>707</v>
      </c>
      <c r="D41" s="161" t="s">
        <v>675</v>
      </c>
      <c r="E41" s="246">
        <f>E18</f>
        <v>2495473</v>
      </c>
      <c r="F41" s="168">
        <f>F18</f>
        <v>2978197</v>
      </c>
      <c r="G41" s="168">
        <f>G18</f>
        <v>2812518</v>
      </c>
      <c r="H41" s="168">
        <f>H18</f>
        <v>3433660</v>
      </c>
      <c r="J41" s="76"/>
      <c r="K41" s="46"/>
      <c r="L41" s="46"/>
      <c r="M41" s="20"/>
      <c r="N41" s="20"/>
      <c r="O41" s="20"/>
      <c r="P41" s="20"/>
      <c r="Q41" s="20"/>
      <c r="R41" s="20"/>
      <c r="S41" s="20"/>
      <c r="T41" s="20"/>
      <c r="U41" s="20"/>
      <c r="V41" s="20"/>
      <c r="W41" s="20"/>
      <c r="X41" s="20"/>
    </row>
    <row r="42" spans="2:24" ht="15">
      <c r="B42" s="166" t="str">
        <f>"Scope 3 - All other categories"</f>
        <v>Scope 3 - All other categories</v>
      </c>
      <c r="C42" s="167" t="s">
        <v>708</v>
      </c>
      <c r="D42" s="161" t="s">
        <v>675</v>
      </c>
      <c r="E42" s="246">
        <f>E33-E18</f>
        <v>454603.33333333349</v>
      </c>
      <c r="F42" s="168">
        <f>F33-F18</f>
        <v>706535</v>
      </c>
      <c r="G42" s="168">
        <f>G33-G18</f>
        <v>606263</v>
      </c>
      <c r="H42" s="168">
        <f>H33-H18</f>
        <v>722334</v>
      </c>
      <c r="J42" s="76"/>
      <c r="K42" s="46"/>
      <c r="L42" s="46"/>
      <c r="M42" s="20"/>
      <c r="N42" s="20"/>
      <c r="O42" s="20"/>
      <c r="P42" s="20"/>
      <c r="Q42" s="20"/>
      <c r="R42" s="20"/>
      <c r="S42" s="20"/>
      <c r="T42" s="20"/>
      <c r="U42" s="20"/>
      <c r="V42" s="20"/>
      <c r="W42" s="20"/>
      <c r="X42" s="20"/>
    </row>
    <row r="43" spans="2:24" ht="15">
      <c r="B43" s="238" t="s">
        <v>709</v>
      </c>
      <c r="C43" s="238"/>
      <c r="D43" s="163" t="s">
        <v>705</v>
      </c>
      <c r="E43" s="246">
        <f>SUM(E39:E42)</f>
        <v>3317417.3333333335</v>
      </c>
      <c r="F43" s="239">
        <f t="shared" ref="F43:H43" si="5">SUM(F39:F42)</f>
        <v>4128384</v>
      </c>
      <c r="G43" s="239">
        <f t="shared" si="5"/>
        <v>3856138</v>
      </c>
      <c r="H43" s="239">
        <f t="shared" si="5"/>
        <v>4601424</v>
      </c>
      <c r="J43" s="76"/>
      <c r="K43" s="46"/>
      <c r="L43" s="46"/>
      <c r="M43" s="20"/>
      <c r="N43" s="20"/>
      <c r="O43" s="20"/>
      <c r="P43" s="20"/>
      <c r="Q43" s="20"/>
      <c r="R43" s="20"/>
      <c r="S43" s="20"/>
      <c r="T43" s="20"/>
      <c r="U43" s="20"/>
      <c r="V43" s="20"/>
      <c r="W43" s="20"/>
      <c r="X43" s="20"/>
    </row>
    <row r="44" spans="2:24">
      <c r="B44" s="17"/>
      <c r="C44" s="17"/>
      <c r="D44" s="17"/>
      <c r="E44" s="17"/>
      <c r="F44" s="17"/>
      <c r="G44" s="44"/>
      <c r="H44" s="44"/>
      <c r="I44" s="44"/>
      <c r="J44" s="46"/>
      <c r="K44" s="46"/>
      <c r="L44" s="46"/>
      <c r="M44" s="20"/>
      <c r="N44" s="20"/>
      <c r="O44" s="20"/>
      <c r="P44" s="20"/>
      <c r="Q44" s="20"/>
      <c r="R44" s="20"/>
      <c r="S44" s="20"/>
      <c r="T44" s="20"/>
      <c r="U44" s="20"/>
      <c r="V44" s="20"/>
      <c r="W44" s="20"/>
      <c r="X44" s="20"/>
    </row>
    <row r="45" spans="2:24" ht="24.6">
      <c r="B45" s="47" t="s">
        <v>710</v>
      </c>
      <c r="C45" s="27"/>
      <c r="D45" s="28"/>
      <c r="E45" s="28"/>
      <c r="F45" s="28"/>
      <c r="G45" s="1440"/>
      <c r="H45" s="1440"/>
      <c r="I45" s="1440"/>
      <c r="J45" s="1441"/>
      <c r="K45" s="1441"/>
      <c r="L45" s="1441"/>
      <c r="M45" s="1441"/>
      <c r="N45" s="1441"/>
      <c r="O45" s="1441"/>
    </row>
    <row r="46" spans="2:24">
      <c r="B46" s="48"/>
      <c r="C46" s="49"/>
      <c r="D46" s="50"/>
      <c r="E46" s="51"/>
      <c r="F46" s="50"/>
      <c r="G46" s="50"/>
      <c r="H46" s="50"/>
    </row>
    <row r="47" spans="2:24" ht="19.8">
      <c r="B47" s="249" t="s">
        <v>506</v>
      </c>
      <c r="C47" s="250" t="s">
        <v>672</v>
      </c>
      <c r="D47" s="235"/>
      <c r="E47" s="251" t="s">
        <v>546</v>
      </c>
      <c r="F47" s="275" t="s">
        <v>547</v>
      </c>
      <c r="G47" s="276" t="s">
        <v>548</v>
      </c>
      <c r="H47" s="276" t="s">
        <v>549</v>
      </c>
    </row>
    <row r="48" spans="2:24" ht="18" customHeight="1">
      <c r="B48" s="192" t="s">
        <v>711</v>
      </c>
      <c r="C48" s="170"/>
      <c r="D48" s="169"/>
      <c r="E48" s="171"/>
      <c r="F48" s="171"/>
      <c r="G48" s="171"/>
      <c r="H48" s="171"/>
    </row>
    <row r="49" spans="2:11" ht="18" customHeight="1">
      <c r="B49" s="172" t="s">
        <v>712</v>
      </c>
      <c r="C49" s="173" t="s">
        <v>713</v>
      </c>
      <c r="D49" s="174" t="s">
        <v>714</v>
      </c>
      <c r="E49" s="247">
        <v>1750260</v>
      </c>
      <c r="F49" s="175">
        <v>2116235</v>
      </c>
      <c r="G49" s="176">
        <v>2008299</v>
      </c>
      <c r="H49" s="176">
        <v>2205806</v>
      </c>
    </row>
    <row r="50" spans="2:11" ht="18" customHeight="1">
      <c r="B50" s="172" t="s">
        <v>715</v>
      </c>
      <c r="C50" s="173" t="s">
        <v>716</v>
      </c>
      <c r="D50" s="174" t="s">
        <v>714</v>
      </c>
      <c r="E50" s="248">
        <v>0</v>
      </c>
      <c r="F50" s="177">
        <v>39220</v>
      </c>
      <c r="G50" s="178">
        <v>47064</v>
      </c>
      <c r="H50" s="178">
        <v>63024</v>
      </c>
    </row>
    <row r="51" spans="2:11" ht="41.4">
      <c r="B51" s="172" t="s">
        <v>717</v>
      </c>
      <c r="C51" s="173" t="s">
        <v>718</v>
      </c>
      <c r="D51" s="174" t="s">
        <v>714</v>
      </c>
      <c r="E51" s="248">
        <v>95221</v>
      </c>
      <c r="F51" s="177">
        <v>128713</v>
      </c>
      <c r="G51" s="179">
        <v>113638</v>
      </c>
      <c r="H51" s="179">
        <v>108276</v>
      </c>
    </row>
    <row r="52" spans="2:11" ht="27.6">
      <c r="B52" s="180" t="s">
        <v>719</v>
      </c>
      <c r="C52" s="181" t="s">
        <v>720</v>
      </c>
      <c r="D52" s="182" t="s">
        <v>721</v>
      </c>
      <c r="E52" s="171">
        <f>SUM(E49:E51)</f>
        <v>1845481</v>
      </c>
      <c r="F52" s="183">
        <f>SUM(F49:F51)</f>
        <v>2284168</v>
      </c>
      <c r="G52" s="183">
        <f t="shared" ref="G52:H52" si="6">SUM(G49:G51)</f>
        <v>2169001</v>
      </c>
      <c r="H52" s="183">
        <f t="shared" si="6"/>
        <v>2377106</v>
      </c>
    </row>
    <row r="53" spans="2:11" ht="18" customHeight="1">
      <c r="B53" s="192" t="s">
        <v>722</v>
      </c>
      <c r="C53" s="170"/>
      <c r="D53" s="169"/>
      <c r="E53" s="171"/>
      <c r="F53" s="171"/>
      <c r="G53" s="171"/>
      <c r="H53" s="171"/>
    </row>
    <row r="54" spans="2:11" ht="41.4">
      <c r="B54" s="186" t="s">
        <v>723</v>
      </c>
      <c r="C54" s="173" t="s">
        <v>724</v>
      </c>
      <c r="D54" s="182" t="s">
        <v>714</v>
      </c>
      <c r="E54" s="247">
        <v>48993</v>
      </c>
      <c r="F54" s="185">
        <v>115790</v>
      </c>
      <c r="G54" s="185">
        <v>105378</v>
      </c>
      <c r="H54" s="185">
        <v>117936</v>
      </c>
    </row>
    <row r="55" spans="2:11" ht="17.399999999999999">
      <c r="B55" s="192" t="s">
        <v>725</v>
      </c>
      <c r="C55" s="170"/>
      <c r="D55" s="169"/>
      <c r="E55" s="171"/>
      <c r="F55" s="171"/>
      <c r="G55" s="171"/>
      <c r="H55" s="171"/>
    </row>
    <row r="56" spans="2:11" ht="55.2">
      <c r="B56" s="180" t="s">
        <v>726</v>
      </c>
      <c r="C56" s="186" t="s">
        <v>727</v>
      </c>
      <c r="D56" s="180" t="s">
        <v>728</v>
      </c>
      <c r="E56" s="247">
        <f>(E52-E54)/1000</f>
        <v>1796.4880000000001</v>
      </c>
      <c r="F56" s="184">
        <f>(F52-F54)/1000</f>
        <v>2168.3780000000002</v>
      </c>
      <c r="G56" s="184">
        <f>(G52-G54)/1000</f>
        <v>2063.623</v>
      </c>
      <c r="H56" s="184">
        <f>(H52-H54)/1000</f>
        <v>2259.17</v>
      </c>
      <c r="J56" s="52"/>
      <c r="K56" s="52"/>
    </row>
    <row r="57" spans="2:11">
      <c r="B57" s="78"/>
      <c r="C57" s="78"/>
      <c r="D57" s="78"/>
      <c r="E57" s="408"/>
      <c r="F57" s="407"/>
      <c r="G57" s="407"/>
      <c r="H57" s="407"/>
      <c r="J57" s="62"/>
      <c r="K57" s="62"/>
    </row>
    <row r="58" spans="2:11" ht="193.2">
      <c r="B58" s="238" t="s">
        <v>586</v>
      </c>
      <c r="C58" s="238" t="s">
        <v>729</v>
      </c>
      <c r="D58" s="199" t="s">
        <v>730</v>
      </c>
      <c r="E58" s="364"/>
      <c r="F58" s="364"/>
      <c r="G58" s="364"/>
      <c r="H58" s="407"/>
      <c r="J58" s="62"/>
      <c r="K58" s="62"/>
    </row>
    <row r="59" spans="2:11">
      <c r="B59" s="78"/>
      <c r="C59" s="78"/>
      <c r="D59" s="78"/>
      <c r="E59" s="408"/>
      <c r="F59" s="407"/>
      <c r="G59" s="407"/>
      <c r="H59" s="407"/>
      <c r="J59" s="62"/>
      <c r="K59" s="62"/>
    </row>
    <row r="60" spans="2:11" ht="17.399999999999999">
      <c r="B60" s="192" t="s">
        <v>731</v>
      </c>
      <c r="C60" s="170"/>
      <c r="D60" s="169"/>
      <c r="E60" s="171"/>
      <c r="F60" s="187"/>
      <c r="G60" s="171"/>
      <c r="H60" s="171"/>
      <c r="I60" s="52"/>
      <c r="J60" s="52"/>
    </row>
    <row r="61" spans="2:11" ht="69">
      <c r="B61" s="188" t="s">
        <v>732</v>
      </c>
      <c r="C61" s="189" t="s">
        <v>733</v>
      </c>
      <c r="D61" s="190" t="s">
        <v>734</v>
      </c>
      <c r="E61" s="392">
        <v>1383764</v>
      </c>
      <c r="F61" s="211">
        <v>1637952</v>
      </c>
      <c r="G61" s="211">
        <v>1777400</v>
      </c>
      <c r="H61" s="211">
        <v>1678964</v>
      </c>
      <c r="I61" s="52"/>
      <c r="J61" s="52"/>
    </row>
    <row r="62" spans="2:11" ht="82.8">
      <c r="B62" s="180" t="s">
        <v>587</v>
      </c>
      <c r="C62" s="186" t="s">
        <v>735</v>
      </c>
      <c r="D62" s="180" t="s">
        <v>588</v>
      </c>
      <c r="E62" s="169">
        <v>238</v>
      </c>
      <c r="F62" s="180">
        <v>192</v>
      </c>
      <c r="G62" s="180">
        <v>109</v>
      </c>
      <c r="H62" s="180">
        <v>240</v>
      </c>
      <c r="I62" s="62"/>
      <c r="J62" s="62"/>
    </row>
    <row r="63" spans="2:11">
      <c r="B63" s="180" t="s">
        <v>736</v>
      </c>
      <c r="C63" s="186" t="s">
        <v>737</v>
      </c>
      <c r="D63" s="180" t="s">
        <v>574</v>
      </c>
      <c r="E63" s="268">
        <v>0.74</v>
      </c>
      <c r="F63" s="191">
        <v>0.78</v>
      </c>
      <c r="G63" s="191">
        <v>0.79</v>
      </c>
      <c r="H63" s="191">
        <v>0.72</v>
      </c>
      <c r="I63" s="62"/>
      <c r="J63" s="62"/>
    </row>
    <row r="64" spans="2:11" ht="18" customHeight="1">
      <c r="B64" s="53"/>
      <c r="C64" s="54"/>
      <c r="D64" s="60"/>
      <c r="E64" s="60"/>
      <c r="F64" s="61"/>
      <c r="G64" s="61"/>
      <c r="H64" s="61"/>
      <c r="I64" s="62"/>
      <c r="J64" s="62"/>
    </row>
    <row r="65" spans="2:15" ht="19.8">
      <c r="B65" s="249" t="s">
        <v>196</v>
      </c>
      <c r="C65" s="250" t="s">
        <v>672</v>
      </c>
      <c r="D65" s="235"/>
      <c r="E65" s="251" t="s">
        <v>546</v>
      </c>
      <c r="F65" s="275" t="s">
        <v>547</v>
      </c>
      <c r="G65" s="276" t="s">
        <v>548</v>
      </c>
      <c r="H65" s="276" t="s">
        <v>549</v>
      </c>
    </row>
    <row r="66" spans="2:15" ht="18" customHeight="1">
      <c r="B66" s="252" t="s">
        <v>738</v>
      </c>
      <c r="C66" s="254"/>
      <c r="D66" s="229"/>
      <c r="E66" s="247"/>
      <c r="F66" s="247"/>
      <c r="G66" s="247"/>
      <c r="H66" s="247"/>
    </row>
    <row r="67" spans="2:15" ht="41.4">
      <c r="B67" s="173" t="s">
        <v>739</v>
      </c>
      <c r="C67" s="193" t="s">
        <v>740</v>
      </c>
      <c r="D67" s="194" t="s">
        <v>591</v>
      </c>
      <c r="E67" s="269">
        <v>38725.5</v>
      </c>
      <c r="F67" s="195">
        <v>57555</v>
      </c>
      <c r="G67" s="195">
        <v>54207.8</v>
      </c>
      <c r="H67" s="196">
        <v>53861.3</v>
      </c>
    </row>
    <row r="68" spans="2:15" ht="41.4">
      <c r="B68" s="166" t="s">
        <v>741</v>
      </c>
      <c r="C68" s="193" t="s">
        <v>742</v>
      </c>
      <c r="D68" s="194" t="s">
        <v>591</v>
      </c>
      <c r="E68" s="269">
        <v>3356</v>
      </c>
      <c r="F68" s="197">
        <v>2991.8</v>
      </c>
      <c r="G68" s="197">
        <v>3042.7</v>
      </c>
      <c r="H68" s="196">
        <v>2973.4</v>
      </c>
    </row>
    <row r="69" spans="2:15" ht="41.4">
      <c r="B69" s="166" t="s">
        <v>743</v>
      </c>
      <c r="C69" s="193" t="s">
        <v>744</v>
      </c>
      <c r="D69" s="194" t="s">
        <v>591</v>
      </c>
      <c r="E69" s="269">
        <v>7059.4</v>
      </c>
      <c r="F69" s="197">
        <v>19367.3</v>
      </c>
      <c r="G69" s="197">
        <v>18165.5</v>
      </c>
      <c r="H69" s="196">
        <v>7902.9</v>
      </c>
    </row>
    <row r="70" spans="2:15" ht="41.4">
      <c r="B70" s="166" t="s">
        <v>745</v>
      </c>
      <c r="C70" s="193" t="s">
        <v>746</v>
      </c>
      <c r="D70" s="194" t="s">
        <v>591</v>
      </c>
      <c r="E70" s="269">
        <v>14011</v>
      </c>
      <c r="F70" s="197">
        <v>16667</v>
      </c>
      <c r="G70" s="197">
        <v>12360.6</v>
      </c>
      <c r="H70" s="196">
        <v>15456.5</v>
      </c>
    </row>
    <row r="71" spans="2:15">
      <c r="B71" s="198" t="s">
        <v>747</v>
      </c>
      <c r="C71" s="163"/>
      <c r="D71" s="199" t="s">
        <v>591</v>
      </c>
      <c r="E71" s="247">
        <f>E67+E68</f>
        <v>42081.5</v>
      </c>
      <c r="F71" s="200">
        <f>F67+F68</f>
        <v>60546.8</v>
      </c>
      <c r="G71" s="200">
        <f t="shared" ref="G71:H71" si="7">G67+G68</f>
        <v>57250.5</v>
      </c>
      <c r="H71" s="184">
        <f t="shared" si="7"/>
        <v>56834.700000000004</v>
      </c>
    </row>
    <row r="72" spans="2:15" ht="41.4">
      <c r="B72" s="198" t="s">
        <v>595</v>
      </c>
      <c r="C72" s="201" t="s">
        <v>748</v>
      </c>
      <c r="D72" s="199" t="s">
        <v>591</v>
      </c>
      <c r="E72" s="247">
        <v>63152</v>
      </c>
      <c r="F72" s="176">
        <v>96581.4</v>
      </c>
      <c r="G72" s="176">
        <v>87776.6</v>
      </c>
      <c r="H72" s="176">
        <v>80194</v>
      </c>
    </row>
    <row r="73" spans="2:15" ht="17.399999999999999">
      <c r="B73" s="252" t="s">
        <v>749</v>
      </c>
      <c r="C73" s="230"/>
      <c r="D73" s="229"/>
      <c r="E73" s="247"/>
      <c r="F73" s="247"/>
      <c r="G73" s="247"/>
      <c r="H73" s="247"/>
    </row>
    <row r="74" spans="2:15" ht="55.2">
      <c r="B74" s="193" t="s">
        <v>750</v>
      </c>
      <c r="C74" s="193" t="s">
        <v>751</v>
      </c>
      <c r="D74" s="194" t="s">
        <v>591</v>
      </c>
      <c r="E74" s="269">
        <v>858.5</v>
      </c>
      <c r="F74" s="196">
        <v>1862</v>
      </c>
      <c r="G74" s="196">
        <v>1042</v>
      </c>
      <c r="H74" s="196">
        <v>1651</v>
      </c>
    </row>
    <row r="75" spans="2:15" ht="41.4">
      <c r="B75" s="193" t="s">
        <v>752</v>
      </c>
      <c r="C75" s="193" t="s">
        <v>753</v>
      </c>
      <c r="D75" s="194" t="s">
        <v>591</v>
      </c>
      <c r="E75" s="269">
        <v>3871</v>
      </c>
      <c r="F75" s="196">
        <v>17759</v>
      </c>
      <c r="G75" s="196">
        <v>16598</v>
      </c>
      <c r="H75" s="196">
        <v>5860.4</v>
      </c>
    </row>
    <row r="76" spans="2:15" ht="41.4">
      <c r="B76" s="193" t="s">
        <v>754</v>
      </c>
      <c r="C76" s="193" t="s">
        <v>755</v>
      </c>
      <c r="D76" s="194" t="s">
        <v>591</v>
      </c>
      <c r="E76" s="269">
        <v>2057</v>
      </c>
      <c r="F76" s="196">
        <v>2821</v>
      </c>
      <c r="G76" s="196">
        <v>1607</v>
      </c>
      <c r="H76" s="196">
        <v>1556.1</v>
      </c>
    </row>
    <row r="77" spans="2:15" ht="27.6">
      <c r="B77" s="201" t="s">
        <v>756</v>
      </c>
      <c r="C77" s="201" t="s">
        <v>757</v>
      </c>
      <c r="D77" s="199" t="s">
        <v>591</v>
      </c>
      <c r="E77" s="247">
        <v>6787</v>
      </c>
      <c r="F77" s="184">
        <f>SUM(F74:F76)</f>
        <v>22442</v>
      </c>
      <c r="G77" s="184">
        <f>SUM(G74:G76)</f>
        <v>19247</v>
      </c>
      <c r="H77" s="184">
        <f>SUM(H74:H76)</f>
        <v>9067.5</v>
      </c>
      <c r="L77" s="55"/>
    </row>
    <row r="78" spans="2:15" ht="55.2">
      <c r="B78" s="193" t="s">
        <v>758</v>
      </c>
      <c r="C78" s="193" t="s">
        <v>759</v>
      </c>
      <c r="D78" s="194" t="s">
        <v>591</v>
      </c>
      <c r="E78" s="269">
        <v>365.8</v>
      </c>
      <c r="F78" s="196">
        <v>2518</v>
      </c>
      <c r="G78" s="196">
        <v>2272</v>
      </c>
      <c r="H78" s="196">
        <v>2613</v>
      </c>
      <c r="L78" s="55"/>
      <c r="O78" s="55"/>
    </row>
    <row r="79" spans="2:15" ht="41.4">
      <c r="B79" s="193" t="s">
        <v>760</v>
      </c>
      <c r="C79" s="193" t="s">
        <v>761</v>
      </c>
      <c r="D79" s="194" t="s">
        <v>591</v>
      </c>
      <c r="E79" s="269">
        <v>15710</v>
      </c>
      <c r="F79" s="196">
        <v>27687</v>
      </c>
      <c r="G79" s="196">
        <v>36293</v>
      </c>
      <c r="H79" s="196">
        <v>41255.199999999997</v>
      </c>
      <c r="L79" s="55"/>
      <c r="O79" s="55"/>
    </row>
    <row r="80" spans="2:15" ht="27.6">
      <c r="B80" s="193" t="s">
        <v>762</v>
      </c>
      <c r="C80" s="193" t="s">
        <v>763</v>
      </c>
      <c r="D80" s="194" t="s">
        <v>591</v>
      </c>
      <c r="E80" s="269">
        <v>2333</v>
      </c>
      <c r="F80" s="196">
        <v>1640</v>
      </c>
      <c r="G80" s="196">
        <v>2188</v>
      </c>
      <c r="H80" s="196">
        <v>2129</v>
      </c>
    </row>
    <row r="81" spans="2:8" ht="27.6">
      <c r="B81" s="201" t="s">
        <v>764</v>
      </c>
      <c r="C81" s="201" t="s">
        <v>765</v>
      </c>
      <c r="D81" s="199" t="s">
        <v>591</v>
      </c>
      <c r="E81" s="247">
        <f>E78+E79+E80</f>
        <v>18408.8</v>
      </c>
      <c r="F81" s="184">
        <f>F78+F79+F80</f>
        <v>31845</v>
      </c>
      <c r="G81" s="184">
        <f>G78+G79+G80</f>
        <v>40753</v>
      </c>
      <c r="H81" s="184">
        <f>SUM(H78:H80)</f>
        <v>45997.2</v>
      </c>
    </row>
    <row r="82" spans="2:8" ht="27.6">
      <c r="B82" s="201" t="s">
        <v>766</v>
      </c>
      <c r="C82" s="201" t="s">
        <v>767</v>
      </c>
      <c r="D82" s="199" t="s">
        <v>591</v>
      </c>
      <c r="E82" s="247">
        <f>E77+E81</f>
        <v>25195.8</v>
      </c>
      <c r="F82" s="184">
        <f>F77+F81</f>
        <v>54287</v>
      </c>
      <c r="G82" s="184">
        <f>G77+G81</f>
        <v>60000</v>
      </c>
      <c r="H82" s="184">
        <f>H77+H81</f>
        <v>55064.7</v>
      </c>
    </row>
    <row r="83" spans="2:8">
      <c r="B83" s="201" t="s">
        <v>768</v>
      </c>
      <c r="C83" s="201" t="s">
        <v>769</v>
      </c>
      <c r="D83" s="199" t="s">
        <v>591</v>
      </c>
      <c r="E83" s="247">
        <f>E76+E80</f>
        <v>4390</v>
      </c>
      <c r="F83" s="184">
        <f>F76+F80</f>
        <v>4461</v>
      </c>
      <c r="G83" s="184">
        <f>G76+G80</f>
        <v>3795</v>
      </c>
      <c r="H83" s="184">
        <f>H76+H80</f>
        <v>3685.1</v>
      </c>
    </row>
    <row r="84" spans="2:8" ht="17.399999999999999">
      <c r="B84" s="252" t="s">
        <v>770</v>
      </c>
      <c r="C84" s="230"/>
      <c r="D84" s="229"/>
      <c r="E84" s="247"/>
      <c r="F84" s="247"/>
      <c r="G84" s="247"/>
      <c r="H84" s="247"/>
    </row>
    <row r="85" spans="2:8" ht="69">
      <c r="B85" s="202" t="s">
        <v>771</v>
      </c>
      <c r="C85" s="161" t="s">
        <v>772</v>
      </c>
      <c r="D85" s="194" t="s">
        <v>591</v>
      </c>
      <c r="E85" s="270">
        <v>137.49</v>
      </c>
      <c r="F85" s="203">
        <v>795.82</v>
      </c>
      <c r="G85" s="203">
        <v>106.2</v>
      </c>
      <c r="H85" s="203">
        <v>129.58000000000001</v>
      </c>
    </row>
    <row r="86" spans="2:8" ht="69">
      <c r="B86" s="202" t="s">
        <v>773</v>
      </c>
      <c r="C86" s="161" t="s">
        <v>774</v>
      </c>
      <c r="D86" s="194" t="s">
        <v>591</v>
      </c>
      <c r="E86" s="270">
        <v>919.51</v>
      </c>
      <c r="F86" s="203">
        <v>895.95</v>
      </c>
      <c r="G86" s="203">
        <v>1788.73</v>
      </c>
      <c r="H86" s="203">
        <v>2782.26</v>
      </c>
    </row>
    <row r="87" spans="2:8" ht="55.2">
      <c r="B87" s="202" t="s">
        <v>775</v>
      </c>
      <c r="C87" s="161" t="s">
        <v>776</v>
      </c>
      <c r="D87" s="194" t="s">
        <v>591</v>
      </c>
      <c r="E87" s="270">
        <v>14145.51</v>
      </c>
      <c r="F87" s="203">
        <v>12796.66</v>
      </c>
      <c r="G87" s="196">
        <v>11172.38</v>
      </c>
      <c r="H87" s="196">
        <v>14162.31</v>
      </c>
    </row>
    <row r="88" spans="2:8" ht="55.2">
      <c r="B88" s="202" t="s">
        <v>777</v>
      </c>
      <c r="C88" s="161" t="s">
        <v>778</v>
      </c>
      <c r="D88" s="194" t="s">
        <v>591</v>
      </c>
      <c r="E88" s="270">
        <v>22752.959999999999</v>
      </c>
      <c r="F88" s="203">
        <v>27805.8</v>
      </c>
      <c r="G88" s="203">
        <v>14709.48</v>
      </c>
      <c r="H88" s="203">
        <v>8054.6</v>
      </c>
    </row>
    <row r="89" spans="2:8" ht="69">
      <c r="B89" s="198" t="s">
        <v>779</v>
      </c>
      <c r="C89" s="201" t="s">
        <v>780</v>
      </c>
      <c r="D89" s="199" t="s">
        <v>591</v>
      </c>
      <c r="E89" s="247">
        <v>37956</v>
      </c>
      <c r="F89" s="184">
        <f>F85+F86+F87+F88</f>
        <v>42294.229999999996</v>
      </c>
      <c r="G89" s="184">
        <f>G85+G86+G87+G88</f>
        <v>27776.79</v>
      </c>
      <c r="H89" s="184">
        <f>H85+H86+H87+H88</f>
        <v>25128.75</v>
      </c>
    </row>
    <row r="90" spans="2:8">
      <c r="B90" s="202" t="s">
        <v>781</v>
      </c>
      <c r="C90" s="193" t="s">
        <v>782</v>
      </c>
      <c r="D90" s="194" t="s">
        <v>574</v>
      </c>
      <c r="E90" s="271">
        <f>E85/E72</f>
        <v>2.1771281986318726E-3</v>
      </c>
      <c r="F90" s="204">
        <f>F85/F72</f>
        <v>8.2398888398801436E-3</v>
      </c>
      <c r="G90" s="204">
        <f>G85/G72</f>
        <v>1.209889651683934E-3</v>
      </c>
      <c r="H90" s="204">
        <f>H85/H72</f>
        <v>1.6158316083497519E-3</v>
      </c>
    </row>
    <row r="91" spans="2:8">
      <c r="B91" s="174" t="s">
        <v>783</v>
      </c>
      <c r="C91" s="193" t="s">
        <v>782</v>
      </c>
      <c r="D91" s="205" t="s">
        <v>574</v>
      </c>
      <c r="E91" s="271">
        <f>E86/E72</f>
        <v>1.4560267291613884E-2</v>
      </c>
      <c r="F91" s="204">
        <f>F86/F72</f>
        <v>9.2766309040871239E-3</v>
      </c>
      <c r="G91" s="204">
        <f>G86/G72</f>
        <v>2.0378210138009445E-2</v>
      </c>
      <c r="H91" s="204">
        <f>H86/H72</f>
        <v>3.4694116766840415E-2</v>
      </c>
    </row>
    <row r="92" spans="2:8">
      <c r="B92" s="174" t="s">
        <v>784</v>
      </c>
      <c r="C92" s="193" t="s">
        <v>782</v>
      </c>
      <c r="D92" s="205" t="s">
        <v>574</v>
      </c>
      <c r="E92" s="271">
        <f>E89/E72</f>
        <v>0.6010260957689384</v>
      </c>
      <c r="F92" s="204">
        <f>F89/F72</f>
        <v>0.43791278651997173</v>
      </c>
      <c r="G92" s="204">
        <f>G89/G72</f>
        <v>0.31644868905835949</v>
      </c>
      <c r="H92" s="204">
        <f>H89/H72</f>
        <v>0.31334950245654286</v>
      </c>
    </row>
    <row r="93" spans="2:8" ht="17.399999999999999">
      <c r="B93" s="252" t="s">
        <v>785</v>
      </c>
      <c r="C93" s="230"/>
      <c r="D93" s="229"/>
      <c r="E93" s="247"/>
      <c r="F93" s="247"/>
      <c r="G93" s="247"/>
      <c r="H93" s="247"/>
    </row>
    <row r="94" spans="2:8" ht="27.6">
      <c r="B94" s="206" t="s">
        <v>786</v>
      </c>
      <c r="C94" s="207" t="s">
        <v>787</v>
      </c>
      <c r="D94" s="194" t="s">
        <v>591</v>
      </c>
      <c r="E94" s="269">
        <v>17366.54</v>
      </c>
      <c r="F94" s="208">
        <v>19658.759999999998</v>
      </c>
      <c r="G94" s="208">
        <v>15403.35</v>
      </c>
      <c r="H94" s="208">
        <v>18429.82</v>
      </c>
    </row>
    <row r="95" spans="2:8" ht="27.6">
      <c r="B95" s="206" t="s">
        <v>788</v>
      </c>
      <c r="C95" s="193" t="s">
        <v>789</v>
      </c>
      <c r="D95" s="194" t="s">
        <v>591</v>
      </c>
      <c r="E95" s="272">
        <v>499.71</v>
      </c>
      <c r="F95" s="209">
        <v>1200.71</v>
      </c>
      <c r="G95" s="209">
        <v>427.18</v>
      </c>
      <c r="H95" s="209">
        <v>226.86</v>
      </c>
    </row>
    <row r="96" spans="2:8" ht="27.6">
      <c r="B96" s="206" t="s">
        <v>790</v>
      </c>
      <c r="C96" s="193" t="s">
        <v>791</v>
      </c>
      <c r="D96" s="194" t="s">
        <v>591</v>
      </c>
      <c r="E96" s="272">
        <v>12460.78</v>
      </c>
      <c r="F96" s="209">
        <v>12532</v>
      </c>
      <c r="G96" s="213">
        <v>10904.96</v>
      </c>
      <c r="H96" s="213">
        <v>12685.23</v>
      </c>
    </row>
    <row r="97" spans="2:25" ht="27.6">
      <c r="B97" s="210" t="s">
        <v>792</v>
      </c>
      <c r="C97" s="193" t="s">
        <v>793</v>
      </c>
      <c r="D97" s="194" t="s">
        <v>591</v>
      </c>
      <c r="E97" s="247">
        <f>E94-E95-E96</f>
        <v>4406.0500000000011</v>
      </c>
      <c r="F97" s="211">
        <f t="shared" ref="F97:H97" si="8">F94-F95-F96</f>
        <v>5926.0499999999993</v>
      </c>
      <c r="G97" s="211">
        <f t="shared" si="8"/>
        <v>4071.2100000000009</v>
      </c>
      <c r="H97" s="211">
        <f t="shared" si="8"/>
        <v>5517.73</v>
      </c>
    </row>
    <row r="98" spans="2:25" ht="18" customHeight="1">
      <c r="B98"/>
      <c r="C98" s="56"/>
      <c r="D98" s="56"/>
      <c r="E98" s="63"/>
      <c r="F98" s="57"/>
      <c r="G98" s="57"/>
      <c r="H98" s="57"/>
    </row>
    <row r="99" spans="2:25" ht="19.8">
      <c r="B99" s="249" t="s">
        <v>794</v>
      </c>
      <c r="C99" s="250" t="s">
        <v>672</v>
      </c>
      <c r="D99" s="266"/>
      <c r="E99" s="251" t="s">
        <v>546</v>
      </c>
      <c r="F99" s="275" t="s">
        <v>547</v>
      </c>
      <c r="G99" s="276" t="s">
        <v>548</v>
      </c>
      <c r="H99" s="276" t="s">
        <v>549</v>
      </c>
    </row>
    <row r="100" spans="2:25" ht="42.6">
      <c r="B100" s="194" t="s">
        <v>795</v>
      </c>
      <c r="C100" s="167" t="s">
        <v>796</v>
      </c>
      <c r="D100" s="194" t="s">
        <v>591</v>
      </c>
      <c r="E100" s="378">
        <v>336</v>
      </c>
      <c r="F100" s="412">
        <v>393</v>
      </c>
      <c r="G100" s="412">
        <v>378</v>
      </c>
      <c r="H100" s="412">
        <v>363</v>
      </c>
    </row>
    <row r="101" spans="2:25" ht="57.6">
      <c r="B101" s="194" t="s">
        <v>797</v>
      </c>
      <c r="C101" s="167" t="s">
        <v>798</v>
      </c>
      <c r="D101" s="194" t="s">
        <v>591</v>
      </c>
      <c r="E101" s="378">
        <v>31</v>
      </c>
      <c r="F101" s="412">
        <f>79297.63/1000</f>
        <v>79.297629999999998</v>
      </c>
      <c r="G101" s="412">
        <f>49319.29/1000</f>
        <v>49.319290000000002</v>
      </c>
      <c r="H101" s="412">
        <f>27739.67/1000</f>
        <v>27.739669999999997</v>
      </c>
    </row>
    <row r="102" spans="2:25" ht="69">
      <c r="B102" s="194" t="s">
        <v>607</v>
      </c>
      <c r="C102" s="167" t="s">
        <v>799</v>
      </c>
      <c r="D102" s="194" t="s">
        <v>591</v>
      </c>
      <c r="E102" s="378">
        <v>43</v>
      </c>
      <c r="F102" s="412">
        <f>91945.8/1000</f>
        <v>91.945800000000006</v>
      </c>
      <c r="G102" s="412">
        <f>83140.96/1000</f>
        <v>83.140960000000007</v>
      </c>
      <c r="H102" s="412">
        <f>99282.23/1000</f>
        <v>99.282229999999998</v>
      </c>
    </row>
    <row r="103" spans="2:25" ht="15">
      <c r="B103" s="194" t="s">
        <v>800</v>
      </c>
      <c r="C103" s="167" t="s">
        <v>801</v>
      </c>
      <c r="D103" s="194" t="s">
        <v>574</v>
      </c>
      <c r="E103" s="413">
        <v>0.76</v>
      </c>
      <c r="F103" s="413">
        <v>0.79</v>
      </c>
      <c r="G103" s="414">
        <v>0.74</v>
      </c>
      <c r="H103" s="414">
        <v>0.67</v>
      </c>
    </row>
    <row r="104" spans="2:25" ht="15">
      <c r="B104" s="194" t="s">
        <v>802</v>
      </c>
      <c r="C104" s="167" t="s">
        <v>803</v>
      </c>
      <c r="D104" s="194" t="s">
        <v>574</v>
      </c>
      <c r="E104" s="413"/>
      <c r="F104" s="413"/>
      <c r="G104" s="414"/>
      <c r="H104" s="414"/>
    </row>
    <row r="105" spans="2:25">
      <c r="B105" s="194" t="s">
        <v>610</v>
      </c>
      <c r="C105" s="167" t="s">
        <v>804</v>
      </c>
      <c r="D105" s="194" t="s">
        <v>574</v>
      </c>
      <c r="E105" s="413"/>
      <c r="F105" s="413"/>
      <c r="G105" s="414"/>
      <c r="H105" s="414"/>
    </row>
    <row r="106" spans="2:25">
      <c r="B106" s="1443"/>
      <c r="C106" s="1443"/>
      <c r="D106" s="1443"/>
      <c r="E106" s="1443"/>
      <c r="F106" s="1443"/>
      <c r="G106" s="1443"/>
      <c r="H106" s="58"/>
    </row>
    <row r="107" spans="2:25" ht="24.6">
      <c r="B107" s="47" t="s">
        <v>805</v>
      </c>
      <c r="C107" s="27"/>
      <c r="D107" s="28"/>
      <c r="E107" s="28"/>
      <c r="F107" s="28"/>
      <c r="G107" s="1440"/>
      <c r="H107" s="1440"/>
      <c r="I107" s="1440"/>
      <c r="J107" s="1441"/>
      <c r="K107" s="1441"/>
      <c r="L107" s="1441"/>
      <c r="M107" s="1441"/>
      <c r="N107" s="1441"/>
      <c r="O107" s="1441"/>
    </row>
    <row r="108" spans="2:25">
      <c r="B108" s="17"/>
      <c r="C108" s="17"/>
      <c r="D108" s="17"/>
      <c r="E108" s="17"/>
      <c r="F108" s="17"/>
      <c r="G108" s="44"/>
      <c r="H108" s="44"/>
      <c r="I108" s="44"/>
      <c r="J108" s="46"/>
      <c r="K108" s="46"/>
      <c r="L108" s="46"/>
      <c r="M108" s="20"/>
      <c r="N108" s="20"/>
      <c r="O108" s="20"/>
      <c r="P108" s="20"/>
      <c r="Q108" s="20"/>
      <c r="R108" s="20"/>
      <c r="S108" s="20"/>
      <c r="T108" s="20"/>
      <c r="U108" s="20"/>
      <c r="V108" s="20"/>
      <c r="W108" s="20"/>
      <c r="X108" s="20"/>
    </row>
    <row r="109" spans="2:25" ht="19.8">
      <c r="B109" s="255" t="s">
        <v>560</v>
      </c>
      <c r="C109" s="253" t="s">
        <v>672</v>
      </c>
      <c r="D109" s="266"/>
      <c r="E109" s="1431" t="s">
        <v>546</v>
      </c>
      <c r="F109" s="1432"/>
      <c r="G109" s="1433"/>
      <c r="H109" s="1434" t="s">
        <v>547</v>
      </c>
      <c r="I109" s="1435"/>
      <c r="J109" s="1436"/>
      <c r="K109" s="1434" t="s">
        <v>548</v>
      </c>
      <c r="L109" s="1435"/>
      <c r="M109" s="1436"/>
      <c r="N109" s="257" t="s">
        <v>549</v>
      </c>
      <c r="O109" s="20"/>
      <c r="P109" s="20"/>
      <c r="Q109" s="20"/>
      <c r="R109" s="20"/>
      <c r="S109" s="20"/>
      <c r="T109" s="20"/>
      <c r="U109" s="20"/>
      <c r="V109" s="20"/>
      <c r="W109" s="20"/>
      <c r="X109" s="20"/>
      <c r="Y109" s="20"/>
    </row>
    <row r="110" spans="2:25"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0"/>
      <c r="P110" s="20"/>
      <c r="Q110" s="20"/>
      <c r="R110" s="20"/>
      <c r="S110" s="20"/>
      <c r="T110" s="20"/>
      <c r="U110" s="20"/>
      <c r="V110" s="20"/>
      <c r="W110" s="20"/>
      <c r="X110" s="20"/>
      <c r="Y110" s="20"/>
    </row>
    <row r="111" spans="2:25" ht="82.8">
      <c r="B111" s="216" t="s">
        <v>561</v>
      </c>
      <c r="C111" s="218" t="s">
        <v>806</v>
      </c>
      <c r="D111" s="219" t="s">
        <v>562</v>
      </c>
      <c r="E111" s="261">
        <f>E127/1000</f>
        <v>1205779.031</v>
      </c>
      <c r="F111" s="261">
        <f>F127/1000</f>
        <v>337642.93099999998</v>
      </c>
      <c r="G111" s="261">
        <f>G127/1000</f>
        <v>868136.1</v>
      </c>
      <c r="H111" s="418">
        <v>1384245</v>
      </c>
      <c r="I111" s="418">
        <v>418784</v>
      </c>
      <c r="J111" s="418">
        <v>965461</v>
      </c>
      <c r="K111" s="418">
        <v>1307373</v>
      </c>
      <c r="L111" s="418">
        <v>426755</v>
      </c>
      <c r="M111" s="418">
        <v>880618</v>
      </c>
      <c r="N111" s="418">
        <v>1350655</v>
      </c>
      <c r="O111" s="20"/>
      <c r="P111" s="20"/>
      <c r="Q111" s="59"/>
      <c r="R111" s="20"/>
      <c r="S111" s="20"/>
      <c r="T111" s="20"/>
      <c r="U111" s="20"/>
      <c r="V111" s="20"/>
      <c r="W111" s="20"/>
      <c r="X111" s="20"/>
      <c r="Y111" s="20"/>
    </row>
    <row r="112" spans="2:25" ht="27.6">
      <c r="B112" s="216" t="s">
        <v>563</v>
      </c>
      <c r="C112" s="218" t="s">
        <v>807</v>
      </c>
      <c r="D112" s="221" t="s">
        <v>564</v>
      </c>
      <c r="E112" s="262">
        <v>11.1</v>
      </c>
      <c r="F112" s="263">
        <v>74.099999999999994</v>
      </c>
      <c r="G112" s="263">
        <v>8.3000000000000007</v>
      </c>
      <c r="H112" s="222">
        <v>12.1</v>
      </c>
      <c r="I112" s="222">
        <v>78.7</v>
      </c>
      <c r="J112" s="222">
        <v>8.8000000000000007</v>
      </c>
      <c r="K112" s="222">
        <v>11.5</v>
      </c>
      <c r="L112" s="222">
        <v>43.5</v>
      </c>
      <c r="M112" s="222">
        <v>8.5</v>
      </c>
      <c r="N112" s="222">
        <v>10.99</v>
      </c>
      <c r="O112" s="20"/>
      <c r="P112" s="20"/>
      <c r="Q112" s="59"/>
      <c r="R112" s="20"/>
      <c r="S112" s="20"/>
      <c r="T112" s="20"/>
      <c r="U112" s="20"/>
      <c r="V112" s="20"/>
      <c r="W112" s="20"/>
      <c r="X112" s="20"/>
      <c r="Y112" s="20"/>
    </row>
    <row r="113" spans="2:25">
      <c r="B113" s="17"/>
      <c r="C113" s="17"/>
      <c r="D113" s="17"/>
      <c r="E113" s="17"/>
      <c r="F113" s="17"/>
      <c r="G113" s="17"/>
      <c r="H113" s="44"/>
      <c r="I113" s="44"/>
      <c r="J113" s="44"/>
      <c r="K113" s="46"/>
      <c r="L113" s="46"/>
      <c r="M113" s="46"/>
      <c r="N113" s="20"/>
      <c r="O113" s="20"/>
      <c r="P113" s="20"/>
      <c r="Q113" s="20"/>
      <c r="R113" s="20"/>
      <c r="S113" s="20"/>
      <c r="T113" s="20"/>
      <c r="U113" s="20"/>
      <c r="V113" s="20"/>
      <c r="W113" s="20"/>
      <c r="X113" s="20"/>
      <c r="Y113" s="20"/>
    </row>
    <row r="114" spans="2:25">
      <c r="B114" s="17"/>
      <c r="C114" s="17"/>
      <c r="D114" s="17"/>
      <c r="E114" s="17"/>
      <c r="F114" s="17"/>
      <c r="G114" s="17"/>
      <c r="H114" s="44"/>
      <c r="I114" s="44"/>
      <c r="J114" s="44"/>
      <c r="K114" s="46"/>
      <c r="L114" s="46"/>
      <c r="M114" s="46"/>
      <c r="N114" s="20"/>
      <c r="O114" s="20"/>
      <c r="P114" s="20"/>
      <c r="Q114" s="20"/>
      <c r="R114" s="20"/>
      <c r="S114" s="20"/>
      <c r="T114" s="20"/>
      <c r="U114" s="20"/>
      <c r="V114" s="20"/>
      <c r="W114" s="20"/>
      <c r="X114" s="20"/>
      <c r="Y114" s="20"/>
    </row>
    <row r="115" spans="2:25" ht="29.1" customHeight="1">
      <c r="B115" s="256" t="s">
        <v>808</v>
      </c>
      <c r="C115" s="253" t="s">
        <v>672</v>
      </c>
      <c r="D115" s="266"/>
      <c r="E115" s="1431" t="s">
        <v>809</v>
      </c>
      <c r="F115" s="1432"/>
      <c r="G115" s="1433"/>
      <c r="H115" s="1434" t="s">
        <v>810</v>
      </c>
      <c r="I115" s="1435"/>
      <c r="J115" s="1436"/>
      <c r="K115" s="1437" t="s">
        <v>811</v>
      </c>
      <c r="L115" s="1437"/>
      <c r="M115" s="1437"/>
      <c r="N115" s="257" t="s">
        <v>812</v>
      </c>
      <c r="O115" s="20"/>
      <c r="P115" s="20"/>
      <c r="Q115" s="20"/>
      <c r="R115" s="20"/>
      <c r="S115" s="20"/>
      <c r="T115" s="20"/>
      <c r="U115" s="20"/>
      <c r="V115" s="20"/>
      <c r="W115" s="20"/>
      <c r="X115" s="20"/>
    </row>
    <row r="116" spans="2:25" ht="30"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20"/>
      <c r="P116" s="20"/>
      <c r="Q116" s="20"/>
      <c r="R116" s="20"/>
      <c r="S116" s="20"/>
      <c r="T116" s="20"/>
      <c r="U116" s="20"/>
      <c r="V116" s="20"/>
      <c r="W116" s="20"/>
      <c r="X116" s="20"/>
    </row>
    <row r="117" spans="2:25" ht="82.8">
      <c r="B117" s="194" t="s">
        <v>813</v>
      </c>
      <c r="C117" s="167" t="s">
        <v>814</v>
      </c>
      <c r="D117" s="194" t="s">
        <v>815</v>
      </c>
      <c r="E117" s="259">
        <f t="shared" ref="E117:F125" si="9">E127*0.0036</f>
        <v>4340804.5115999999</v>
      </c>
      <c r="F117" s="259">
        <f t="shared" si="9"/>
        <v>1215514.5515999999</v>
      </c>
      <c r="G117" s="259">
        <f t="shared" ref="G117:G125" si="10">E117-F117</f>
        <v>3125289.96</v>
      </c>
      <c r="H117" s="226">
        <f t="shared" ref="H117:H125" si="11">H127*0.0036</f>
        <v>4983282.1332</v>
      </c>
      <c r="I117" s="226">
        <f t="shared" ref="I117:I125" si="12">I127*0.0036</f>
        <v>1507622.094</v>
      </c>
      <c r="J117" s="226">
        <f t="shared" ref="J117:J125" si="13">H117-I117</f>
        <v>3475660.0392</v>
      </c>
      <c r="K117" s="226">
        <f t="shared" ref="K117:K125" si="14">K127*0.0036</f>
        <v>4706542.6343999999</v>
      </c>
      <c r="L117" s="226">
        <f t="shared" ref="L117:L125" si="15">L127*0.0036</f>
        <v>1536318.7667999999</v>
      </c>
      <c r="M117" s="226">
        <f t="shared" ref="M117:M125" si="16">K117-L117</f>
        <v>3170223.8676</v>
      </c>
      <c r="N117" s="226">
        <f t="shared" ref="N117:N123" si="17">N127*0.0036</f>
        <v>4862357.9172</v>
      </c>
      <c r="O117" s="20"/>
      <c r="P117" s="20"/>
      <c r="Q117" s="20"/>
      <c r="R117" s="20"/>
      <c r="S117" s="20"/>
      <c r="T117" s="20"/>
      <c r="U117" s="20"/>
      <c r="V117" s="20"/>
      <c r="W117" s="20"/>
      <c r="X117" s="20"/>
    </row>
    <row r="118" spans="2:25" ht="110.4">
      <c r="B118" s="194" t="s">
        <v>816</v>
      </c>
      <c r="C118" s="167" t="s">
        <v>817</v>
      </c>
      <c r="D118" s="194" t="s">
        <v>815</v>
      </c>
      <c r="E118" s="259">
        <f t="shared" si="9"/>
        <v>1771360.9812</v>
      </c>
      <c r="F118" s="259">
        <f t="shared" si="9"/>
        <v>470572.53119999997</v>
      </c>
      <c r="G118" s="259">
        <f t="shared" si="10"/>
        <v>1300788.4500000002</v>
      </c>
      <c r="H118" s="226">
        <f t="shared" si="11"/>
        <v>2060743.8636</v>
      </c>
      <c r="I118" s="226">
        <f t="shared" si="12"/>
        <v>566103.402</v>
      </c>
      <c r="J118" s="226">
        <f t="shared" si="13"/>
        <v>1494640.4616</v>
      </c>
      <c r="K118" s="226">
        <f t="shared" si="14"/>
        <v>1975839.2279999999</v>
      </c>
      <c r="L118" s="226">
        <f t="shared" si="15"/>
        <v>602479.63079999993</v>
      </c>
      <c r="M118" s="226">
        <f t="shared" si="16"/>
        <v>1373359.5972</v>
      </c>
      <c r="N118" s="226">
        <f t="shared" si="17"/>
        <v>2087618.2523999999</v>
      </c>
      <c r="O118" s="20"/>
      <c r="P118" s="20"/>
      <c r="Q118" s="20"/>
      <c r="R118" s="20"/>
      <c r="S118" s="20"/>
      <c r="T118" s="20"/>
      <c r="U118" s="20"/>
      <c r="V118" s="20"/>
      <c r="W118" s="20"/>
      <c r="X118" s="20"/>
    </row>
    <row r="119" spans="2:25" ht="69">
      <c r="B119" s="194" t="s">
        <v>818</v>
      </c>
      <c r="C119" s="167" t="s">
        <v>819</v>
      </c>
      <c r="D119" s="194" t="s">
        <v>815</v>
      </c>
      <c r="E119" s="259">
        <f t="shared" si="9"/>
        <v>2274979.23</v>
      </c>
      <c r="F119" s="259">
        <f t="shared" si="9"/>
        <v>779210.66879999998</v>
      </c>
      <c r="G119" s="259">
        <f t="shared" si="10"/>
        <v>1495768.5611999999</v>
      </c>
      <c r="H119" s="226">
        <f t="shared" si="11"/>
        <v>2554494.534</v>
      </c>
      <c r="I119" s="226">
        <f t="shared" si="12"/>
        <v>941695.53839999996</v>
      </c>
      <c r="J119" s="226">
        <f t="shared" si="13"/>
        <v>1612798.9956</v>
      </c>
      <c r="K119" s="226">
        <f t="shared" si="14"/>
        <v>2416909.4424000001</v>
      </c>
      <c r="L119" s="226">
        <f t="shared" si="15"/>
        <v>967772.29680000001</v>
      </c>
      <c r="M119" s="226">
        <f t="shared" si="16"/>
        <v>1449137.1455999999</v>
      </c>
      <c r="N119" s="226">
        <f t="shared" si="17"/>
        <v>2466585.6444000001</v>
      </c>
      <c r="O119" s="20"/>
      <c r="P119" s="20"/>
      <c r="Q119" s="20"/>
      <c r="R119" s="20"/>
      <c r="S119" s="20"/>
      <c r="T119" s="20"/>
      <c r="U119" s="20"/>
      <c r="V119" s="20"/>
      <c r="W119" s="20"/>
      <c r="X119" s="20"/>
    </row>
    <row r="120" spans="2:25" ht="124.2">
      <c r="B120" s="194" t="s">
        <v>820</v>
      </c>
      <c r="C120" s="167" t="s">
        <v>821</v>
      </c>
      <c r="D120" s="194" t="s">
        <v>815</v>
      </c>
      <c r="E120" s="259">
        <f t="shared" si="9"/>
        <v>3619825.6716</v>
      </c>
      <c r="F120" s="259">
        <f t="shared" si="9"/>
        <v>852168.6</v>
      </c>
      <c r="G120" s="259">
        <f t="shared" si="10"/>
        <v>2767657.0715999999</v>
      </c>
      <c r="H120" s="226">
        <f t="shared" si="11"/>
        <v>4313935.2456</v>
      </c>
      <c r="I120" s="226">
        <f t="shared" si="12"/>
        <v>1050297.138</v>
      </c>
      <c r="J120" s="226">
        <f t="shared" si="13"/>
        <v>3263638.1075999998</v>
      </c>
      <c r="K120" s="226">
        <f t="shared" si="14"/>
        <v>4129525.1088</v>
      </c>
      <c r="L120" s="226">
        <f t="shared" si="15"/>
        <v>1058810.4324</v>
      </c>
      <c r="M120" s="226">
        <f t="shared" si="16"/>
        <v>3070714.6764000002</v>
      </c>
      <c r="N120" s="226">
        <f t="shared" si="17"/>
        <v>4315058.2259999998</v>
      </c>
      <c r="O120" s="20"/>
      <c r="P120" s="20"/>
      <c r="Q120" s="20"/>
      <c r="R120" s="20"/>
      <c r="S120" s="20"/>
      <c r="T120" s="20"/>
      <c r="U120" s="20"/>
      <c r="V120" s="20"/>
      <c r="W120" s="20"/>
      <c r="X120" s="20"/>
    </row>
    <row r="121" spans="2:25" ht="69">
      <c r="B121" s="328" t="s">
        <v>822</v>
      </c>
      <c r="C121" s="167" t="s">
        <v>823</v>
      </c>
      <c r="D121" s="194" t="s">
        <v>815</v>
      </c>
      <c r="E121" s="259">
        <f t="shared" si="9"/>
        <v>2520972.4284000001</v>
      </c>
      <c r="F121" s="259">
        <f t="shared" si="9"/>
        <v>802567.61639999994</v>
      </c>
      <c r="G121" s="259">
        <f t="shared" si="10"/>
        <v>1718404.8120000002</v>
      </c>
      <c r="H121" s="226">
        <f t="shared" si="11"/>
        <v>2891001.9276000001</v>
      </c>
      <c r="I121" s="226">
        <f t="shared" si="12"/>
        <v>998092.39319999993</v>
      </c>
      <c r="J121" s="226">
        <f t="shared" si="13"/>
        <v>1892909.5344000002</v>
      </c>
      <c r="K121" s="226">
        <f t="shared" si="14"/>
        <v>2729961.54</v>
      </c>
      <c r="L121" s="226">
        <f t="shared" si="15"/>
        <v>1008473.2992</v>
      </c>
      <c r="M121" s="226">
        <f t="shared" si="16"/>
        <v>1721488.2408</v>
      </c>
      <c r="N121" s="226">
        <f t="shared" si="17"/>
        <v>2763835.4556</v>
      </c>
      <c r="O121" s="20"/>
      <c r="P121" s="20"/>
      <c r="Q121" s="20"/>
      <c r="R121" s="20"/>
      <c r="S121" s="20"/>
      <c r="T121" s="20"/>
      <c r="U121" s="20"/>
      <c r="V121" s="20"/>
      <c r="W121" s="20"/>
      <c r="X121" s="20"/>
    </row>
    <row r="122" spans="2:25" ht="41.4">
      <c r="B122" s="328" t="s">
        <v>824</v>
      </c>
      <c r="C122" s="167" t="s">
        <v>825</v>
      </c>
      <c r="D122" s="194" t="s">
        <v>815</v>
      </c>
      <c r="E122" s="259">
        <f t="shared" si="9"/>
        <v>952567.53480000002</v>
      </c>
      <c r="F122" s="259">
        <f t="shared" si="9"/>
        <v>24137.351999999999</v>
      </c>
      <c r="G122" s="259">
        <f t="shared" si="10"/>
        <v>928430.18280000007</v>
      </c>
      <c r="H122" s="226">
        <f t="shared" si="11"/>
        <v>1271821.446</v>
      </c>
      <c r="I122" s="226">
        <f t="shared" si="12"/>
        <v>22613.835599999999</v>
      </c>
      <c r="J122" s="226">
        <f t="shared" si="13"/>
        <v>1249207.6103999999</v>
      </c>
      <c r="K122" s="226">
        <f t="shared" si="14"/>
        <v>1271987.3484</v>
      </c>
      <c r="L122" s="226">
        <f t="shared" si="15"/>
        <v>27600.84</v>
      </c>
      <c r="M122" s="226">
        <f t="shared" si="16"/>
        <v>1244386.5083999999</v>
      </c>
      <c r="N122" s="226">
        <f t="shared" si="17"/>
        <v>1430977.05</v>
      </c>
      <c r="O122" s="20"/>
      <c r="P122" s="20"/>
      <c r="Q122" s="20"/>
      <c r="R122" s="20"/>
      <c r="S122" s="20"/>
      <c r="T122" s="20"/>
      <c r="U122" s="20"/>
      <c r="V122" s="20"/>
      <c r="W122" s="20"/>
      <c r="X122" s="20"/>
    </row>
    <row r="123" spans="2:25" ht="55.2">
      <c r="B123" s="329" t="s">
        <v>826</v>
      </c>
      <c r="C123" s="167" t="s">
        <v>827</v>
      </c>
      <c r="D123" s="194" t="s">
        <v>815</v>
      </c>
      <c r="E123" s="259">
        <f t="shared" si="9"/>
        <v>128724.8796</v>
      </c>
      <c r="F123" s="259">
        <f t="shared" si="9"/>
        <v>19250.449199999999</v>
      </c>
      <c r="G123" s="259">
        <f t="shared" si="10"/>
        <v>109474.4304</v>
      </c>
      <c r="H123" s="226">
        <f t="shared" si="11"/>
        <v>114283.75319999999</v>
      </c>
      <c r="I123" s="226">
        <f t="shared" si="12"/>
        <v>14826.406679999998</v>
      </c>
      <c r="J123" s="226">
        <f t="shared" si="13"/>
        <v>99457.346519999992</v>
      </c>
      <c r="K123" s="226">
        <f t="shared" si="14"/>
        <v>112445.03879999999</v>
      </c>
      <c r="L123" s="226">
        <f t="shared" si="15"/>
        <v>21111.778728000001</v>
      </c>
      <c r="M123" s="226">
        <f t="shared" si="16"/>
        <v>91333.26007199999</v>
      </c>
      <c r="N123" s="226">
        <f t="shared" si="17"/>
        <v>120245.72039999999</v>
      </c>
      <c r="O123" s="20"/>
      <c r="P123" s="20"/>
      <c r="Q123" s="20"/>
      <c r="R123" s="20"/>
      <c r="S123" s="20"/>
      <c r="T123" s="20"/>
      <c r="U123" s="20"/>
      <c r="V123" s="20"/>
      <c r="W123" s="20"/>
      <c r="X123" s="20"/>
    </row>
    <row r="124" spans="2:25" ht="27.6">
      <c r="B124" s="329" t="s">
        <v>828</v>
      </c>
      <c r="C124" s="167" t="s">
        <v>829</v>
      </c>
      <c r="D124" s="194" t="s">
        <v>815</v>
      </c>
      <c r="E124" s="259">
        <f t="shared" si="9"/>
        <v>17560.832399999999</v>
      </c>
      <c r="F124" s="259">
        <f t="shared" si="9"/>
        <v>6213.1823999999997</v>
      </c>
      <c r="G124" s="259">
        <f>E124-F124</f>
        <v>11347.65</v>
      </c>
      <c r="H124" s="226">
        <f t="shared" si="11"/>
        <v>36828.118799999997</v>
      </c>
      <c r="I124" s="226">
        <f t="shared" si="12"/>
        <v>14764.5</v>
      </c>
      <c r="J124" s="226">
        <f>H124-I124</f>
        <v>22063.618799999997</v>
      </c>
      <c r="K124" s="226">
        <f t="shared" si="14"/>
        <v>15131.1852</v>
      </c>
      <c r="L124" s="226">
        <f t="shared" si="15"/>
        <v>1624.5108</v>
      </c>
      <c r="M124" s="226">
        <f>K124-L124</f>
        <v>13506.6744</v>
      </c>
      <c r="N124" s="226" t="s">
        <v>830</v>
      </c>
      <c r="O124" s="20"/>
      <c r="P124" s="20"/>
      <c r="Q124" s="20"/>
      <c r="R124" s="20"/>
      <c r="S124" s="20"/>
      <c r="T124" s="20"/>
      <c r="U124" s="20"/>
      <c r="V124" s="20"/>
      <c r="W124" s="20"/>
      <c r="X124" s="20"/>
    </row>
    <row r="125" spans="2:25" ht="41.4">
      <c r="B125" s="227" t="s">
        <v>831</v>
      </c>
      <c r="C125" s="166" t="s">
        <v>832</v>
      </c>
      <c r="D125" s="194" t="s">
        <v>815</v>
      </c>
      <c r="E125" s="259">
        <f t="shared" si="9"/>
        <v>720978.84</v>
      </c>
      <c r="F125" s="259">
        <f t="shared" si="9"/>
        <v>363345.95159999997</v>
      </c>
      <c r="G125" s="259">
        <f t="shared" si="10"/>
        <v>357632.8884</v>
      </c>
      <c r="H125" s="226">
        <f t="shared" si="11"/>
        <v>669346.88760000002</v>
      </c>
      <c r="I125" s="226">
        <f t="shared" si="12"/>
        <v>457324.95600000001</v>
      </c>
      <c r="J125" s="226">
        <f t="shared" si="13"/>
        <v>212021.93160000001</v>
      </c>
      <c r="K125" s="226">
        <f t="shared" si="14"/>
        <v>577017.52559999994</v>
      </c>
      <c r="L125" s="226">
        <f t="shared" si="15"/>
        <v>477508.33439999999</v>
      </c>
      <c r="M125" s="226">
        <f t="shared" si="16"/>
        <v>99509.191199999943</v>
      </c>
      <c r="N125" s="226">
        <f>N135*0.0036</f>
        <v>547299.68759999995</v>
      </c>
      <c r="O125" s="20"/>
      <c r="P125" s="20"/>
      <c r="Q125" s="20"/>
      <c r="R125" s="20"/>
      <c r="S125" s="20"/>
      <c r="T125" s="20"/>
      <c r="U125" s="20"/>
      <c r="V125" s="20"/>
      <c r="W125" s="20"/>
      <c r="X125" s="20"/>
    </row>
    <row r="127" spans="2:25" ht="82.8">
      <c r="B127" s="194" t="s">
        <v>813</v>
      </c>
      <c r="C127" s="167" t="s">
        <v>833</v>
      </c>
      <c r="D127" s="194" t="s">
        <v>576</v>
      </c>
      <c r="E127" s="259">
        <v>1205779031</v>
      </c>
      <c r="F127" s="259">
        <v>337642931</v>
      </c>
      <c r="G127" s="259">
        <f t="shared" ref="G127:G135" si="18">E127-F127</f>
        <v>868136100</v>
      </c>
      <c r="H127" s="226">
        <v>1384245037</v>
      </c>
      <c r="I127" s="226">
        <v>418783915</v>
      </c>
      <c r="J127" s="226">
        <f t="shared" ref="J127:J135" si="19">H127-I127</f>
        <v>965461122</v>
      </c>
      <c r="K127" s="212">
        <v>1307372954</v>
      </c>
      <c r="L127" s="226">
        <v>426755213</v>
      </c>
      <c r="M127" s="226">
        <f t="shared" ref="M127:M135" si="20">K127-L127</f>
        <v>880617741</v>
      </c>
      <c r="N127" s="212">
        <v>1350654977</v>
      </c>
      <c r="O127" s="20"/>
      <c r="P127" s="20"/>
      <c r="Q127" s="20"/>
      <c r="R127" s="20"/>
      <c r="S127" s="20"/>
      <c r="T127" s="20"/>
      <c r="U127" s="20"/>
      <c r="V127" s="20"/>
      <c r="W127" s="20"/>
      <c r="X127" s="20"/>
    </row>
    <row r="128" spans="2:25" ht="110.4">
      <c r="B128" s="194" t="s">
        <v>816</v>
      </c>
      <c r="C128" s="167" t="s">
        <v>834</v>
      </c>
      <c r="D128" s="194" t="s">
        <v>576</v>
      </c>
      <c r="E128" s="259">
        <v>492044717</v>
      </c>
      <c r="F128" s="259">
        <v>130714592</v>
      </c>
      <c r="G128" s="259">
        <f t="shared" si="18"/>
        <v>361330125</v>
      </c>
      <c r="H128" s="226">
        <v>572428851</v>
      </c>
      <c r="I128" s="226">
        <v>157250945</v>
      </c>
      <c r="J128" s="226">
        <f t="shared" si="19"/>
        <v>415177906</v>
      </c>
      <c r="K128" s="212">
        <v>548844230</v>
      </c>
      <c r="L128" s="226">
        <v>167355453</v>
      </c>
      <c r="M128" s="226">
        <f t="shared" si="20"/>
        <v>381488777</v>
      </c>
      <c r="N128" s="212">
        <v>579893959</v>
      </c>
      <c r="O128" s="20"/>
      <c r="P128" s="20"/>
      <c r="Q128" s="20"/>
      <c r="R128" s="20"/>
      <c r="S128" s="20"/>
      <c r="T128" s="20"/>
      <c r="U128" s="20"/>
      <c r="V128" s="20"/>
      <c r="W128" s="20"/>
      <c r="X128" s="20"/>
    </row>
    <row r="129" spans="2:24" ht="69">
      <c r="B129" s="194" t="s">
        <v>818</v>
      </c>
      <c r="C129" s="167" t="s">
        <v>835</v>
      </c>
      <c r="D129" s="194" t="s">
        <v>576</v>
      </c>
      <c r="E129" s="259">
        <v>631938675</v>
      </c>
      <c r="F129" s="259">
        <v>216447408</v>
      </c>
      <c r="G129" s="259">
        <f t="shared" si="18"/>
        <v>415491267</v>
      </c>
      <c r="H129" s="226">
        <v>709581815</v>
      </c>
      <c r="I129" s="226">
        <v>261582094</v>
      </c>
      <c r="J129" s="226">
        <f t="shared" si="19"/>
        <v>447999721</v>
      </c>
      <c r="K129" s="212">
        <v>671363734</v>
      </c>
      <c r="L129" s="226">
        <v>268825638</v>
      </c>
      <c r="M129" s="226">
        <f t="shared" si="20"/>
        <v>402538096</v>
      </c>
      <c r="N129" s="212">
        <v>685162679</v>
      </c>
      <c r="O129" s="20"/>
      <c r="P129" s="20"/>
      <c r="Q129" s="20"/>
      <c r="R129" s="20"/>
      <c r="S129" s="20"/>
      <c r="T129" s="20"/>
      <c r="U129" s="20"/>
      <c r="V129" s="20"/>
      <c r="W129" s="20"/>
      <c r="X129" s="20"/>
    </row>
    <row r="130" spans="2:24" ht="124.2">
      <c r="B130" s="194" t="s">
        <v>820</v>
      </c>
      <c r="C130" s="167" t="s">
        <v>836</v>
      </c>
      <c r="D130" s="194" t="s">
        <v>576</v>
      </c>
      <c r="E130" s="243">
        <v>1005507131</v>
      </c>
      <c r="F130" s="259">
        <v>236713500</v>
      </c>
      <c r="G130" s="259">
        <f t="shared" si="18"/>
        <v>768793631</v>
      </c>
      <c r="H130" s="226">
        <v>1198315346</v>
      </c>
      <c r="I130" s="226">
        <v>291749205</v>
      </c>
      <c r="J130" s="226">
        <f t="shared" si="19"/>
        <v>906566141</v>
      </c>
      <c r="K130" s="212">
        <v>1147090308</v>
      </c>
      <c r="L130" s="226">
        <v>294114009</v>
      </c>
      <c r="M130" s="226">
        <f t="shared" si="20"/>
        <v>852976299</v>
      </c>
      <c r="N130" s="212">
        <v>1198627285</v>
      </c>
      <c r="O130" s="20"/>
      <c r="P130" s="20"/>
      <c r="Q130" s="20"/>
      <c r="R130" s="20"/>
      <c r="S130" s="20"/>
      <c r="T130" s="20"/>
      <c r="U130" s="20"/>
      <c r="V130" s="20"/>
      <c r="W130" s="20"/>
      <c r="X130" s="20"/>
    </row>
    <row r="131" spans="2:24" ht="69">
      <c r="B131" s="328" t="s">
        <v>822</v>
      </c>
      <c r="C131" s="167" t="s">
        <v>823</v>
      </c>
      <c r="D131" s="194" t="s">
        <v>576</v>
      </c>
      <c r="E131" s="259">
        <v>700270119</v>
      </c>
      <c r="F131" s="259">
        <v>222935449</v>
      </c>
      <c r="G131" s="259">
        <f t="shared" si="18"/>
        <v>477334670</v>
      </c>
      <c r="H131" s="226">
        <v>803056091</v>
      </c>
      <c r="I131" s="226">
        <v>277247887</v>
      </c>
      <c r="J131" s="226">
        <f t="shared" si="19"/>
        <v>525808204</v>
      </c>
      <c r="K131" s="212">
        <v>758322650</v>
      </c>
      <c r="L131" s="226">
        <v>280131472</v>
      </c>
      <c r="M131" s="226">
        <f t="shared" si="20"/>
        <v>478191178</v>
      </c>
      <c r="N131" s="212">
        <v>767732071</v>
      </c>
      <c r="O131" s="20"/>
      <c r="P131" s="20"/>
      <c r="Q131" s="20"/>
      <c r="R131" s="20"/>
      <c r="S131" s="20"/>
      <c r="T131" s="20"/>
      <c r="U131" s="20"/>
      <c r="V131" s="20"/>
      <c r="W131" s="20"/>
      <c r="X131" s="20"/>
    </row>
    <row r="132" spans="2:24" ht="41.4">
      <c r="B132" s="328" t="s">
        <v>824</v>
      </c>
      <c r="C132" s="167" t="s">
        <v>837</v>
      </c>
      <c r="D132" s="194" t="s">
        <v>576</v>
      </c>
      <c r="E132" s="259">
        <v>264602093</v>
      </c>
      <c r="F132" s="259">
        <v>6704820</v>
      </c>
      <c r="G132" s="259">
        <f t="shared" si="18"/>
        <v>257897273</v>
      </c>
      <c r="H132" s="226">
        <v>353283735</v>
      </c>
      <c r="I132" s="226">
        <v>6281621</v>
      </c>
      <c r="J132" s="226">
        <f t="shared" si="19"/>
        <v>347002114</v>
      </c>
      <c r="K132" s="212">
        <v>353329819</v>
      </c>
      <c r="L132" s="226">
        <v>7666900</v>
      </c>
      <c r="M132" s="226">
        <f t="shared" si="20"/>
        <v>345662919</v>
      </c>
      <c r="N132" s="212">
        <v>397493625</v>
      </c>
      <c r="O132" s="20"/>
      <c r="P132" s="20"/>
      <c r="Q132" s="20"/>
      <c r="R132" s="20"/>
      <c r="S132" s="20"/>
      <c r="T132" s="20"/>
      <c r="U132" s="20"/>
      <c r="V132" s="20"/>
      <c r="W132" s="20"/>
      <c r="X132" s="20"/>
    </row>
    <row r="133" spans="2:24" ht="55.2">
      <c r="B133" s="329" t="s">
        <v>826</v>
      </c>
      <c r="C133" s="167" t="s">
        <v>838</v>
      </c>
      <c r="D133" s="194" t="s">
        <v>576</v>
      </c>
      <c r="E133" s="259">
        <v>35756911</v>
      </c>
      <c r="F133" s="259">
        <v>5347347</v>
      </c>
      <c r="G133" s="259">
        <f t="shared" si="18"/>
        <v>30409564</v>
      </c>
      <c r="H133" s="226">
        <v>31745487</v>
      </c>
      <c r="I133" s="226">
        <v>4118446.3</v>
      </c>
      <c r="J133" s="226">
        <f t="shared" si="19"/>
        <v>27627040.699999999</v>
      </c>
      <c r="K133" s="212">
        <v>31234733</v>
      </c>
      <c r="L133" s="226">
        <v>5864382.9800000004</v>
      </c>
      <c r="M133" s="226">
        <f t="shared" si="20"/>
        <v>25370350.02</v>
      </c>
      <c r="N133" s="212">
        <v>33401589</v>
      </c>
      <c r="O133" s="20"/>
      <c r="P133" s="20"/>
      <c r="Q133" s="20"/>
      <c r="R133" s="20"/>
      <c r="S133" s="20"/>
      <c r="T133" s="20"/>
      <c r="U133" s="20"/>
      <c r="V133" s="20"/>
      <c r="W133" s="20"/>
      <c r="X133" s="20"/>
    </row>
    <row r="134" spans="2:24" ht="27.6">
      <c r="B134" s="329" t="s">
        <v>828</v>
      </c>
      <c r="C134" s="167" t="s">
        <v>829</v>
      </c>
      <c r="D134" s="194" t="s">
        <v>576</v>
      </c>
      <c r="E134" s="259">
        <v>4878009</v>
      </c>
      <c r="F134" s="259">
        <v>1725884</v>
      </c>
      <c r="G134" s="259">
        <f t="shared" si="18"/>
        <v>3152125</v>
      </c>
      <c r="H134" s="226">
        <v>10230033</v>
      </c>
      <c r="I134" s="226">
        <v>4101250</v>
      </c>
      <c r="J134" s="226">
        <f t="shared" si="19"/>
        <v>6128783</v>
      </c>
      <c r="K134" s="212">
        <v>4203107</v>
      </c>
      <c r="L134" s="226">
        <v>451253</v>
      </c>
      <c r="M134" s="226">
        <f t="shared" si="20"/>
        <v>3751854</v>
      </c>
      <c r="N134" s="330" t="s">
        <v>830</v>
      </c>
      <c r="O134" s="20"/>
      <c r="P134" s="20"/>
      <c r="Q134" s="20"/>
      <c r="R134" s="20"/>
      <c r="S134" s="20"/>
      <c r="T134" s="20"/>
      <c r="U134" s="20"/>
      <c r="V134" s="20"/>
      <c r="W134" s="20"/>
      <c r="X134" s="20"/>
    </row>
    <row r="135" spans="2:24" ht="41.4">
      <c r="B135" s="227" t="s">
        <v>831</v>
      </c>
      <c r="C135" s="167" t="s">
        <v>832</v>
      </c>
      <c r="D135" s="194" t="s">
        <v>576</v>
      </c>
      <c r="E135" s="259">
        <v>200271900</v>
      </c>
      <c r="F135" s="259">
        <v>100929431</v>
      </c>
      <c r="G135" s="259">
        <f t="shared" si="18"/>
        <v>99342469</v>
      </c>
      <c r="H135" s="226">
        <v>185929691</v>
      </c>
      <c r="I135" s="226">
        <v>127034710</v>
      </c>
      <c r="J135" s="226">
        <f t="shared" si="19"/>
        <v>58894981</v>
      </c>
      <c r="K135" s="212">
        <v>160282646</v>
      </c>
      <c r="L135" s="226">
        <v>132641204</v>
      </c>
      <c r="M135" s="226">
        <f t="shared" si="20"/>
        <v>27641442</v>
      </c>
      <c r="N135" s="212">
        <v>152027691</v>
      </c>
      <c r="O135" s="20"/>
      <c r="P135" s="20"/>
      <c r="Q135" s="20"/>
      <c r="R135" s="20"/>
      <c r="S135" s="20"/>
      <c r="T135" s="20"/>
      <c r="U135" s="20"/>
      <c r="V135" s="20"/>
      <c r="W135" s="20"/>
      <c r="X135" s="20"/>
    </row>
    <row r="136" spans="2:24">
      <c r="B136" s="64"/>
      <c r="C136" s="97"/>
      <c r="D136" s="64"/>
      <c r="E136" s="64"/>
      <c r="F136" s="64"/>
      <c r="G136" s="64"/>
      <c r="H136" s="64"/>
      <c r="I136" s="64"/>
      <c r="J136" s="64"/>
      <c r="K136" s="64"/>
      <c r="L136" s="64"/>
      <c r="M136" s="64"/>
      <c r="N136" s="64"/>
    </row>
    <row r="137" spans="2:24" ht="55.2">
      <c r="B137" s="227" t="s">
        <v>578</v>
      </c>
      <c r="C137" s="166" t="s">
        <v>839</v>
      </c>
      <c r="D137" s="194" t="s">
        <v>840</v>
      </c>
      <c r="E137" s="264">
        <f>E135/E128</f>
        <v>0.40701971402326836</v>
      </c>
      <c r="F137" s="264">
        <f>F135/F128</f>
        <v>0.77213591425202166</v>
      </c>
      <c r="G137" s="264">
        <f>G135/G128</f>
        <v>0.27493547348148734</v>
      </c>
      <c r="H137" s="228">
        <v>0.32500000000000001</v>
      </c>
      <c r="I137" s="228">
        <f>I135/I128</f>
        <v>0.80784703710365624</v>
      </c>
      <c r="J137" s="228">
        <f>J135/J128</f>
        <v>0.14185480525064356</v>
      </c>
      <c r="K137" s="228">
        <v>0.29199999999999998</v>
      </c>
      <c r="L137" s="228">
        <f>L135/L128</f>
        <v>0.79257174846881151</v>
      </c>
      <c r="M137" s="228">
        <f>M135/M128</f>
        <v>7.245676325623597E-2</v>
      </c>
      <c r="N137" s="228">
        <v>0.26200000000000001</v>
      </c>
      <c r="O137" s="20"/>
      <c r="P137" s="20"/>
      <c r="Q137" s="20"/>
      <c r="R137" s="20"/>
      <c r="S137" s="20"/>
      <c r="T137" s="20"/>
      <c r="U137" s="20"/>
      <c r="V137" s="20"/>
      <c r="W137" s="20"/>
      <c r="X137" s="20"/>
    </row>
    <row r="139" spans="2:24">
      <c r="B139" s="45"/>
      <c r="C139" s="17"/>
      <c r="D139" s="17"/>
      <c r="E139" s="396"/>
      <c r="F139" s="17"/>
      <c r="G139" s="44"/>
      <c r="H139" s="44"/>
      <c r="I139" s="44"/>
      <c r="J139" s="46"/>
      <c r="K139" s="46"/>
      <c r="L139" s="46"/>
      <c r="M139" s="20"/>
      <c r="N139" s="20"/>
      <c r="O139" s="20"/>
      <c r="P139" s="20"/>
      <c r="Q139" s="20"/>
      <c r="R139" s="20"/>
      <c r="S139" s="20"/>
      <c r="T139" s="20"/>
      <c r="U139" s="20"/>
      <c r="V139" s="20"/>
      <c r="W139" s="20"/>
      <c r="X139" s="20"/>
    </row>
    <row r="140" spans="2:24">
      <c r="B140" s="17"/>
      <c r="C140" s="17"/>
      <c r="D140" s="17"/>
      <c r="E140" s="17"/>
      <c r="F140" s="17"/>
      <c r="G140" s="44"/>
      <c r="H140" s="44"/>
      <c r="I140" s="44"/>
      <c r="J140" s="46"/>
      <c r="K140" s="46"/>
      <c r="L140" s="46"/>
      <c r="M140" s="20"/>
      <c r="N140" s="20"/>
      <c r="O140" s="20"/>
      <c r="P140" s="20"/>
      <c r="Q140" s="20"/>
      <c r="R140" s="20"/>
      <c r="S140" s="20"/>
      <c r="T140" s="20"/>
      <c r="U140" s="20"/>
      <c r="V140" s="20"/>
      <c r="W140" s="20"/>
      <c r="X140" s="20"/>
    </row>
    <row r="141" spans="2:24">
      <c r="B141" s="17"/>
      <c r="C141" s="17"/>
      <c r="D141" s="17"/>
      <c r="E141" s="17"/>
      <c r="F141" s="17"/>
      <c r="G141" s="44"/>
      <c r="H141" s="44"/>
      <c r="I141" s="44"/>
      <c r="J141" s="46"/>
      <c r="K141" s="46"/>
      <c r="L141" s="46"/>
      <c r="M141" s="20"/>
      <c r="N141" s="20"/>
      <c r="O141" s="20"/>
      <c r="P141" s="20"/>
      <c r="Q141" s="20"/>
      <c r="R141" s="20"/>
      <c r="S141" s="20"/>
      <c r="T141" s="20"/>
      <c r="U141" s="20"/>
      <c r="V141" s="20"/>
      <c r="W141" s="20"/>
      <c r="X141" s="20"/>
    </row>
    <row r="142" spans="2:24" ht="19.8">
      <c r="B142" s="249" t="s">
        <v>841</v>
      </c>
      <c r="C142" s="250" t="s">
        <v>842</v>
      </c>
      <c r="D142" s="266" t="s">
        <v>544</v>
      </c>
      <c r="E142" s="251" t="s">
        <v>546</v>
      </c>
      <c r="F142" s="17"/>
      <c r="G142" s="44"/>
      <c r="H142" s="44"/>
      <c r="I142" s="44"/>
    </row>
    <row r="143" spans="2:24">
      <c r="B143" s="194" t="s">
        <v>843</v>
      </c>
      <c r="C143" s="167" t="s">
        <v>844</v>
      </c>
      <c r="D143" s="194" t="s">
        <v>845</v>
      </c>
      <c r="E143" s="265">
        <v>0</v>
      </c>
      <c r="F143" s="17"/>
      <c r="G143" s="44"/>
      <c r="H143" s="44"/>
      <c r="I143" s="44"/>
    </row>
    <row r="144" spans="2:24">
      <c r="F144" s="17"/>
      <c r="G144" s="44"/>
      <c r="H144" s="44"/>
      <c r="I144" s="44"/>
    </row>
  </sheetData>
  <sheetProtection algorithmName="SHA-512" hashValue="ncV2Fzcksu9IE5p/28rilQA0Me1bDybhY2Zc7qI8jse48ve/nCkZzTrvy1Qo/S2VSqStzEwov4GZurhlVkIkcA==" saltValue="823fp15nB04Wx2qE8jfmDQ==" spinCount="100000" sheet="1" objects="1" scenarios="1"/>
  <mergeCells count="20">
    <mergeCell ref="B2:N2"/>
    <mergeCell ref="B8:B9"/>
    <mergeCell ref="C8:C9"/>
    <mergeCell ref="D8:D9"/>
    <mergeCell ref="E115:G115"/>
    <mergeCell ref="H115:J115"/>
    <mergeCell ref="K115:M115"/>
    <mergeCell ref="B4:L4"/>
    <mergeCell ref="E8:G8"/>
    <mergeCell ref="E109:G109"/>
    <mergeCell ref="H109:J109"/>
    <mergeCell ref="K109:M109"/>
    <mergeCell ref="G45:I45"/>
    <mergeCell ref="J45:O45"/>
    <mergeCell ref="G107:I107"/>
    <mergeCell ref="J107:O107"/>
    <mergeCell ref="G6:I6"/>
    <mergeCell ref="H8:J8"/>
    <mergeCell ref="K8:M8"/>
    <mergeCell ref="B106:G106"/>
  </mergeCells>
  <phoneticPr fontId="3" type="noConversion"/>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CF6-BB54-4B91-AFB5-85B41B2094CE}">
  <sheetPr>
    <tabColor theme="6"/>
    <pageSetUpPr fitToPage="1"/>
  </sheetPr>
  <dimension ref="A1:R166"/>
  <sheetViews>
    <sheetView topLeftCell="A121" zoomScale="50" zoomScaleNormal="50" workbookViewId="0"/>
  </sheetViews>
  <sheetFormatPr defaultColWidth="8.88671875" defaultRowHeight="13.5" customHeight="1"/>
  <cols>
    <col min="1" max="1" width="5.109375" style="64" customWidth="1"/>
    <col min="2" max="2" width="110.109375" style="64" customWidth="1"/>
    <col min="3" max="3" width="29.5546875" style="97" customWidth="1"/>
    <col min="4" max="4" width="24.6640625" style="97" customWidth="1"/>
    <col min="5" max="5" width="24.109375" style="64" bestFit="1" customWidth="1"/>
    <col min="6" max="6" width="21" style="64" bestFit="1" customWidth="1"/>
    <col min="7" max="8" width="21.88671875" style="64" bestFit="1" customWidth="1"/>
    <col min="9" max="9" width="21.44140625" style="64" customWidth="1"/>
    <col min="10" max="10" width="22.88671875" style="64" customWidth="1"/>
    <col min="11" max="11" width="20.88671875" style="64" customWidth="1"/>
    <col min="12" max="12" width="23.44140625" style="64" customWidth="1"/>
    <col min="13" max="13" width="15.5546875" style="64" bestFit="1" customWidth="1"/>
    <col min="14" max="16" width="15.109375" style="64" bestFit="1" customWidth="1"/>
    <col min="17" max="17" width="12" style="64" customWidth="1"/>
    <col min="18" max="18" width="8.88671875" style="64" bestFit="1"/>
    <col min="19" max="16384" width="8.88671875" style="64"/>
  </cols>
  <sheetData>
    <row r="1" spans="1:18" ht="13.8"/>
    <row r="2" spans="1:18" ht="54" customHeight="1">
      <c r="A2" s="363"/>
      <c r="B2" s="653" t="s">
        <v>32</v>
      </c>
      <c r="C2" s="653"/>
      <c r="D2" s="653"/>
      <c r="E2" s="653"/>
      <c r="F2" s="653"/>
      <c r="G2" s="653"/>
      <c r="H2" s="653"/>
      <c r="I2" s="653"/>
      <c r="J2" s="653"/>
      <c r="K2" s="653"/>
      <c r="L2" s="653"/>
      <c r="M2" s="653"/>
      <c r="N2" s="653"/>
      <c r="O2" s="8"/>
      <c r="P2" s="106"/>
      <c r="Q2" s="106"/>
      <c r="R2" s="107"/>
    </row>
    <row r="3" spans="1:18" ht="40.65" customHeight="1">
      <c r="B3" s="108"/>
      <c r="C3" s="109"/>
      <c r="D3" s="109"/>
      <c r="E3" s="108"/>
      <c r="F3" s="653"/>
      <c r="G3" s="108"/>
      <c r="H3" s="110"/>
      <c r="I3" s="110"/>
      <c r="J3" s="110"/>
      <c r="K3" s="110"/>
      <c r="L3" s="110"/>
      <c r="M3" s="110"/>
      <c r="N3" s="110"/>
      <c r="O3" s="110"/>
      <c r="P3" s="110"/>
      <c r="Q3" s="110"/>
      <c r="R3" s="107"/>
    </row>
    <row r="4" spans="1:18" ht="82.35" customHeight="1">
      <c r="B4" s="1449" t="s">
        <v>846</v>
      </c>
      <c r="C4" s="1449"/>
      <c r="D4" s="1449"/>
      <c r="E4" s="1449"/>
      <c r="F4" s="1449"/>
      <c r="G4" s="1449"/>
      <c r="H4" s="1449"/>
      <c r="I4" s="1449"/>
      <c r="J4" s="458"/>
      <c r="K4" s="458"/>
      <c r="L4"/>
      <c r="M4" s="107"/>
      <c r="N4" s="362"/>
      <c r="O4" s="107"/>
      <c r="P4" s="119"/>
      <c r="Q4" s="107"/>
      <c r="R4" s="107"/>
    </row>
    <row r="5" spans="1:18" ht="16.2" hidden="1">
      <c r="B5" s="23"/>
      <c r="C5" s="104"/>
      <c r="D5" s="104"/>
      <c r="E5" s="23"/>
      <c r="F5" s="23"/>
      <c r="G5" s="23"/>
      <c r="H5" s="24"/>
      <c r="I5" s="24"/>
      <c r="J5" s="24"/>
      <c r="K5" s="458"/>
      <c r="L5" s="107"/>
      <c r="M5" s="107"/>
      <c r="N5" s="107"/>
      <c r="O5" s="107"/>
      <c r="P5" s="580"/>
      <c r="Q5" s="107"/>
      <c r="R5" s="107"/>
    </row>
    <row r="6" spans="1:18" ht="19.8">
      <c r="B6" s="918" t="s">
        <v>658</v>
      </c>
      <c r="C6" s="919"/>
      <c r="D6" s="919"/>
      <c r="E6" s="920"/>
      <c r="F6" s="920"/>
      <c r="G6" s="920"/>
      <c r="H6" s="1450"/>
      <c r="I6" s="1450"/>
      <c r="J6" s="1450"/>
      <c r="K6" s="458"/>
      <c r="L6" s="107"/>
      <c r="M6" s="107"/>
      <c r="N6" s="107"/>
      <c r="O6" s="107"/>
      <c r="P6" s="580"/>
      <c r="Q6" s="107"/>
      <c r="R6" s="107"/>
    </row>
    <row r="7" spans="1:18" ht="19.8">
      <c r="B7" s="1198"/>
      <c r="C7" s="1199"/>
      <c r="D7" s="1203"/>
      <c r="E7" s="1204"/>
      <c r="F7" s="1200"/>
      <c r="G7" s="1200"/>
      <c r="H7" s="1201"/>
      <c r="I7" s="1201"/>
      <c r="J7" s="1201"/>
      <c r="K7" s="1202"/>
      <c r="L7" s="121"/>
      <c r="M7" s="121"/>
      <c r="N7" s="121"/>
      <c r="O7" s="121"/>
      <c r="P7" s="580"/>
      <c r="Q7" s="121"/>
      <c r="R7" s="121"/>
    </row>
    <row r="8" spans="1:18" ht="39.6" customHeight="1">
      <c r="B8" s="1427" t="s">
        <v>543</v>
      </c>
      <c r="C8" s="1428" t="s">
        <v>544</v>
      </c>
      <c r="D8" s="921" t="s">
        <v>545</v>
      </c>
      <c r="E8" s="926" t="s">
        <v>546</v>
      </c>
      <c r="F8" s="926" t="s">
        <v>547</v>
      </c>
      <c r="G8" s="926" t="s">
        <v>548</v>
      </c>
      <c r="H8" s="926" t="s">
        <v>549</v>
      </c>
      <c r="I8" s="923" t="s">
        <v>847</v>
      </c>
      <c r="J8" s="923" t="s">
        <v>848</v>
      </c>
      <c r="K8" s="458"/>
      <c r="L8" s="107"/>
      <c r="M8" s="107"/>
      <c r="N8" s="107"/>
      <c r="O8" s="580"/>
      <c r="P8" s="107"/>
    </row>
    <row r="9" spans="1:18" ht="13.8">
      <c r="B9" s="1427"/>
      <c r="C9" s="1428"/>
      <c r="D9" s="926" t="s">
        <v>550</v>
      </c>
      <c r="E9" s="926" t="s">
        <v>550</v>
      </c>
      <c r="F9" s="926" t="s">
        <v>550</v>
      </c>
      <c r="G9" s="926" t="s">
        <v>550</v>
      </c>
      <c r="H9" s="926" t="s">
        <v>550</v>
      </c>
      <c r="I9" s="924" t="s">
        <v>550</v>
      </c>
      <c r="J9" s="924" t="s">
        <v>550</v>
      </c>
      <c r="K9" s="107"/>
      <c r="L9" s="107"/>
      <c r="M9" s="107"/>
      <c r="N9" s="107"/>
      <c r="O9" s="580"/>
      <c r="P9" s="107"/>
    </row>
    <row r="10" spans="1:18" ht="18" customHeight="1">
      <c r="B10" s="626" t="s">
        <v>472</v>
      </c>
      <c r="C10" s="823" t="s">
        <v>553</v>
      </c>
      <c r="D10" s="922">
        <v>215429</v>
      </c>
      <c r="E10" s="627">
        <v>215368</v>
      </c>
      <c r="F10" s="627">
        <v>226536</v>
      </c>
      <c r="G10" s="627">
        <v>229356</v>
      </c>
      <c r="H10" s="627">
        <v>228143</v>
      </c>
      <c r="I10" s="1194">
        <f>(D10-E10)/E10</f>
        <v>2.8323613535901341E-4</v>
      </c>
      <c r="J10" s="925">
        <f t="shared" ref="J10:J15" si="0">(D10-H10)/H10</f>
        <v>-5.5728205555287694E-2</v>
      </c>
      <c r="K10" s="107"/>
      <c r="L10" s="107"/>
      <c r="M10" s="107"/>
      <c r="N10" s="107"/>
      <c r="O10" s="119"/>
      <c r="P10" s="107"/>
    </row>
    <row r="11" spans="1:18" ht="18" customHeight="1">
      <c r="B11" s="626" t="s">
        <v>475</v>
      </c>
      <c r="C11" s="823" t="s">
        <v>553</v>
      </c>
      <c r="D11" s="922">
        <v>66974</v>
      </c>
      <c r="E11" s="627">
        <v>129542</v>
      </c>
      <c r="F11" s="627">
        <v>168715</v>
      </c>
      <c r="G11" s="627">
        <v>167529</v>
      </c>
      <c r="H11" s="627">
        <v>177627</v>
      </c>
      <c r="I11" s="1194">
        <f t="shared" ref="I11:I14" si="1">(D11-E11)/E11</f>
        <v>-0.48299393246977812</v>
      </c>
      <c r="J11" s="925">
        <f t="shared" si="0"/>
        <v>-0.62295146571185689</v>
      </c>
      <c r="K11" s="107"/>
      <c r="L11" s="107"/>
      <c r="M11" s="107"/>
      <c r="N11" s="107"/>
      <c r="O11" s="119"/>
      <c r="P11" s="107"/>
    </row>
    <row r="12" spans="1:18" ht="18" customHeight="1">
      <c r="B12" s="626" t="s">
        <v>554</v>
      </c>
      <c r="C12" s="823" t="s">
        <v>553</v>
      </c>
      <c r="D12" s="922">
        <v>196812</v>
      </c>
      <c r="E12" s="627">
        <v>204018</v>
      </c>
      <c r="F12" s="627">
        <v>225058</v>
      </c>
      <c r="G12" s="627">
        <v>207296</v>
      </c>
      <c r="H12" s="627">
        <v>228885</v>
      </c>
      <c r="I12" s="1194">
        <f t="shared" si="1"/>
        <v>-3.5320412904743699E-2</v>
      </c>
      <c r="J12" s="925">
        <f t="shared" si="0"/>
        <v>-0.14012713808244315</v>
      </c>
      <c r="K12" s="107"/>
      <c r="L12" s="107"/>
      <c r="M12" s="107"/>
      <c r="N12" s="107"/>
      <c r="O12" s="119"/>
      <c r="P12" s="107"/>
    </row>
    <row r="13" spans="1:18" ht="18" customHeight="1">
      <c r="B13" s="628" t="s">
        <v>555</v>
      </c>
      <c r="C13" s="824" t="s">
        <v>556</v>
      </c>
      <c r="D13" s="922">
        <v>282403</v>
      </c>
      <c r="E13" s="629">
        <v>344910</v>
      </c>
      <c r="F13" s="629">
        <v>395251</v>
      </c>
      <c r="G13" s="629">
        <v>396885</v>
      </c>
      <c r="H13" s="629">
        <v>405770</v>
      </c>
      <c r="I13" s="1194">
        <f>(D13-E13)/E13</f>
        <v>-0.18122698675016671</v>
      </c>
      <c r="J13" s="925">
        <f t="shared" si="0"/>
        <v>-0.30403184069793232</v>
      </c>
      <c r="K13" s="107"/>
      <c r="L13" s="107"/>
      <c r="M13" s="107"/>
      <c r="N13" s="107"/>
      <c r="O13" s="119"/>
      <c r="P13" s="107"/>
    </row>
    <row r="14" spans="1:18" ht="18" customHeight="1">
      <c r="B14" s="626" t="s">
        <v>557</v>
      </c>
      <c r="C14" s="823" t="s">
        <v>553</v>
      </c>
      <c r="D14" s="922">
        <v>412241</v>
      </c>
      <c r="E14" s="627">
        <v>419386</v>
      </c>
      <c r="F14" s="627">
        <v>451594</v>
      </c>
      <c r="G14" s="627">
        <v>436652</v>
      </c>
      <c r="H14" s="627">
        <v>457027</v>
      </c>
      <c r="I14" s="1194">
        <f t="shared" si="1"/>
        <v>-1.7036810956970429E-2</v>
      </c>
      <c r="J14" s="925">
        <f t="shared" si="0"/>
        <v>-9.7994210407700205E-2</v>
      </c>
      <c r="K14" s="107"/>
      <c r="L14" s="107"/>
      <c r="M14" s="107"/>
      <c r="N14" s="107"/>
      <c r="O14" s="107"/>
      <c r="P14" s="107"/>
    </row>
    <row r="15" spans="1:18" ht="18" customHeight="1">
      <c r="B15" s="628" t="s">
        <v>558</v>
      </c>
      <c r="C15" s="825" t="s">
        <v>559</v>
      </c>
      <c r="D15" s="1070">
        <v>2.62</v>
      </c>
      <c r="E15" s="1071">
        <v>3.19</v>
      </c>
      <c r="F15" s="1071">
        <v>3.61</v>
      </c>
      <c r="G15" s="1071">
        <v>3.74</v>
      </c>
      <c r="H15" s="1071">
        <v>3.59</v>
      </c>
      <c r="I15" s="1194">
        <f>(D15-E15)/E15</f>
        <v>-0.17868338557993727</v>
      </c>
      <c r="J15" s="925">
        <f t="shared" si="0"/>
        <v>-0.27019498607242332</v>
      </c>
      <c r="K15" s="107"/>
      <c r="L15" s="107"/>
      <c r="M15" s="107"/>
      <c r="N15" s="107"/>
      <c r="O15" s="107"/>
      <c r="P15" s="107"/>
    </row>
    <row r="16" spans="1:18" ht="13.8">
      <c r="B16" s="120"/>
      <c r="C16" s="826"/>
      <c r="D16" s="494"/>
      <c r="E16" s="1098"/>
      <c r="F16" s="494"/>
      <c r="G16" s="494"/>
      <c r="H16" s="123"/>
      <c r="I16" s="123"/>
      <c r="J16" s="123"/>
      <c r="K16" s="123"/>
      <c r="L16" s="40"/>
      <c r="M16" s="107"/>
      <c r="N16" s="107"/>
      <c r="O16" s="107"/>
      <c r="P16" s="107"/>
      <c r="Q16" s="107"/>
    </row>
    <row r="17" spans="2:17" ht="41.4" customHeight="1">
      <c r="B17" s="932" t="s">
        <v>671</v>
      </c>
      <c r="C17" s="822" t="s">
        <v>544</v>
      </c>
      <c r="D17" s="921" t="s">
        <v>545</v>
      </c>
      <c r="E17" s="926" t="s">
        <v>546</v>
      </c>
      <c r="F17" s="926" t="s">
        <v>547</v>
      </c>
      <c r="G17" s="926" t="s">
        <v>548</v>
      </c>
      <c r="H17" s="926" t="s">
        <v>549</v>
      </c>
      <c r="I17" s="819" t="s">
        <v>847</v>
      </c>
      <c r="J17" s="819" t="s">
        <v>848</v>
      </c>
      <c r="L17" s="40"/>
      <c r="M17" s="107"/>
      <c r="N17" s="107"/>
      <c r="O17" s="107"/>
      <c r="P17" s="107"/>
      <c r="Q17" s="107"/>
    </row>
    <row r="18" spans="2:17" ht="18.600000000000001">
      <c r="B18" s="625" t="s">
        <v>673</v>
      </c>
      <c r="C18" s="625" t="s">
        <v>849</v>
      </c>
      <c r="D18" s="668">
        <v>2531576</v>
      </c>
      <c r="E18" s="1089">
        <v>2450529</v>
      </c>
      <c r="F18" s="1075">
        <v>2978197</v>
      </c>
      <c r="G18" s="1075">
        <v>2812518</v>
      </c>
      <c r="H18" s="1075">
        <v>3433660</v>
      </c>
      <c r="I18" s="858">
        <f>(D18-E18)/E18</f>
        <v>3.3073267037443753E-2</v>
      </c>
      <c r="J18" s="858">
        <f>(D18-H18)/H18</f>
        <v>-0.26271791615943335</v>
      </c>
      <c r="L18" s="40"/>
      <c r="M18" s="107"/>
      <c r="N18" s="107"/>
      <c r="O18" s="107"/>
      <c r="P18" s="107"/>
      <c r="Q18" s="107"/>
    </row>
    <row r="19" spans="2:17" ht="18.600000000000001">
      <c r="B19" s="625" t="s">
        <v>676</v>
      </c>
      <c r="C19" s="625" t="s">
        <v>849</v>
      </c>
      <c r="D19" s="668">
        <v>170184.80567426901</v>
      </c>
      <c r="E19" s="787">
        <v>177009</v>
      </c>
      <c r="F19" s="687">
        <v>162949</v>
      </c>
      <c r="G19" s="687">
        <v>240810</v>
      </c>
      <c r="H19" s="687">
        <v>365781</v>
      </c>
      <c r="I19" s="858">
        <f t="shared" ref="I19:I32" si="2">(D19-E19)/E19</f>
        <v>-3.8552809889502743E-2</v>
      </c>
      <c r="J19" s="858">
        <f t="shared" ref="J19:J29" si="3">(D19-H19)/H19</f>
        <v>-0.53473579635282042</v>
      </c>
      <c r="L19" s="40"/>
      <c r="M19" s="107"/>
      <c r="N19" s="107"/>
      <c r="O19" s="107"/>
      <c r="P19" s="107"/>
      <c r="Q19" s="107"/>
    </row>
    <row r="20" spans="2:17" ht="18.600000000000001">
      <c r="B20" s="625" t="s">
        <v>678</v>
      </c>
      <c r="C20" s="625" t="s">
        <v>849</v>
      </c>
      <c r="D20" s="668">
        <v>38687.160000000003</v>
      </c>
      <c r="E20" s="687">
        <v>41788.97</v>
      </c>
      <c r="F20" s="687">
        <v>44708.76</v>
      </c>
      <c r="G20" s="687">
        <v>37589.24</v>
      </c>
      <c r="H20" s="687">
        <v>38985.01</v>
      </c>
      <c r="I20" s="858">
        <f t="shared" si="2"/>
        <v>-7.4225567177176127E-2</v>
      </c>
      <c r="J20" s="858">
        <f t="shared" si="3"/>
        <v>-7.6401160343423933E-3</v>
      </c>
      <c r="L20" s="40"/>
      <c r="M20" s="107"/>
      <c r="N20" s="344"/>
      <c r="O20" s="107"/>
      <c r="P20" s="107"/>
      <c r="Q20" s="107"/>
    </row>
    <row r="21" spans="2:17" ht="18.600000000000001">
      <c r="B21" s="625" t="s">
        <v>680</v>
      </c>
      <c r="C21" s="625" t="s">
        <v>849</v>
      </c>
      <c r="D21" s="668">
        <v>81707</v>
      </c>
      <c r="E21" s="1075">
        <v>96589</v>
      </c>
      <c r="F21" s="1075">
        <v>120343</v>
      </c>
      <c r="G21" s="1075">
        <v>94348</v>
      </c>
      <c r="H21" s="1075">
        <v>97424</v>
      </c>
      <c r="I21" s="858">
        <f t="shared" si="2"/>
        <v>-0.15407551584548965</v>
      </c>
      <c r="J21" s="858">
        <f t="shared" si="3"/>
        <v>-0.16132575135490229</v>
      </c>
      <c r="L21" s="40"/>
      <c r="M21" s="1122"/>
      <c r="N21" s="107"/>
      <c r="O21" s="107"/>
      <c r="P21" s="107"/>
      <c r="Q21" s="107"/>
    </row>
    <row r="22" spans="2:17" ht="18.600000000000001">
      <c r="B22" s="625" t="s">
        <v>682</v>
      </c>
      <c r="C22" s="625" t="s">
        <v>849</v>
      </c>
      <c r="D22" s="668">
        <v>3855</v>
      </c>
      <c r="E22" s="1075">
        <v>4003</v>
      </c>
      <c r="F22" s="1075">
        <v>5204</v>
      </c>
      <c r="G22" s="1075">
        <v>4545</v>
      </c>
      <c r="H22" s="1075">
        <v>3428</v>
      </c>
      <c r="I22" s="858">
        <f t="shared" si="2"/>
        <v>-3.6972270796902323E-2</v>
      </c>
      <c r="J22" s="858">
        <f t="shared" si="3"/>
        <v>0.12456242707117852</v>
      </c>
      <c r="L22" s="40"/>
      <c r="M22" s="1122"/>
      <c r="N22" s="107"/>
      <c r="O22" s="107"/>
      <c r="P22" s="107"/>
      <c r="Q22" s="107"/>
    </row>
    <row r="23" spans="2:17" ht="18.600000000000001">
      <c r="B23" s="625" t="s">
        <v>684</v>
      </c>
      <c r="C23" s="625" t="s">
        <v>849</v>
      </c>
      <c r="D23" s="668">
        <v>9235.9</v>
      </c>
      <c r="E23" s="687">
        <v>7670.9333333333307</v>
      </c>
      <c r="F23" s="687">
        <v>1925</v>
      </c>
      <c r="G23" s="687">
        <v>439</v>
      </c>
      <c r="H23" s="687">
        <v>14006</v>
      </c>
      <c r="I23" s="858">
        <f t="shared" si="2"/>
        <v>0.204012549537649</v>
      </c>
      <c r="J23" s="858">
        <f t="shared" si="3"/>
        <v>-0.34057546765671859</v>
      </c>
      <c r="L23" s="40"/>
      <c r="M23" s="1122"/>
      <c r="N23" s="107"/>
      <c r="O23" s="107"/>
      <c r="P23" s="107"/>
      <c r="Q23" s="107"/>
    </row>
    <row r="24" spans="2:17" ht="18.600000000000001">
      <c r="B24" s="625" t="s">
        <v>686</v>
      </c>
      <c r="C24" s="625" t="s">
        <v>849</v>
      </c>
      <c r="D24" s="668">
        <v>28991</v>
      </c>
      <c r="E24" s="687">
        <v>13627</v>
      </c>
      <c r="F24" s="687">
        <v>13517.48</v>
      </c>
      <c r="G24" s="687">
        <v>15718</v>
      </c>
      <c r="H24" s="687">
        <v>25763.02</v>
      </c>
      <c r="I24" s="858">
        <f t="shared" si="2"/>
        <v>1.1274675277023556</v>
      </c>
      <c r="J24" s="858">
        <f t="shared" si="3"/>
        <v>0.12529509350999998</v>
      </c>
      <c r="L24" s="40"/>
      <c r="M24" s="1122"/>
      <c r="N24" s="107"/>
      <c r="O24" s="107"/>
      <c r="P24" s="107"/>
      <c r="Q24" s="107"/>
    </row>
    <row r="25" spans="2:17" ht="18.600000000000001">
      <c r="B25" s="625" t="s">
        <v>688</v>
      </c>
      <c r="C25" s="625" t="s">
        <v>849</v>
      </c>
      <c r="D25" s="668">
        <v>6441</v>
      </c>
      <c r="E25" s="1075">
        <v>6809.662105427099</v>
      </c>
      <c r="F25" s="1075">
        <v>6368</v>
      </c>
      <c r="G25" s="1075">
        <v>5856</v>
      </c>
      <c r="H25" s="1075">
        <v>5094</v>
      </c>
      <c r="I25" s="858">
        <f t="shared" si="2"/>
        <v>-5.4138090806779719E-2</v>
      </c>
      <c r="J25" s="858">
        <f t="shared" si="3"/>
        <v>0.26442873969375735</v>
      </c>
      <c r="L25" s="40"/>
      <c r="M25" s="107"/>
      <c r="N25" s="107"/>
      <c r="O25" s="107"/>
      <c r="P25" s="107"/>
      <c r="Q25" s="107"/>
    </row>
    <row r="26" spans="2:17" ht="18.600000000000001">
      <c r="B26" s="625" t="s">
        <v>690</v>
      </c>
      <c r="C26" s="625" t="s">
        <v>849</v>
      </c>
      <c r="D26" s="668">
        <v>0</v>
      </c>
      <c r="E26" s="1075">
        <v>0</v>
      </c>
      <c r="F26" s="1075">
        <v>0</v>
      </c>
      <c r="G26" s="1075">
        <v>0</v>
      </c>
      <c r="H26" s="1075">
        <v>0</v>
      </c>
      <c r="I26" s="858"/>
      <c r="J26" s="858"/>
      <c r="L26" s="40"/>
      <c r="M26" s="107"/>
      <c r="N26" s="107"/>
      <c r="O26" s="107"/>
      <c r="P26" s="107"/>
      <c r="Q26" s="107"/>
    </row>
    <row r="27" spans="2:17" ht="18.600000000000001">
      <c r="B27" s="625" t="s">
        <v>692</v>
      </c>
      <c r="C27" s="625" t="s">
        <v>849</v>
      </c>
      <c r="D27" s="668">
        <v>11391.464294395439</v>
      </c>
      <c r="E27" s="1075">
        <v>11353</v>
      </c>
      <c r="F27" s="1075">
        <v>10382</v>
      </c>
      <c r="G27" s="1075">
        <v>10974</v>
      </c>
      <c r="H27" s="1075">
        <v>11151</v>
      </c>
      <c r="I27" s="858">
        <f t="shared" si="2"/>
        <v>3.388029102038107E-3</v>
      </c>
      <c r="J27" s="858">
        <f t="shared" si="3"/>
        <v>2.1564370405832537E-2</v>
      </c>
      <c r="L27" s="40"/>
      <c r="M27" s="107"/>
      <c r="N27" s="107"/>
      <c r="O27" s="107"/>
      <c r="P27" s="107"/>
      <c r="Q27" s="107"/>
    </row>
    <row r="28" spans="2:17" ht="18.600000000000001">
      <c r="B28" s="625" t="s">
        <v>694</v>
      </c>
      <c r="C28" s="625" t="s">
        <v>849</v>
      </c>
      <c r="D28" s="668">
        <v>0</v>
      </c>
      <c r="E28" s="1075">
        <v>0</v>
      </c>
      <c r="F28" s="1075">
        <v>0</v>
      </c>
      <c r="G28" s="1075">
        <v>0</v>
      </c>
      <c r="H28" s="1075">
        <v>0</v>
      </c>
      <c r="I28" s="858"/>
      <c r="J28" s="858"/>
      <c r="L28" s="1187"/>
      <c r="M28" s="107"/>
      <c r="N28" s="107"/>
      <c r="O28" s="107"/>
      <c r="P28" s="107"/>
      <c r="Q28" s="107"/>
    </row>
    <row r="29" spans="2:17" ht="18.600000000000001">
      <c r="B29" s="625" t="s">
        <v>696</v>
      </c>
      <c r="C29" s="625" t="s">
        <v>849</v>
      </c>
      <c r="D29" s="668">
        <v>23077.891868038212</v>
      </c>
      <c r="E29" s="1075">
        <v>21003</v>
      </c>
      <c r="F29" s="1075">
        <v>21001</v>
      </c>
      <c r="G29" s="1075">
        <v>23063</v>
      </c>
      <c r="H29" s="1075">
        <v>27334</v>
      </c>
      <c r="I29" s="858">
        <f t="shared" si="2"/>
        <v>9.8790261773947161E-2</v>
      </c>
      <c r="J29" s="858">
        <f t="shared" si="3"/>
        <v>-0.15570747537725133</v>
      </c>
      <c r="L29" s="1187"/>
      <c r="M29" s="107"/>
      <c r="N29" s="107"/>
      <c r="O29" s="107"/>
      <c r="P29" s="107"/>
      <c r="Q29" s="107"/>
    </row>
    <row r="30" spans="2:17" ht="18.600000000000001">
      <c r="B30" s="625" t="s">
        <v>698</v>
      </c>
      <c r="C30" s="625" t="s">
        <v>849</v>
      </c>
      <c r="D30" s="668">
        <v>0</v>
      </c>
      <c r="E30" s="1075">
        <v>0</v>
      </c>
      <c r="F30" s="1075">
        <v>0</v>
      </c>
      <c r="G30" s="1075">
        <v>0</v>
      </c>
      <c r="H30" s="1075">
        <v>0</v>
      </c>
      <c r="I30" s="858"/>
      <c r="J30" s="858"/>
      <c r="L30" s="40"/>
      <c r="M30" s="107"/>
      <c r="N30" s="107"/>
      <c r="O30" s="107"/>
      <c r="P30" s="107"/>
      <c r="Q30" s="107"/>
    </row>
    <row r="31" spans="2:17" ht="18.600000000000001">
      <c r="B31" s="625" t="s">
        <v>700</v>
      </c>
      <c r="C31" s="625" t="s">
        <v>849</v>
      </c>
      <c r="D31" s="668">
        <v>0</v>
      </c>
      <c r="E31" s="1075">
        <v>0</v>
      </c>
      <c r="F31" s="1075">
        <v>0</v>
      </c>
      <c r="G31" s="1075">
        <v>0</v>
      </c>
      <c r="H31" s="1075">
        <v>0</v>
      </c>
      <c r="I31" s="858"/>
      <c r="J31" s="858"/>
      <c r="L31" s="40"/>
      <c r="M31" s="107"/>
      <c r="N31" s="107"/>
      <c r="O31" s="107"/>
      <c r="P31" s="107"/>
      <c r="Q31" s="107"/>
    </row>
    <row r="32" spans="2:17" ht="18.600000000000001">
      <c r="B32" s="625" t="s">
        <v>702</v>
      </c>
      <c r="C32" s="625" t="s">
        <v>849</v>
      </c>
      <c r="D32" s="668">
        <v>121257</v>
      </c>
      <c r="E32" s="1075">
        <v>125196</v>
      </c>
      <c r="F32" s="1075">
        <v>118356</v>
      </c>
      <c r="G32" s="1075">
        <v>119005</v>
      </c>
      <c r="H32" s="1075">
        <v>129337</v>
      </c>
      <c r="I32" s="858">
        <f t="shared" si="2"/>
        <v>-3.1462666538867055E-2</v>
      </c>
      <c r="J32" s="858">
        <f>(D32-H32)/H32</f>
        <v>-6.2472455677802949E-2</v>
      </c>
      <c r="L32" s="40"/>
      <c r="M32" s="107"/>
      <c r="N32" s="107"/>
      <c r="O32" s="107"/>
      <c r="P32" s="107"/>
      <c r="Q32" s="107"/>
    </row>
    <row r="33" spans="2:18" ht="18.600000000000001">
      <c r="B33" s="624" t="s">
        <v>850</v>
      </c>
      <c r="C33" s="827" t="s">
        <v>851</v>
      </c>
      <c r="D33" s="668">
        <f>SUM(D18:D32)</f>
        <v>3026404.2218367024</v>
      </c>
      <c r="E33" s="687">
        <f>SUM(E18:E32)</f>
        <v>2955578.5654387604</v>
      </c>
      <c r="F33" s="687">
        <f>SUM(F18:F32)</f>
        <v>3482951.2399999998</v>
      </c>
      <c r="G33" s="687">
        <f>SUM(G18:G32)</f>
        <v>3364865.24</v>
      </c>
      <c r="H33" s="687">
        <f>SUM(H18:H32)</f>
        <v>4151963.03</v>
      </c>
      <c r="I33" s="859">
        <f>(D33-E33)/E33</f>
        <v>2.3963381392105815E-2</v>
      </c>
      <c r="J33" s="858">
        <f>(D33-H33)/H33</f>
        <v>-0.27109075876412547</v>
      </c>
      <c r="L33" s="40"/>
      <c r="M33" s="107"/>
      <c r="N33" s="107"/>
      <c r="O33" s="107"/>
      <c r="P33" s="107"/>
      <c r="Q33" s="107"/>
    </row>
    <row r="34" spans="2:18" ht="13.8">
      <c r="B34" s="124"/>
      <c r="C34" s="828"/>
      <c r="D34" s="785"/>
      <c r="E34" s="785"/>
      <c r="F34" s="785"/>
      <c r="G34" s="127"/>
      <c r="H34" s="127"/>
      <c r="I34" s="807"/>
      <c r="J34" s="807"/>
      <c r="K34" s="123"/>
      <c r="L34" s="40"/>
      <c r="M34" s="107"/>
      <c r="N34" s="107"/>
      <c r="O34" s="107"/>
      <c r="P34" s="107"/>
      <c r="Q34" s="107"/>
    </row>
    <row r="35" spans="2:18" ht="40.5" customHeight="1">
      <c r="B35" s="932" t="s">
        <v>852</v>
      </c>
      <c r="C35" s="822" t="s">
        <v>544</v>
      </c>
      <c r="D35" s="921" t="s">
        <v>545</v>
      </c>
      <c r="E35" s="927" t="str">
        <f>E17</f>
        <v>2022/23</v>
      </c>
      <c r="F35" s="927" t="str">
        <f>F17</f>
        <v>2021/22</v>
      </c>
      <c r="G35" s="927" t="str">
        <f>G17</f>
        <v>2020/21</v>
      </c>
      <c r="H35" s="927" t="str">
        <f>H17</f>
        <v>2019/20</v>
      </c>
      <c r="I35" s="819" t="s">
        <v>847</v>
      </c>
      <c r="J35" s="819" t="s">
        <v>848</v>
      </c>
      <c r="L35" s="128"/>
      <c r="M35" s="128"/>
      <c r="N35" s="107"/>
      <c r="O35" s="107"/>
      <c r="P35" s="107"/>
      <c r="Q35" s="107"/>
    </row>
    <row r="36" spans="2:18" ht="15">
      <c r="B36" s="608" t="str">
        <f>B10</f>
        <v>Total Scope 1 GHG emissions</v>
      </c>
      <c r="C36" s="829" t="s">
        <v>675</v>
      </c>
      <c r="D36" s="1223">
        <f>D10</f>
        <v>215429</v>
      </c>
      <c r="E36" s="820">
        <f>E10</f>
        <v>215368</v>
      </c>
      <c r="F36" s="820">
        <f t="shared" ref="E36:H37" si="4">F10</f>
        <v>226536</v>
      </c>
      <c r="G36" s="820">
        <f t="shared" si="4"/>
        <v>229356</v>
      </c>
      <c r="H36" s="820">
        <f t="shared" si="4"/>
        <v>228143</v>
      </c>
      <c r="I36" s="814">
        <f>(D36-E36)/E36</f>
        <v>2.8323613535901341E-4</v>
      </c>
      <c r="J36" s="814">
        <f t="shared" ref="J36:J42" si="5">(D36-H36)/H36</f>
        <v>-5.5728205555287694E-2</v>
      </c>
      <c r="M36" s="1123"/>
      <c r="N36" s="107"/>
      <c r="O36" s="107"/>
      <c r="P36" s="107"/>
      <c r="Q36" s="107"/>
    </row>
    <row r="37" spans="2:18" ht="15">
      <c r="B37" s="608" t="str">
        <f>B11</f>
        <v>Total Scope 2 GHG emissions (market-based)</v>
      </c>
      <c r="C37" s="829" t="s">
        <v>675</v>
      </c>
      <c r="D37" s="1223">
        <f>D11</f>
        <v>66974</v>
      </c>
      <c r="E37" s="820">
        <f t="shared" si="4"/>
        <v>129542</v>
      </c>
      <c r="F37" s="820">
        <f t="shared" si="4"/>
        <v>168715</v>
      </c>
      <c r="G37" s="820">
        <f t="shared" si="4"/>
        <v>167529</v>
      </c>
      <c r="H37" s="820">
        <f t="shared" si="4"/>
        <v>177627</v>
      </c>
      <c r="I37" s="814">
        <f t="shared" ref="I37:I40" si="6">(D37-E37)/E37</f>
        <v>-0.48299393246977812</v>
      </c>
      <c r="J37" s="814">
        <f t="shared" si="5"/>
        <v>-0.62295146571185689</v>
      </c>
      <c r="M37" s="1123"/>
      <c r="N37" s="107"/>
      <c r="O37" s="107"/>
      <c r="P37" s="107"/>
      <c r="Q37" s="107"/>
    </row>
    <row r="38" spans="2:18" ht="15">
      <c r="B38" s="608" t="str">
        <f>"Scope 3 - "&amp;B18</f>
        <v>Scope 3 - Total Scope 3 (Category 1) Purchased goods and services GHG emissions</v>
      </c>
      <c r="C38" s="829" t="s">
        <v>675</v>
      </c>
      <c r="D38" s="1223">
        <f>D18</f>
        <v>2531576</v>
      </c>
      <c r="E38" s="820">
        <f>E18</f>
        <v>2450529</v>
      </c>
      <c r="F38" s="820">
        <f>F18</f>
        <v>2978197</v>
      </c>
      <c r="G38" s="820">
        <f>G18</f>
        <v>2812518</v>
      </c>
      <c r="H38" s="820">
        <f>H18</f>
        <v>3433660</v>
      </c>
      <c r="I38" s="814">
        <f t="shared" si="6"/>
        <v>3.3073267037443753E-2</v>
      </c>
      <c r="J38" s="814">
        <f t="shared" si="5"/>
        <v>-0.26271791615943335</v>
      </c>
      <c r="M38" s="1123"/>
      <c r="N38" s="107"/>
      <c r="O38" s="107"/>
      <c r="P38" s="107"/>
      <c r="Q38" s="107"/>
    </row>
    <row r="39" spans="2:18" ht="15">
      <c r="B39" s="608" t="str">
        <f>"Scope 3 - All other categories"</f>
        <v>Scope 3 - All other categories</v>
      </c>
      <c r="C39" s="829" t="s">
        <v>675</v>
      </c>
      <c r="D39" s="1223">
        <f>D33-D18</f>
        <v>494828.22183670243</v>
      </c>
      <c r="E39" s="820">
        <f>E33-E18</f>
        <v>505049.56543876044</v>
      </c>
      <c r="F39" s="820">
        <f>F33-F18</f>
        <v>504754.23999999976</v>
      </c>
      <c r="G39" s="820">
        <f>G33-G18</f>
        <v>552347.24000000022</v>
      </c>
      <c r="H39" s="820">
        <f>H33-H18</f>
        <v>718303.0299999998</v>
      </c>
      <c r="I39" s="814">
        <f t="shared" si="6"/>
        <v>-2.0238297984036969E-2</v>
      </c>
      <c r="J39" s="814">
        <f t="shared" si="5"/>
        <v>-0.31111494568427123</v>
      </c>
      <c r="M39" s="1123"/>
      <c r="N39" s="107"/>
      <c r="O39" s="107"/>
      <c r="P39" s="107"/>
      <c r="Q39" s="107"/>
    </row>
    <row r="40" spans="2:18" ht="18.600000000000001">
      <c r="B40" s="600" t="s">
        <v>853</v>
      </c>
      <c r="C40" s="827" t="s">
        <v>851</v>
      </c>
      <c r="D40" s="668">
        <f>SUM(D36:D39)</f>
        <v>3308807.2218367024</v>
      </c>
      <c r="E40" s="687">
        <f>SUM(E36:E39)</f>
        <v>3300488.5654387604</v>
      </c>
      <c r="F40" s="687">
        <f t="shared" ref="F40:H40" si="7">SUM(F36:F39)</f>
        <v>3878202.2399999998</v>
      </c>
      <c r="G40" s="687">
        <f t="shared" si="7"/>
        <v>3761750.24</v>
      </c>
      <c r="H40" s="687">
        <f t="shared" si="7"/>
        <v>4557733.0299999993</v>
      </c>
      <c r="I40" s="858">
        <f t="shared" si="6"/>
        <v>2.5204318188074442E-3</v>
      </c>
      <c r="J40" s="858">
        <f t="shared" si="5"/>
        <v>-0.27402346735594058</v>
      </c>
      <c r="L40" s="1123"/>
      <c r="M40" s="387"/>
      <c r="N40" s="107"/>
      <c r="O40" s="107"/>
      <c r="P40" s="107"/>
      <c r="Q40" s="107"/>
    </row>
    <row r="41" spans="2:18" ht="34.799999999999997">
      <c r="B41" s="613" t="s">
        <v>854</v>
      </c>
      <c r="C41" s="823" t="s">
        <v>855</v>
      </c>
      <c r="D41" s="672">
        <f>D40/D153</f>
        <v>30.66549788541893</v>
      </c>
      <c r="E41" s="821">
        <f>E40/E153</f>
        <v>30.524370657237846</v>
      </c>
      <c r="F41" s="821">
        <f>F40/F153</f>
        <v>35.405647902915973</v>
      </c>
      <c r="G41" s="821">
        <f>G40/G153</f>
        <v>35.413594570287017</v>
      </c>
      <c r="H41" s="821">
        <f>H40/H153</f>
        <v>40.279563847096206</v>
      </c>
      <c r="I41" s="858">
        <f>(D41-E41)/E41</f>
        <v>4.6234279410972932E-3</v>
      </c>
      <c r="J41" s="858">
        <f t="shared" si="5"/>
        <v>-0.23868346733278653</v>
      </c>
      <c r="K41" s="128"/>
      <c r="L41" s="107"/>
      <c r="M41" s="107"/>
      <c r="N41" s="107"/>
      <c r="O41" s="107"/>
      <c r="P41" s="107"/>
      <c r="Q41" s="107"/>
    </row>
    <row r="42" spans="2:18" ht="34.799999999999997">
      <c r="B42" s="613" t="s">
        <v>856</v>
      </c>
      <c r="C42" s="823" t="s">
        <v>857</v>
      </c>
      <c r="D42" s="672">
        <f>D40/D154</f>
        <v>257.63507138804817</v>
      </c>
      <c r="E42" s="821">
        <f>E40/E154</f>
        <v>221.01979277029133</v>
      </c>
      <c r="F42" s="821">
        <f>F40/F154</f>
        <v>242.00950015600623</v>
      </c>
      <c r="G42" s="821">
        <f>G40/G154</f>
        <v>243.71559701976031</v>
      </c>
      <c r="H42" s="821">
        <f>H40/H154</f>
        <v>312.66605131371335</v>
      </c>
      <c r="I42" s="858">
        <f>(D42-E42)/E42</f>
        <v>0.16566515676635155</v>
      </c>
      <c r="J42" s="858">
        <f t="shared" si="5"/>
        <v>-0.17600561267986803</v>
      </c>
      <c r="K42" s="128"/>
      <c r="L42" s="107"/>
      <c r="M42" s="107"/>
      <c r="N42" s="107"/>
      <c r="O42" s="107"/>
      <c r="P42" s="107"/>
      <c r="Q42" s="107"/>
    </row>
    <row r="43" spans="2:18" ht="16.2">
      <c r="B43" s="1067"/>
      <c r="C43" s="1224"/>
      <c r="D43" s="1225"/>
      <c r="E43" s="1226"/>
      <c r="F43" s="1068"/>
      <c r="G43" s="1068"/>
      <c r="H43" s="1068"/>
      <c r="I43" s="1069"/>
      <c r="J43" s="1069"/>
      <c r="K43" s="128"/>
      <c r="L43" s="107"/>
      <c r="M43" s="107"/>
      <c r="N43" s="107"/>
      <c r="O43" s="107"/>
      <c r="P43" s="107"/>
      <c r="Q43" s="107"/>
    </row>
    <row r="44" spans="2:18" ht="39" customHeight="1">
      <c r="B44" s="932" t="s">
        <v>858</v>
      </c>
      <c r="C44" s="822" t="s">
        <v>544</v>
      </c>
      <c r="D44" s="921" t="s">
        <v>545</v>
      </c>
      <c r="E44" s="927" t="s">
        <v>546</v>
      </c>
      <c r="F44" s="927" t="s">
        <v>547</v>
      </c>
      <c r="G44" s="927" t="s">
        <v>859</v>
      </c>
      <c r="H44" s="926" t="s">
        <v>549</v>
      </c>
      <c r="I44" s="819" t="s">
        <v>847</v>
      </c>
      <c r="J44" s="819" t="s">
        <v>848</v>
      </c>
      <c r="K44" s="128"/>
      <c r="L44" s="107"/>
      <c r="M44" s="107"/>
      <c r="N44" s="107"/>
      <c r="O44" s="107"/>
      <c r="P44" s="107"/>
      <c r="Q44" s="107"/>
    </row>
    <row r="45" spans="2:18" ht="18.600000000000001">
      <c r="B45" s="600" t="s">
        <v>860</v>
      </c>
      <c r="C45" s="827" t="s">
        <v>851</v>
      </c>
      <c r="D45" s="668">
        <v>1110057</v>
      </c>
      <c r="E45" s="687">
        <v>841721</v>
      </c>
      <c r="F45" s="687">
        <v>475995</v>
      </c>
      <c r="G45" s="687">
        <v>223946</v>
      </c>
      <c r="H45" s="1076"/>
      <c r="I45" s="858">
        <f>(D45-E45)/E45</f>
        <v>0.31879446990154697</v>
      </c>
      <c r="J45" s="858">
        <f>(D45-G45)/G45</f>
        <v>3.9568065515793984</v>
      </c>
      <c r="K45" s="128"/>
      <c r="L45" s="107"/>
      <c r="M45" s="107"/>
      <c r="N45" s="107"/>
      <c r="O45" s="107"/>
      <c r="P45" s="107"/>
      <c r="Q45" s="107"/>
    </row>
    <row r="46" spans="2:18" ht="13.8">
      <c r="C46" s="67"/>
      <c r="D46" s="64"/>
      <c r="J46" s="127"/>
      <c r="K46" s="128"/>
      <c r="L46" s="128"/>
      <c r="M46" s="107"/>
      <c r="N46" s="107"/>
      <c r="O46" s="107"/>
      <c r="P46" s="107"/>
      <c r="Q46" s="107"/>
      <c r="R46" s="107"/>
    </row>
    <row r="47" spans="2:18" ht="19.8">
      <c r="B47" s="930" t="s">
        <v>805</v>
      </c>
      <c r="C47" s="919"/>
      <c r="D47" s="920"/>
      <c r="E47" s="920"/>
      <c r="F47" s="920"/>
      <c r="G47" s="920"/>
      <c r="H47" s="931"/>
      <c r="I47" s="931"/>
      <c r="J47" s="931"/>
      <c r="K47" s="128"/>
      <c r="L47" s="128"/>
      <c r="M47" s="107"/>
      <c r="N47" s="107"/>
      <c r="O47" s="107"/>
    </row>
    <row r="48" spans="2:18" ht="13.8">
      <c r="B48" s="126"/>
      <c r="C48" s="830"/>
      <c r="D48" s="126"/>
      <c r="E48" s="126"/>
      <c r="F48" s="126"/>
      <c r="G48" s="126"/>
      <c r="H48" s="127"/>
      <c r="I48" s="127"/>
      <c r="J48" s="127"/>
      <c r="K48" s="128"/>
      <c r="L48" s="128"/>
      <c r="M48" s="107"/>
      <c r="N48" s="107"/>
      <c r="O48" s="107"/>
      <c r="P48" s="107"/>
      <c r="Q48" s="107"/>
      <c r="R48" s="107"/>
    </row>
    <row r="49" spans="2:16" ht="42" customHeight="1">
      <c r="B49" s="1420" t="s">
        <v>560</v>
      </c>
      <c r="C49" s="1422" t="s">
        <v>544</v>
      </c>
      <c r="D49" s="921" t="s">
        <v>545</v>
      </c>
      <c r="E49" s="926" t="s">
        <v>546</v>
      </c>
      <c r="F49" s="926" t="s">
        <v>547</v>
      </c>
      <c r="G49" s="926" t="s">
        <v>548</v>
      </c>
      <c r="H49" s="926" t="s">
        <v>549</v>
      </c>
      <c r="I49" s="819" t="str">
        <f>I101</f>
        <v>Performance against prior year</v>
      </c>
      <c r="J49" s="808"/>
      <c r="L49" s="128"/>
      <c r="M49" s="107"/>
      <c r="N49" s="107"/>
      <c r="O49" s="107"/>
      <c r="P49" s="107"/>
    </row>
    <row r="50" spans="2:16" ht="13.8">
      <c r="B50" s="1420"/>
      <c r="C50" s="1422"/>
      <c r="D50" s="926" t="s">
        <v>550</v>
      </c>
      <c r="E50" s="926" t="s">
        <v>550</v>
      </c>
      <c r="F50" s="926" t="s">
        <v>550</v>
      </c>
      <c r="G50" s="926" t="s">
        <v>550</v>
      </c>
      <c r="H50" s="926" t="s">
        <v>550</v>
      </c>
      <c r="I50" s="926" t="s">
        <v>550</v>
      </c>
      <c r="J50" s="808"/>
      <c r="M50" s="107"/>
      <c r="N50" s="107"/>
      <c r="O50" s="119"/>
      <c r="P50" s="107"/>
    </row>
    <row r="51" spans="2:16" ht="16.2">
      <c r="B51" s="619" t="s">
        <v>561</v>
      </c>
      <c r="C51" s="832" t="s">
        <v>562</v>
      </c>
      <c r="D51" s="673">
        <v>1211683</v>
      </c>
      <c r="E51" s="620">
        <v>1208836</v>
      </c>
      <c r="F51" s="620">
        <v>1275821</v>
      </c>
      <c r="G51" s="620">
        <v>1204571</v>
      </c>
      <c r="H51" s="620">
        <v>1236160</v>
      </c>
      <c r="I51" s="859">
        <f>(D51-E51)/E51</f>
        <v>2.3551581852294273E-3</v>
      </c>
      <c r="J51" s="808"/>
      <c r="M51" s="107"/>
      <c r="N51" s="107"/>
      <c r="O51" s="119"/>
      <c r="P51" s="107"/>
    </row>
    <row r="52" spans="2:16" ht="16.2">
      <c r="B52" s="619" t="s">
        <v>563</v>
      </c>
      <c r="C52" s="833" t="s">
        <v>564</v>
      </c>
      <c r="D52" s="674">
        <v>11.23</v>
      </c>
      <c r="E52" s="621">
        <v>11.18</v>
      </c>
      <c r="F52" s="621">
        <v>11.65</v>
      </c>
      <c r="G52" s="621">
        <v>11.34</v>
      </c>
      <c r="H52" s="621">
        <v>10.92</v>
      </c>
      <c r="I52" s="859">
        <f>(D52-E52)/E52</f>
        <v>4.4722719141324432E-3</v>
      </c>
      <c r="J52" s="808"/>
      <c r="M52" s="107"/>
      <c r="N52" s="107"/>
      <c r="O52" s="119"/>
      <c r="P52" s="107"/>
    </row>
    <row r="53" spans="2:16" ht="16.2">
      <c r="B53" s="622" t="s">
        <v>578</v>
      </c>
      <c r="C53" s="622" t="s">
        <v>840</v>
      </c>
      <c r="D53" s="781">
        <v>0.56559999999999999</v>
      </c>
      <c r="E53" s="1156">
        <v>0.41170000000000001</v>
      </c>
      <c r="F53" s="1156">
        <v>0.32319999999999999</v>
      </c>
      <c r="G53" s="1156">
        <v>0.2898</v>
      </c>
      <c r="H53" s="1156">
        <v>0.25879999999999997</v>
      </c>
      <c r="I53" s="859">
        <f>(D53-E53)/E53</f>
        <v>0.37381588535341265</v>
      </c>
      <c r="J53" s="809"/>
      <c r="K53" s="107"/>
      <c r="N53" s="107"/>
    </row>
    <row r="54" spans="2:16" ht="16.2">
      <c r="B54" s="622" t="s">
        <v>861</v>
      </c>
      <c r="C54" s="622" t="s">
        <v>840</v>
      </c>
      <c r="D54" s="781">
        <v>0.2273</v>
      </c>
      <c r="E54" s="1156">
        <v>0.16439999999999999</v>
      </c>
      <c r="F54" s="1156">
        <v>0.127</v>
      </c>
      <c r="G54" s="1156">
        <v>0.1147</v>
      </c>
      <c r="H54" s="1156">
        <v>0.1046</v>
      </c>
      <c r="I54" s="859">
        <f>(D54-E54)/E54</f>
        <v>0.38260340632603418</v>
      </c>
      <c r="J54" s="809"/>
      <c r="K54" s="107"/>
      <c r="N54" s="107"/>
    </row>
    <row r="55" spans="2:16" ht="13.8">
      <c r="B55" s="152"/>
      <c r="C55" s="830"/>
      <c r="D55" s="1083"/>
      <c r="E55" s="810"/>
      <c r="F55" s="810"/>
      <c r="G55" s="127"/>
      <c r="H55" s="128"/>
      <c r="I55" s="808"/>
      <c r="J55" s="808"/>
      <c r="K55" s="107"/>
      <c r="N55" s="107"/>
      <c r="O55" s="107"/>
      <c r="P55" s="119"/>
    </row>
    <row r="56" spans="2:16" ht="45.6" customHeight="1">
      <c r="B56" s="667" t="s">
        <v>862</v>
      </c>
      <c r="C56" s="831" t="s">
        <v>544</v>
      </c>
      <c r="D56" s="921" t="s">
        <v>545</v>
      </c>
      <c r="E56" s="926" t="s">
        <v>546</v>
      </c>
      <c r="F56" s="926" t="s">
        <v>547</v>
      </c>
      <c r="G56" s="926" t="s">
        <v>548</v>
      </c>
      <c r="H56" s="926" t="s">
        <v>549</v>
      </c>
      <c r="I56" s="819" t="s">
        <v>847</v>
      </c>
      <c r="J56" s="819" t="s">
        <v>848</v>
      </c>
      <c r="L56" s="107"/>
      <c r="M56" s="107"/>
      <c r="N56" s="107"/>
      <c r="O56" s="119"/>
    </row>
    <row r="57" spans="2:16" ht="21.6" hidden="1" customHeight="1">
      <c r="B57" s="615" t="s">
        <v>813</v>
      </c>
      <c r="C57" s="618" t="s">
        <v>815</v>
      </c>
      <c r="D57" s="811"/>
      <c r="E57" s="812">
        <f t="shared" ref="E57:H65" si="8">E67*0.0036</f>
        <v>4268204.0532</v>
      </c>
      <c r="F57" s="812">
        <f t="shared" ref="F57:H63" si="9">F67*0.0036</f>
        <v>4470500.8043999998</v>
      </c>
      <c r="G57" s="813">
        <f t="shared" si="9"/>
        <v>4206015.5760000004</v>
      </c>
      <c r="H57" s="813">
        <f t="shared" si="9"/>
        <v>4327636.1075999998</v>
      </c>
      <c r="I57" s="814">
        <f t="shared" ref="I57:I61" si="10">(E57-F57)/F57</f>
        <v>-4.5251474063239927E-2</v>
      </c>
      <c r="J57" s="814">
        <f t="shared" ref="J57:J61" si="11">(E57-H57)/H57</f>
        <v>-1.3733145052475158E-2</v>
      </c>
      <c r="L57" s="107"/>
      <c r="M57" s="107"/>
      <c r="N57" s="107"/>
      <c r="O57" s="119"/>
    </row>
    <row r="58" spans="2:16" ht="21.6" hidden="1" customHeight="1">
      <c r="B58" s="615" t="s">
        <v>816</v>
      </c>
      <c r="C58" s="618" t="s">
        <v>815</v>
      </c>
      <c r="D58" s="811"/>
      <c r="E58" s="812">
        <f t="shared" si="8"/>
        <v>1737686.16432</v>
      </c>
      <c r="F58" s="812">
        <f t="shared" si="9"/>
        <v>1804844.6841599999</v>
      </c>
      <c r="G58" s="813">
        <f t="shared" si="9"/>
        <v>1715910.9098399999</v>
      </c>
      <c r="H58" s="813">
        <f t="shared" si="9"/>
        <v>1799309.0692799999</v>
      </c>
      <c r="I58" s="814">
        <f t="shared" si="10"/>
        <v>-3.7210138040912083E-2</v>
      </c>
      <c r="J58" s="814">
        <f t="shared" si="11"/>
        <v>-3.4248093344329433E-2</v>
      </c>
      <c r="L58" s="107"/>
      <c r="M58" s="107"/>
      <c r="N58" s="107"/>
      <c r="O58" s="119"/>
    </row>
    <row r="59" spans="2:16" ht="21.6" hidden="1" customHeight="1">
      <c r="B59" s="615" t="s">
        <v>818</v>
      </c>
      <c r="C59" s="618" t="s">
        <v>815</v>
      </c>
      <c r="D59" s="811"/>
      <c r="E59" s="812">
        <f t="shared" si="8"/>
        <v>2331397.57284</v>
      </c>
      <c r="F59" s="812">
        <f t="shared" si="9"/>
        <v>2452786.6607999997</v>
      </c>
      <c r="G59" s="813">
        <f t="shared" si="9"/>
        <v>2322854.5845599999</v>
      </c>
      <c r="H59" s="813">
        <f t="shared" si="9"/>
        <v>2351263.0111199999</v>
      </c>
      <c r="I59" s="814">
        <f t="shared" si="10"/>
        <v>-4.9490275652594867E-2</v>
      </c>
      <c r="J59" s="814">
        <f t="shared" si="11"/>
        <v>-8.4488371509477325E-3</v>
      </c>
      <c r="L59" s="107"/>
      <c r="M59" s="107"/>
      <c r="N59" s="107"/>
      <c r="O59" s="119"/>
    </row>
    <row r="60" spans="2:16" ht="21.6" hidden="1" customHeight="1">
      <c r="B60" s="615" t="s">
        <v>820</v>
      </c>
      <c r="C60" s="618" t="s">
        <v>815</v>
      </c>
      <c r="D60" s="811"/>
      <c r="E60" s="812">
        <f>986948044*0.0036</f>
        <v>3553012.9583999999</v>
      </c>
      <c r="F60" s="812">
        <f t="shared" si="9"/>
        <v>4009546.7171999998</v>
      </c>
      <c r="G60" s="813">
        <f t="shared" si="9"/>
        <v>3839163.5519999997</v>
      </c>
      <c r="H60" s="813">
        <f t="shared" si="9"/>
        <v>3984474.0995999998</v>
      </c>
      <c r="I60" s="814">
        <f t="shared" si="10"/>
        <v>-0.11386168836531545</v>
      </c>
      <c r="J60" s="814">
        <f t="shared" si="11"/>
        <v>-0.10828559313343615</v>
      </c>
      <c r="L60" s="107"/>
      <c r="M60" s="107"/>
      <c r="N60" s="107"/>
      <c r="O60" s="119"/>
    </row>
    <row r="61" spans="2:16" ht="21.6" hidden="1" customHeight="1">
      <c r="B61" s="616" t="s">
        <v>822</v>
      </c>
      <c r="C61" s="618" t="s">
        <v>815</v>
      </c>
      <c r="D61" s="811"/>
      <c r="E61" s="812">
        <f>E71*0.0036</f>
        <v>2574307.0962</v>
      </c>
      <c r="F61" s="812">
        <f t="shared" si="9"/>
        <v>2754405.1796399998</v>
      </c>
      <c r="G61" s="813">
        <f t="shared" si="9"/>
        <v>2618211.2378400001</v>
      </c>
      <c r="H61" s="813">
        <f t="shared" si="9"/>
        <v>2630156.8273200002</v>
      </c>
      <c r="I61" s="814">
        <f t="shared" si="10"/>
        <v>-6.5385472250505464E-2</v>
      </c>
      <c r="J61" s="814">
        <f t="shared" si="11"/>
        <v>-2.1234373000072488E-2</v>
      </c>
      <c r="L61" s="107"/>
      <c r="M61" s="107"/>
      <c r="N61" s="107"/>
      <c r="O61" s="119"/>
    </row>
    <row r="62" spans="2:16" ht="21.6" hidden="1" customHeight="1">
      <c r="B62" s="616" t="s">
        <v>824</v>
      </c>
      <c r="C62" s="618" t="s">
        <v>815</v>
      </c>
      <c r="D62" s="811"/>
      <c r="E62" s="812">
        <f>E72*0.0036</f>
        <v>925119.04031999991</v>
      </c>
      <c r="F62" s="812">
        <f t="shared" si="9"/>
        <v>1114836.9109199999</v>
      </c>
      <c r="G62" s="813">
        <f t="shared" si="9"/>
        <v>1103842.4320799999</v>
      </c>
      <c r="H62" s="813">
        <f t="shared" si="9"/>
        <v>1237988.2334399999</v>
      </c>
      <c r="I62" s="814">
        <f t="shared" ref="I62:I65" si="12">(E62-F62)/F62</f>
        <v>-0.17017544785401717</v>
      </c>
      <c r="J62" s="814">
        <f t="shared" ref="J62:J65" si="13">(E62-H62)/H62</f>
        <v>-0.25272388272272173</v>
      </c>
      <c r="L62" s="107"/>
      <c r="M62" s="107"/>
      <c r="N62" s="107"/>
      <c r="O62" s="119"/>
    </row>
    <row r="63" spans="2:16" ht="21.6" hidden="1" customHeight="1">
      <c r="B63" s="617" t="s">
        <v>826</v>
      </c>
      <c r="C63" s="618" t="s">
        <v>815</v>
      </c>
      <c r="D63" s="811"/>
      <c r="E63" s="812">
        <f>E73*0.0036</f>
        <v>124706.229444</v>
      </c>
      <c r="F63" s="812">
        <f t="shared" si="9"/>
        <v>109428.070284</v>
      </c>
      <c r="G63" s="813">
        <f t="shared" si="9"/>
        <v>108413.297964</v>
      </c>
      <c r="H63" s="813">
        <f t="shared" si="9"/>
        <v>116329.038048</v>
      </c>
      <c r="I63" s="814">
        <f t="shared" si="12"/>
        <v>0.13961828185719077</v>
      </c>
      <c r="J63" s="814">
        <f t="shared" si="13"/>
        <v>7.2012900102753158E-2</v>
      </c>
      <c r="L63" s="107"/>
      <c r="M63" s="107"/>
      <c r="N63" s="107"/>
      <c r="O63" s="119"/>
    </row>
    <row r="64" spans="2:16" ht="38.4" hidden="1" customHeight="1">
      <c r="B64" s="617" t="s">
        <v>828</v>
      </c>
      <c r="C64" s="618" t="s">
        <v>815</v>
      </c>
      <c r="D64" s="811"/>
      <c r="E64" s="812">
        <f>E74*0.0036</f>
        <v>12216.324132</v>
      </c>
      <c r="F64" s="812">
        <f t="shared" si="8"/>
        <v>30876.556895999998</v>
      </c>
      <c r="G64" s="812">
        <f t="shared" si="8"/>
        <v>8696.584476</v>
      </c>
      <c r="H64" s="812" t="s">
        <v>830</v>
      </c>
      <c r="I64" s="814">
        <f t="shared" si="12"/>
        <v>-0.60434953375314326</v>
      </c>
      <c r="J64" s="814" t="e">
        <f t="shared" si="13"/>
        <v>#VALUE!</v>
      </c>
      <c r="L64" s="119"/>
      <c r="M64" s="119"/>
      <c r="N64" s="119"/>
      <c r="O64" s="119"/>
    </row>
    <row r="65" spans="2:18" ht="21.6" hidden="1" customHeight="1">
      <c r="B65" s="618" t="s">
        <v>831</v>
      </c>
      <c r="C65" s="618" t="s">
        <v>815</v>
      </c>
      <c r="D65" s="811"/>
      <c r="E65" s="812">
        <f>E75*0.0036</f>
        <v>715462.30584000004</v>
      </c>
      <c r="F65" s="812">
        <f t="shared" si="8"/>
        <v>583408.23624</v>
      </c>
      <c r="G65" s="813">
        <f t="shared" si="8"/>
        <v>497293.23455999995</v>
      </c>
      <c r="H65" s="813">
        <f t="shared" si="8"/>
        <v>465701.84424000001</v>
      </c>
      <c r="I65" s="814">
        <f t="shared" si="12"/>
        <v>0.22634934064536621</v>
      </c>
      <c r="J65" s="814">
        <f t="shared" si="13"/>
        <v>0.53630979711406446</v>
      </c>
      <c r="L65" s="119"/>
      <c r="M65" s="119"/>
      <c r="N65" s="119"/>
      <c r="O65" s="119"/>
    </row>
    <row r="66" spans="2:18" ht="21.6" hidden="1" customHeight="1">
      <c r="B66" s="587"/>
      <c r="C66" s="834"/>
      <c r="D66" s="815"/>
      <c r="E66" s="815"/>
      <c r="F66" s="815"/>
      <c r="G66" s="815"/>
      <c r="H66" s="815"/>
      <c r="I66" s="816"/>
      <c r="J66" s="816"/>
      <c r="K66" s="13"/>
      <c r="O66" s="119"/>
    </row>
    <row r="67" spans="2:18" ht="13.5" hidden="1" customHeight="1">
      <c r="B67" s="615" t="s">
        <v>813</v>
      </c>
      <c r="C67" s="618" t="s">
        <v>576</v>
      </c>
      <c r="D67" s="811"/>
      <c r="E67" s="812">
        <v>1185612237</v>
      </c>
      <c r="F67" s="812">
        <v>1241805779</v>
      </c>
      <c r="G67" s="813">
        <v>1168337660</v>
      </c>
      <c r="H67" s="813">
        <v>1202121141</v>
      </c>
      <c r="I67" s="814">
        <f t="shared" ref="I67" si="14">(E67-F67)/F67</f>
        <v>-4.5251474063239962E-2</v>
      </c>
      <c r="J67" s="814">
        <f t="shared" ref="J67" si="15">(E67-H67)/H67</f>
        <v>-1.3733145052475207E-2</v>
      </c>
      <c r="K67" s="119"/>
      <c r="M67" s="65"/>
      <c r="N67" s="149"/>
    </row>
    <row r="68" spans="2:18" ht="16.2">
      <c r="B68" s="623" t="s">
        <v>816</v>
      </c>
      <c r="C68" s="618" t="s">
        <v>576</v>
      </c>
      <c r="D68" s="670">
        <v>486935911.60000002</v>
      </c>
      <c r="E68" s="787">
        <v>482690601.19999999</v>
      </c>
      <c r="F68" s="787">
        <v>501345745.60000002</v>
      </c>
      <c r="G68" s="804">
        <v>476641919.39999998</v>
      </c>
      <c r="H68" s="804">
        <v>499808074.80000001</v>
      </c>
      <c r="I68" s="859">
        <f t="shared" ref="I68:I76" si="16">(D68-E68)/E68</f>
        <v>8.7950964643726641E-3</v>
      </c>
      <c r="J68" s="859">
        <f t="shared" ref="J68:J73" si="17">(D68-H68)/H68</f>
        <v>-2.5754212164641056E-2</v>
      </c>
      <c r="K68" s="119"/>
      <c r="M68" s="65"/>
      <c r="N68" s="149"/>
    </row>
    <row r="69" spans="2:18" ht="16.2">
      <c r="B69" s="623" t="s">
        <v>818</v>
      </c>
      <c r="C69" s="618" t="s">
        <v>576</v>
      </c>
      <c r="D69" s="670">
        <v>676592380.29999995</v>
      </c>
      <c r="E69" s="787">
        <v>647610436.89999998</v>
      </c>
      <c r="F69" s="787">
        <v>681329628</v>
      </c>
      <c r="G69" s="804">
        <v>645237384.60000002</v>
      </c>
      <c r="H69" s="804">
        <v>653128614.20000005</v>
      </c>
      <c r="I69" s="859">
        <f t="shared" si="16"/>
        <v>4.4752125272612291E-2</v>
      </c>
      <c r="J69" s="859">
        <f t="shared" si="17"/>
        <v>3.5925184703077283E-2</v>
      </c>
      <c r="K69" s="119"/>
      <c r="M69" s="65"/>
      <c r="N69" s="149"/>
    </row>
    <row r="70" spans="2:18" ht="16.2">
      <c r="B70" s="623" t="s">
        <v>820</v>
      </c>
      <c r="C70" s="618" t="s">
        <v>576</v>
      </c>
      <c r="D70" s="670">
        <v>936278140.20000005</v>
      </c>
      <c r="E70" s="787">
        <v>1010096858</v>
      </c>
      <c r="F70" s="787">
        <v>1113762977</v>
      </c>
      <c r="G70" s="804">
        <v>1066434320</v>
      </c>
      <c r="H70" s="804">
        <v>1106798361</v>
      </c>
      <c r="I70" s="859">
        <f t="shared" si="16"/>
        <v>-7.3080831026602358E-2</v>
      </c>
      <c r="J70" s="859">
        <f t="shared" si="17"/>
        <v>-0.15406620285011421</v>
      </c>
      <c r="K70" s="119"/>
      <c r="M70" s="65"/>
      <c r="N70" s="149"/>
    </row>
    <row r="71" spans="2:18" ht="16.2">
      <c r="B71" s="697" t="s">
        <v>822</v>
      </c>
      <c r="C71" s="618" t="s">
        <v>576</v>
      </c>
      <c r="D71" s="670">
        <v>730062641.79999995</v>
      </c>
      <c r="E71" s="787">
        <v>715085304.5</v>
      </c>
      <c r="F71" s="787">
        <v>765112549.89999998</v>
      </c>
      <c r="G71" s="804">
        <v>727280899.39999998</v>
      </c>
      <c r="H71" s="804">
        <v>730599118.70000005</v>
      </c>
      <c r="I71" s="859">
        <f t="shared" si="16"/>
        <v>2.0944826030892028E-2</v>
      </c>
      <c r="J71" s="859">
        <f t="shared" si="17"/>
        <v>-7.342972175420656E-4</v>
      </c>
      <c r="K71" s="119"/>
      <c r="M71" s="581"/>
      <c r="N71" s="149"/>
    </row>
    <row r="72" spans="2:18" ht="16.2">
      <c r="B72" s="697" t="s">
        <v>824</v>
      </c>
      <c r="C72" s="618" t="s">
        <v>576</v>
      </c>
      <c r="D72" s="670">
        <v>175218839.5</v>
      </c>
      <c r="E72" s="787">
        <v>256977511.19999999</v>
      </c>
      <c r="F72" s="787">
        <v>309676919.69999999</v>
      </c>
      <c r="G72" s="804">
        <v>306622897.80000001</v>
      </c>
      <c r="H72" s="804">
        <v>343885620.39999998</v>
      </c>
      <c r="I72" s="859">
        <f t="shared" si="16"/>
        <v>-0.3181549674063463</v>
      </c>
      <c r="J72" s="859">
        <f t="shared" si="17"/>
        <v>-0.49047349145861519</v>
      </c>
      <c r="K72" s="119"/>
      <c r="M72" s="581"/>
      <c r="N72" s="149"/>
    </row>
    <row r="73" spans="2:18" ht="16.2">
      <c r="B73" s="698" t="s">
        <v>826</v>
      </c>
      <c r="C73" s="618" t="s">
        <v>576</v>
      </c>
      <c r="D73" s="670">
        <v>27685923.289999999</v>
      </c>
      <c r="E73" s="787">
        <v>34640619.289999999</v>
      </c>
      <c r="F73" s="787">
        <v>30396686.190000001</v>
      </c>
      <c r="G73" s="804">
        <v>30114804.989999998</v>
      </c>
      <c r="H73" s="804">
        <v>32313621.68</v>
      </c>
      <c r="I73" s="859">
        <f t="shared" si="16"/>
        <v>-0.20076708045481367</v>
      </c>
      <c r="J73" s="859">
        <f t="shared" si="17"/>
        <v>-0.14321200006077439</v>
      </c>
      <c r="K73" s="119"/>
      <c r="M73" s="582"/>
      <c r="N73" s="149"/>
    </row>
    <row r="74" spans="2:18" ht="32.4">
      <c r="B74" s="698" t="s">
        <v>828</v>
      </c>
      <c r="C74" s="618" t="s">
        <v>576</v>
      </c>
      <c r="D74" s="670">
        <v>3310735.58</v>
      </c>
      <c r="E74" s="787">
        <v>3393423.37</v>
      </c>
      <c r="F74" s="787">
        <v>8576821.3599999994</v>
      </c>
      <c r="G74" s="804">
        <v>2415717.91</v>
      </c>
      <c r="H74" s="804"/>
      <c r="I74" s="859">
        <f t="shared" si="16"/>
        <v>-2.4367071533429097E-2</v>
      </c>
      <c r="J74" s="859"/>
      <c r="K74" s="119"/>
      <c r="M74" s="582"/>
      <c r="N74" s="149"/>
    </row>
    <row r="75" spans="2:18" ht="16.2">
      <c r="B75" s="699" t="s">
        <v>831</v>
      </c>
      <c r="C75" s="618" t="s">
        <v>576</v>
      </c>
      <c r="D75" s="670">
        <v>275404458</v>
      </c>
      <c r="E75" s="817">
        <v>198739529.40000001</v>
      </c>
      <c r="F75" s="817">
        <v>162057843.40000001</v>
      </c>
      <c r="G75" s="817">
        <v>138137009.59999999</v>
      </c>
      <c r="H75" s="817">
        <v>129361623.40000001</v>
      </c>
      <c r="I75" s="859">
        <f t="shared" si="16"/>
        <v>0.3857558123009221</v>
      </c>
      <c r="J75" s="859">
        <f>(D75-H75)/H75</f>
        <v>1.1289502308456651</v>
      </c>
      <c r="K75" s="119"/>
      <c r="M75" s="583"/>
      <c r="N75" s="149"/>
    </row>
    <row r="76" spans="2:18" ht="16.2">
      <c r="B76" s="700" t="s">
        <v>863</v>
      </c>
      <c r="C76" s="618" t="s">
        <v>576</v>
      </c>
      <c r="D76" s="670">
        <v>275404458</v>
      </c>
      <c r="E76" s="787">
        <v>198739529.40000001</v>
      </c>
      <c r="F76" s="787">
        <v>162057843.40000001</v>
      </c>
      <c r="G76" s="804">
        <v>138137009.59999999</v>
      </c>
      <c r="H76" s="804">
        <v>129361623.40000001</v>
      </c>
      <c r="I76" s="859">
        <f t="shared" si="16"/>
        <v>0.3857558123009221</v>
      </c>
      <c r="J76" s="859">
        <f>(D76-H76)/H76</f>
        <v>1.1289502308456651</v>
      </c>
      <c r="K76" s="119"/>
      <c r="M76" s="583"/>
      <c r="N76" s="149"/>
    </row>
    <row r="77" spans="2:18" ht="16.2">
      <c r="B77" s="700" t="s">
        <v>864</v>
      </c>
      <c r="C77" s="618" t="s">
        <v>576</v>
      </c>
      <c r="D77" s="818">
        <v>0</v>
      </c>
      <c r="E77" s="812">
        <v>0</v>
      </c>
      <c r="F77" s="812">
        <v>0</v>
      </c>
      <c r="G77" s="812">
        <v>0</v>
      </c>
      <c r="H77" s="812">
        <v>0</v>
      </c>
      <c r="I77" s="860"/>
      <c r="J77" s="860"/>
      <c r="K77" s="119"/>
      <c r="M77" s="583"/>
      <c r="N77" s="149"/>
    </row>
    <row r="78" spans="2:18" ht="13.8">
      <c r="C78" s="67"/>
      <c r="D78" s="1074"/>
      <c r="I78" s="861"/>
      <c r="J78" s="861"/>
    </row>
    <row r="79" spans="2:18" ht="19.8">
      <c r="B79" s="930" t="s">
        <v>710</v>
      </c>
      <c r="C79" s="919"/>
      <c r="D79" s="920"/>
      <c r="E79" s="920"/>
      <c r="F79" s="920"/>
      <c r="G79" s="920"/>
      <c r="H79" s="1450"/>
      <c r="I79" s="1450"/>
      <c r="J79" s="1450"/>
      <c r="L79" s="130"/>
      <c r="M79" s="130"/>
      <c r="N79" s="130"/>
      <c r="O79" s="130"/>
      <c r="P79" s="107"/>
      <c r="Q79" s="107"/>
      <c r="R79" s="107"/>
    </row>
    <row r="80" spans="2:18" ht="13.8">
      <c r="B80" s="131"/>
      <c r="C80" s="835"/>
      <c r="D80" s="133"/>
      <c r="E80" s="134"/>
      <c r="F80" s="134"/>
      <c r="G80" s="133"/>
      <c r="H80" s="133"/>
      <c r="I80" s="133"/>
    </row>
    <row r="81" spans="2:11" ht="45.9" customHeight="1">
      <c r="B81" s="780" t="s">
        <v>506</v>
      </c>
      <c r="C81" s="822" t="s">
        <v>544</v>
      </c>
      <c r="D81" s="921" t="s">
        <v>545</v>
      </c>
      <c r="E81" s="928" t="s">
        <v>546</v>
      </c>
      <c r="F81" s="928" t="s">
        <v>547</v>
      </c>
      <c r="G81" s="929" t="s">
        <v>548</v>
      </c>
      <c r="H81" s="929" t="s">
        <v>549</v>
      </c>
      <c r="I81" s="819" t="str">
        <f>I17</f>
        <v>Performance against prior year</v>
      </c>
      <c r="J81" s="819" t="str">
        <f>J17</f>
        <v>Performance against 2019/20 baseline</v>
      </c>
    </row>
    <row r="82" spans="2:11" ht="17.399999999999999">
      <c r="B82" s="630" t="s">
        <v>711</v>
      </c>
      <c r="C82" s="836"/>
      <c r="D82" s="675"/>
      <c r="E82" s="675"/>
      <c r="F82" s="675"/>
      <c r="G82" s="675"/>
      <c r="H82" s="675"/>
      <c r="I82" s="786"/>
      <c r="J82" s="786"/>
    </row>
    <row r="83" spans="2:11" ht="16.2">
      <c r="B83" s="701" t="s">
        <v>712</v>
      </c>
      <c r="C83" s="834" t="s">
        <v>714</v>
      </c>
      <c r="D83" s="683">
        <v>1719078</v>
      </c>
      <c r="E83" s="787">
        <v>1782610</v>
      </c>
      <c r="F83" s="787">
        <v>1914858</v>
      </c>
      <c r="G83" s="604">
        <v>1832821</v>
      </c>
      <c r="H83" s="604">
        <v>1938561</v>
      </c>
      <c r="I83" s="788">
        <f>(D83-E83)/E83</f>
        <v>-3.5639876361066081E-2</v>
      </c>
      <c r="J83" s="788">
        <f>(D83-H83)/H83</f>
        <v>-0.11321954790176837</v>
      </c>
      <c r="K83" s="135"/>
    </row>
    <row r="84" spans="2:11" ht="16.2">
      <c r="B84" s="702" t="s">
        <v>715</v>
      </c>
      <c r="C84" s="834" t="s">
        <v>714</v>
      </c>
      <c r="D84" s="1072">
        <v>0</v>
      </c>
      <c r="E84" s="789">
        <v>0</v>
      </c>
      <c r="F84" s="789">
        <v>0</v>
      </c>
      <c r="G84" s="677">
        <v>0</v>
      </c>
      <c r="H84" s="677">
        <v>0</v>
      </c>
      <c r="I84" s="788"/>
      <c r="J84" s="788"/>
    </row>
    <row r="85" spans="2:11" ht="16.2">
      <c r="B85" s="702" t="s">
        <v>717</v>
      </c>
      <c r="C85" s="834" t="s">
        <v>714</v>
      </c>
      <c r="D85" s="683">
        <v>72649</v>
      </c>
      <c r="E85" s="789">
        <v>92696</v>
      </c>
      <c r="F85" s="789">
        <v>91118</v>
      </c>
      <c r="G85" s="678">
        <v>70306</v>
      </c>
      <c r="H85" s="678">
        <v>66119</v>
      </c>
      <c r="I85" s="788">
        <f>(D85-E85)/E85</f>
        <v>-0.21626607404850262</v>
      </c>
      <c r="J85" s="788">
        <f>(D85-H85)/H85</f>
        <v>9.8761324278951582E-2</v>
      </c>
    </row>
    <row r="86" spans="2:11" ht="16.2">
      <c r="B86" s="605" t="s">
        <v>581</v>
      </c>
      <c r="C86" s="837" t="s">
        <v>721</v>
      </c>
      <c r="D86" s="683">
        <f>SUM(D83:D85)</f>
        <v>1791727</v>
      </c>
      <c r="E86" s="606">
        <f>SUM(E83:E85)</f>
        <v>1875306</v>
      </c>
      <c r="F86" s="606">
        <f>SUM(F83:F85)</f>
        <v>2005976</v>
      </c>
      <c r="G86" s="606">
        <f>SUM(G83:G85)</f>
        <v>1903127</v>
      </c>
      <c r="H86" s="606">
        <f>SUM(H83:H85)</f>
        <v>2004680</v>
      </c>
      <c r="I86" s="788">
        <f>(D86-E86)/E86</f>
        <v>-4.4568193137546619E-2</v>
      </c>
      <c r="J86" s="788">
        <f>(D86-H86)/H86</f>
        <v>-0.10622792665163518</v>
      </c>
    </row>
    <row r="87" spans="2:11" ht="17.399999999999999">
      <c r="B87" s="630" t="s">
        <v>865</v>
      </c>
      <c r="C87" s="836"/>
      <c r="D87" s="683"/>
      <c r="E87" s="675"/>
      <c r="F87" s="675"/>
      <c r="G87" s="675"/>
      <c r="H87" s="675"/>
      <c r="I87" s="788"/>
      <c r="J87" s="788"/>
    </row>
    <row r="88" spans="2:11" ht="16.2">
      <c r="B88" s="702" t="s">
        <v>866</v>
      </c>
      <c r="C88" s="834" t="s">
        <v>721</v>
      </c>
      <c r="D88" s="683">
        <v>36477</v>
      </c>
      <c r="E88" s="789">
        <v>48993</v>
      </c>
      <c r="F88" s="789">
        <v>77174</v>
      </c>
      <c r="G88" s="678">
        <v>65976</v>
      </c>
      <c r="H88" s="678">
        <v>72194</v>
      </c>
      <c r="I88" s="788">
        <f>(D88-E88)/E88</f>
        <v>-0.2554650664380626</v>
      </c>
      <c r="J88" s="788">
        <f>(D88-H88)/H88</f>
        <v>-0.49473640468737012</v>
      </c>
    </row>
    <row r="89" spans="2:11" ht="20.399999999999999" customHeight="1">
      <c r="B89" s="605" t="s">
        <v>867</v>
      </c>
      <c r="C89" s="837" t="s">
        <v>721</v>
      </c>
      <c r="D89" s="683">
        <v>1157318</v>
      </c>
      <c r="E89" s="606">
        <v>1289059</v>
      </c>
      <c r="F89" s="606">
        <v>1303576</v>
      </c>
      <c r="G89" s="606">
        <v>1419622</v>
      </c>
      <c r="H89" s="606">
        <v>1301086</v>
      </c>
      <c r="I89" s="788">
        <f>(D89-E89)/E89</f>
        <v>-0.10219935627461582</v>
      </c>
      <c r="J89" s="788">
        <f>(D89-H89)/H89</f>
        <v>-0.11049846051682978</v>
      </c>
    </row>
    <row r="90" spans="2:11" ht="16.2">
      <c r="B90" s="702" t="s">
        <v>732</v>
      </c>
      <c r="C90" s="834" t="s">
        <v>734</v>
      </c>
      <c r="D90" s="683">
        <v>1204600</v>
      </c>
      <c r="E90" s="789">
        <v>1349446</v>
      </c>
      <c r="F90" s="789">
        <v>1391081</v>
      </c>
      <c r="G90" s="678">
        <v>1493011</v>
      </c>
      <c r="H90" s="678">
        <v>1381075</v>
      </c>
      <c r="I90" s="788">
        <f>(D90-E90)/E90</f>
        <v>-0.10733738141429891</v>
      </c>
      <c r="J90" s="788">
        <f>(D90-H90)/H90</f>
        <v>-0.12778089531705375</v>
      </c>
    </row>
    <row r="91" spans="2:11" ht="16.2">
      <c r="B91" s="136"/>
      <c r="C91" s="838"/>
      <c r="D91" s="684"/>
      <c r="E91" s="679"/>
      <c r="F91" s="679"/>
      <c r="G91" s="679"/>
      <c r="H91" s="679"/>
      <c r="I91" s="790"/>
      <c r="J91" s="791"/>
    </row>
    <row r="92" spans="2:11" ht="17.399999999999999">
      <c r="B92" s="630" t="s">
        <v>868</v>
      </c>
      <c r="C92" s="836"/>
      <c r="D92" s="683"/>
      <c r="E92" s="680"/>
      <c r="F92" s="680"/>
      <c r="G92" s="675"/>
      <c r="H92" s="675"/>
      <c r="I92" s="792"/>
      <c r="J92" s="793"/>
    </row>
    <row r="93" spans="2:11" ht="16.2">
      <c r="B93" s="626" t="s">
        <v>587</v>
      </c>
      <c r="C93" s="839" t="s">
        <v>588</v>
      </c>
      <c r="D93" s="671">
        <v>264</v>
      </c>
      <c r="E93" s="794">
        <v>242</v>
      </c>
      <c r="F93" s="794">
        <v>220</v>
      </c>
      <c r="G93" s="794">
        <v>112</v>
      </c>
      <c r="H93" s="794">
        <v>104</v>
      </c>
      <c r="I93" s="792"/>
      <c r="J93" s="795"/>
    </row>
    <row r="94" spans="2:11" ht="16.2">
      <c r="B94" s="626" t="s">
        <v>589</v>
      </c>
      <c r="C94" s="839" t="s">
        <v>574</v>
      </c>
      <c r="D94" s="781">
        <v>0.9</v>
      </c>
      <c r="E94" s="796">
        <v>0.75</v>
      </c>
      <c r="F94" s="796">
        <v>0.78</v>
      </c>
      <c r="G94" s="796">
        <v>0.8</v>
      </c>
      <c r="H94" s="796">
        <v>0.7</v>
      </c>
      <c r="I94" s="790"/>
      <c r="J94" s="797"/>
    </row>
    <row r="95" spans="2:11" ht="16.2">
      <c r="B95" s="703"/>
      <c r="C95" s="838"/>
      <c r="D95" s="782"/>
      <c r="E95" s="798"/>
      <c r="F95" s="798"/>
      <c r="G95" s="798"/>
      <c r="H95" s="798"/>
      <c r="I95" s="790"/>
      <c r="J95" s="797"/>
    </row>
    <row r="96" spans="2:11" ht="17.399999999999999">
      <c r="B96" s="630" t="s">
        <v>725</v>
      </c>
      <c r="C96" s="836"/>
      <c r="D96" s="683"/>
      <c r="E96" s="675"/>
      <c r="F96" s="675"/>
      <c r="G96" s="675"/>
      <c r="H96" s="675"/>
      <c r="I96" s="786"/>
      <c r="J96" s="786"/>
    </row>
    <row r="97" spans="2:11" ht="16.2">
      <c r="B97" s="628" t="s">
        <v>584</v>
      </c>
      <c r="C97" s="839" t="s">
        <v>728</v>
      </c>
      <c r="D97" s="683">
        <v>1755</v>
      </c>
      <c r="E97" s="681">
        <v>1826</v>
      </c>
      <c r="F97" s="681">
        <v>1929</v>
      </c>
      <c r="G97" s="681">
        <v>1837</v>
      </c>
      <c r="H97" s="681">
        <v>1932</v>
      </c>
      <c r="I97" s="788">
        <f>(D97-E97)/E97</f>
        <v>-3.8882803943044907E-2</v>
      </c>
      <c r="J97" s="788">
        <f>(D97-H97)/H97</f>
        <v>-9.1614906832298143E-2</v>
      </c>
    </row>
    <row r="98" spans="2:11" ht="16.2">
      <c r="B98" s="613" t="s">
        <v>586</v>
      </c>
      <c r="C98" s="840" t="s">
        <v>730</v>
      </c>
      <c r="D98" s="683">
        <v>402</v>
      </c>
      <c r="E98" s="669">
        <v>412</v>
      </c>
      <c r="F98" s="669">
        <v>440</v>
      </c>
      <c r="G98" s="669">
        <v>418</v>
      </c>
      <c r="H98" s="678">
        <v>474</v>
      </c>
      <c r="I98" s="788">
        <f>(D98-E98)/E98</f>
        <v>-2.4271844660194174E-2</v>
      </c>
      <c r="J98" s="788">
        <f>(D98-H98)/H98</f>
        <v>-0.15189873417721519</v>
      </c>
    </row>
    <row r="99" spans="2:11" ht="16.2">
      <c r="B99" s="613" t="s">
        <v>869</v>
      </c>
      <c r="C99" s="840" t="s">
        <v>574</v>
      </c>
      <c r="D99" s="781">
        <f>D98/D97</f>
        <v>0.22905982905982905</v>
      </c>
      <c r="E99" s="682">
        <f>E98/E97</f>
        <v>0.22562979189485213</v>
      </c>
      <c r="F99" s="682">
        <f t="shared" ref="F99" si="18">F98/F97</f>
        <v>0.22809745982374288</v>
      </c>
      <c r="G99" s="682">
        <f>G98/G97</f>
        <v>0.22754491017964071</v>
      </c>
      <c r="H99" s="682">
        <f>H98/H97</f>
        <v>0.24534161490683229</v>
      </c>
      <c r="I99" s="799"/>
      <c r="J99" s="786"/>
    </row>
    <row r="100" spans="2:11" ht="13.8">
      <c r="B100" s="142"/>
      <c r="C100" s="841"/>
      <c r="D100" s="144"/>
      <c r="E100" s="144"/>
      <c r="F100" s="144"/>
      <c r="G100" s="145"/>
      <c r="H100" s="145"/>
      <c r="I100" s="145"/>
      <c r="J100" s="800"/>
      <c r="K100" s="141"/>
    </row>
    <row r="101" spans="2:11" ht="47.1" customHeight="1">
      <c r="B101" s="780" t="s">
        <v>196</v>
      </c>
      <c r="C101" s="822" t="s">
        <v>544</v>
      </c>
      <c r="D101" s="921" t="s">
        <v>545</v>
      </c>
      <c r="E101" s="928" t="s">
        <v>546</v>
      </c>
      <c r="F101" s="928" t="s">
        <v>547</v>
      </c>
      <c r="G101" s="929" t="s">
        <v>548</v>
      </c>
      <c r="H101" s="929" t="s">
        <v>549</v>
      </c>
      <c r="I101" s="819" t="str">
        <f>I81</f>
        <v>Performance against prior year</v>
      </c>
      <c r="J101" s="819" t="str">
        <f>J81</f>
        <v>Performance against 2019/20 baseline</v>
      </c>
    </row>
    <row r="102" spans="2:11" ht="17.399999999999999">
      <c r="B102" s="631" t="s">
        <v>870</v>
      </c>
      <c r="C102" s="842"/>
      <c r="D102" s="676"/>
      <c r="E102" s="676"/>
      <c r="F102" s="676"/>
      <c r="G102" s="676"/>
      <c r="H102" s="676"/>
      <c r="I102" s="799"/>
      <c r="J102" s="801"/>
    </row>
    <row r="103" spans="2:11" ht="16.2">
      <c r="B103" s="704" t="s">
        <v>739</v>
      </c>
      <c r="C103" s="618" t="s">
        <v>591</v>
      </c>
      <c r="D103" s="934">
        <v>39342</v>
      </c>
      <c r="E103" s="685">
        <v>38518</v>
      </c>
      <c r="F103" s="685">
        <v>45151</v>
      </c>
      <c r="G103" s="685">
        <v>41020</v>
      </c>
      <c r="H103" s="686">
        <v>40011</v>
      </c>
      <c r="I103" s="788">
        <f t="shared" ref="I103:I107" si="19">(D103-E103)/E103</f>
        <v>2.1392595669557091E-2</v>
      </c>
      <c r="J103" s="788">
        <f t="shared" ref="J103:J108" si="20">(D103-H103)/H103</f>
        <v>-1.6720401889480391E-2</v>
      </c>
    </row>
    <row r="104" spans="2:11" ht="16.2">
      <c r="B104" s="705" t="s">
        <v>741</v>
      </c>
      <c r="C104" s="618" t="s">
        <v>591</v>
      </c>
      <c r="D104" s="934">
        <v>2958</v>
      </c>
      <c r="E104" s="687">
        <v>3336</v>
      </c>
      <c r="F104" s="687">
        <v>2639</v>
      </c>
      <c r="G104" s="687">
        <v>2620</v>
      </c>
      <c r="H104" s="686">
        <v>2469</v>
      </c>
      <c r="I104" s="788">
        <f t="shared" si="19"/>
        <v>-0.11330935251798561</v>
      </c>
      <c r="J104" s="788">
        <f t="shared" si="20"/>
        <v>0.19805589307411908</v>
      </c>
    </row>
    <row r="105" spans="2:11" ht="16.2">
      <c r="B105" s="705" t="s">
        <v>743</v>
      </c>
      <c r="C105" s="618" t="s">
        <v>591</v>
      </c>
      <c r="D105" s="934">
        <v>10626</v>
      </c>
      <c r="E105" s="687">
        <v>7056</v>
      </c>
      <c r="F105" s="687">
        <v>8559</v>
      </c>
      <c r="G105" s="687">
        <v>7014</v>
      </c>
      <c r="H105" s="686">
        <v>7772</v>
      </c>
      <c r="I105" s="788">
        <f t="shared" si="19"/>
        <v>0.50595238095238093</v>
      </c>
      <c r="J105" s="788">
        <f t="shared" si="20"/>
        <v>0.36721564590838907</v>
      </c>
    </row>
    <row r="106" spans="2:11" ht="16.2">
      <c r="B106" s="705" t="s">
        <v>745</v>
      </c>
      <c r="C106" s="618" t="s">
        <v>591</v>
      </c>
      <c r="D106" s="934">
        <v>12299</v>
      </c>
      <c r="E106" s="687">
        <v>13896</v>
      </c>
      <c r="F106" s="687">
        <v>15230</v>
      </c>
      <c r="G106" s="687">
        <v>11482</v>
      </c>
      <c r="H106" s="686">
        <v>13530</v>
      </c>
      <c r="I106" s="788">
        <f t="shared" si="19"/>
        <v>-0.11492515831894071</v>
      </c>
      <c r="J106" s="788">
        <f t="shared" si="20"/>
        <v>-9.0983000739098305E-2</v>
      </c>
    </row>
    <row r="107" spans="2:11" ht="16.2">
      <c r="B107" s="626" t="s">
        <v>600</v>
      </c>
      <c r="C107" s="840" t="s">
        <v>591</v>
      </c>
      <c r="D107" s="935">
        <v>42300</v>
      </c>
      <c r="E107" s="688">
        <v>41854</v>
      </c>
      <c r="F107" s="688">
        <v>47790</v>
      </c>
      <c r="G107" s="688">
        <v>43640</v>
      </c>
      <c r="H107" s="681">
        <v>42480</v>
      </c>
      <c r="I107" s="788">
        <f t="shared" si="19"/>
        <v>1.0656090218378171E-2</v>
      </c>
      <c r="J107" s="788">
        <f t="shared" si="20"/>
        <v>-4.2372881355932203E-3</v>
      </c>
    </row>
    <row r="108" spans="2:11" ht="16.2">
      <c r="B108" s="628" t="s">
        <v>595</v>
      </c>
      <c r="C108" s="840" t="s">
        <v>591</v>
      </c>
      <c r="D108" s="935">
        <v>65225</v>
      </c>
      <c r="E108" s="689">
        <v>62806</v>
      </c>
      <c r="F108" s="689">
        <v>71579</v>
      </c>
      <c r="G108" s="689">
        <v>62136</v>
      </c>
      <c r="H108" s="689">
        <v>63782</v>
      </c>
      <c r="I108" s="788">
        <f>(D108-E108)/E108</f>
        <v>3.8515428462248827E-2</v>
      </c>
      <c r="J108" s="788">
        <f t="shared" si="20"/>
        <v>2.2623937788090683E-2</v>
      </c>
    </row>
    <row r="109" spans="2:11" ht="16.2">
      <c r="B109" s="136"/>
      <c r="C109" s="843"/>
      <c r="D109" s="936"/>
      <c r="E109" s="690"/>
      <c r="F109" s="690"/>
      <c r="G109" s="690"/>
      <c r="H109" s="690"/>
      <c r="I109" s="694"/>
      <c r="J109" s="802"/>
      <c r="K109" s="140"/>
    </row>
    <row r="110" spans="2:11" ht="17.399999999999999">
      <c r="B110" s="631" t="s">
        <v>871</v>
      </c>
      <c r="C110" s="842"/>
      <c r="D110" s="676"/>
      <c r="E110" s="676"/>
      <c r="F110" s="676"/>
      <c r="G110" s="676"/>
      <c r="H110" s="676"/>
      <c r="I110" s="671"/>
      <c r="J110" s="693"/>
    </row>
    <row r="111" spans="2:11" ht="16.2">
      <c r="B111" s="704" t="s">
        <v>872</v>
      </c>
      <c r="C111" s="618" t="s">
        <v>591</v>
      </c>
      <c r="D111" s="691">
        <v>532</v>
      </c>
      <c r="E111" s="685">
        <v>1038</v>
      </c>
      <c r="F111" s="685">
        <v>1002</v>
      </c>
      <c r="G111" s="685">
        <v>1031</v>
      </c>
      <c r="H111" s="686">
        <v>718</v>
      </c>
      <c r="I111" s="788">
        <f t="shared" ref="I111:I116" si="21">(D111-E111)/E111</f>
        <v>-0.48747591522157996</v>
      </c>
      <c r="J111" s="788">
        <f t="shared" ref="J111:J116" si="22">(D111-H111)/H111</f>
        <v>-0.25905292479108633</v>
      </c>
    </row>
    <row r="112" spans="2:11" ht="16.2">
      <c r="B112" s="705" t="s">
        <v>873</v>
      </c>
      <c r="C112" s="618" t="s">
        <v>591</v>
      </c>
      <c r="D112" s="691">
        <v>37078</v>
      </c>
      <c r="E112" s="687">
        <v>36853</v>
      </c>
      <c r="F112" s="687">
        <v>38270</v>
      </c>
      <c r="G112" s="687">
        <v>23366</v>
      </c>
      <c r="H112" s="686">
        <v>19437</v>
      </c>
      <c r="I112" s="788">
        <f t="shared" si="21"/>
        <v>6.1053374216481701E-3</v>
      </c>
      <c r="J112" s="788">
        <f t="shared" si="22"/>
        <v>0.90759890929670217</v>
      </c>
    </row>
    <row r="113" spans="2:16" ht="16.2">
      <c r="B113" s="705" t="s">
        <v>593</v>
      </c>
      <c r="C113" s="618" t="s">
        <v>591</v>
      </c>
      <c r="D113" s="691">
        <v>1213</v>
      </c>
      <c r="E113" s="687">
        <v>1071</v>
      </c>
      <c r="F113" s="687">
        <v>2041</v>
      </c>
      <c r="G113" s="687">
        <v>1000</v>
      </c>
      <c r="H113" s="686">
        <v>1663</v>
      </c>
      <c r="I113" s="788">
        <f t="shared" si="21"/>
        <v>0.13258636788048553</v>
      </c>
      <c r="J113" s="788">
        <f t="shared" si="22"/>
        <v>-0.27059530968129886</v>
      </c>
    </row>
    <row r="114" spans="2:16" ht="16.2">
      <c r="B114" s="705" t="s">
        <v>594</v>
      </c>
      <c r="C114" s="618" t="s">
        <v>591</v>
      </c>
      <c r="D114" s="691">
        <v>23064</v>
      </c>
      <c r="E114" s="687">
        <v>19529</v>
      </c>
      <c r="F114" s="687">
        <v>26158</v>
      </c>
      <c r="G114" s="687">
        <v>33570</v>
      </c>
      <c r="H114" s="686">
        <v>38973</v>
      </c>
      <c r="I114" s="788">
        <f t="shared" si="21"/>
        <v>0.18101285268062881</v>
      </c>
      <c r="J114" s="788">
        <f t="shared" si="22"/>
        <v>-0.40820568085597719</v>
      </c>
    </row>
    <row r="115" spans="2:16" ht="16.2">
      <c r="B115" s="626" t="s">
        <v>592</v>
      </c>
      <c r="C115" s="840" t="s">
        <v>591</v>
      </c>
      <c r="D115" s="783">
        <v>3338</v>
      </c>
      <c r="E115" s="803">
        <v>4315</v>
      </c>
      <c r="F115" s="803">
        <v>4107</v>
      </c>
      <c r="G115" s="803">
        <v>3169</v>
      </c>
      <c r="H115" s="803">
        <v>2990</v>
      </c>
      <c r="I115" s="788">
        <f t="shared" si="21"/>
        <v>-0.22641946697566628</v>
      </c>
      <c r="J115" s="788">
        <f t="shared" si="22"/>
        <v>0.11638795986622073</v>
      </c>
    </row>
    <row r="116" spans="2:16" ht="13.5" customHeight="1">
      <c r="B116" s="628" t="s">
        <v>595</v>
      </c>
      <c r="C116" s="840" t="s">
        <v>591</v>
      </c>
      <c r="D116" s="1124">
        <f>SUM(D111:D115)</f>
        <v>65225</v>
      </c>
      <c r="E116" s="1125">
        <f>SUM(E111:E115)</f>
        <v>62806</v>
      </c>
      <c r="F116" s="1125">
        <f>SUM(F111:F115)</f>
        <v>71578</v>
      </c>
      <c r="G116" s="1125">
        <f>SUM(G111:G115)</f>
        <v>62136</v>
      </c>
      <c r="H116" s="1125">
        <f>SUM(H111:H115)</f>
        <v>63781</v>
      </c>
      <c r="I116" s="788">
        <f t="shared" si="21"/>
        <v>3.8515428462248827E-2</v>
      </c>
      <c r="J116" s="788">
        <f t="shared" si="22"/>
        <v>2.2639971151283297E-2</v>
      </c>
    </row>
    <row r="118" spans="2:16" ht="25.5" customHeight="1">
      <c r="B118" s="780" t="s">
        <v>749</v>
      </c>
      <c r="C118" s="822" t="s">
        <v>544</v>
      </c>
      <c r="D118" s="921" t="s">
        <v>545</v>
      </c>
      <c r="E118" s="928" t="s">
        <v>546</v>
      </c>
      <c r="F118" s="928" t="s">
        <v>547</v>
      </c>
      <c r="G118" s="929" t="s">
        <v>548</v>
      </c>
      <c r="H118" s="929" t="s">
        <v>549</v>
      </c>
      <c r="I118" s="800"/>
      <c r="J118" s="800"/>
    </row>
    <row r="119" spans="2:16" s="533" customFormat="1" ht="16.2">
      <c r="B119" s="1126" t="s">
        <v>750</v>
      </c>
      <c r="C119" s="1127" t="s">
        <v>591</v>
      </c>
      <c r="D119" s="1128">
        <v>1012</v>
      </c>
      <c r="E119" s="1129">
        <v>848</v>
      </c>
      <c r="F119" s="1129">
        <v>1744</v>
      </c>
      <c r="G119" s="1129">
        <v>866</v>
      </c>
      <c r="H119" s="1129">
        <v>1468</v>
      </c>
      <c r="I119" s="790"/>
      <c r="J119" s="790"/>
      <c r="L119" s="64"/>
      <c r="M119" s="64"/>
      <c r="N119" s="64"/>
      <c r="O119" s="64"/>
      <c r="P119" s="64"/>
    </row>
    <row r="120" spans="2:16" s="533" customFormat="1" ht="16.2">
      <c r="B120" s="1126" t="s">
        <v>752</v>
      </c>
      <c r="C120" s="1127" t="s">
        <v>591</v>
      </c>
      <c r="D120" s="1128">
        <v>7601</v>
      </c>
      <c r="E120" s="1129">
        <v>3869</v>
      </c>
      <c r="F120" s="1129">
        <v>6882</v>
      </c>
      <c r="G120" s="1129">
        <v>5355</v>
      </c>
      <c r="H120" s="1129">
        <v>4990</v>
      </c>
      <c r="I120" s="790"/>
      <c r="J120" s="1130"/>
      <c r="L120" s="64"/>
      <c r="M120" s="64"/>
      <c r="N120" s="64"/>
      <c r="O120" s="64"/>
      <c r="P120" s="64"/>
    </row>
    <row r="121" spans="2:16" s="533" customFormat="1" ht="16.2">
      <c r="B121" s="1126" t="s">
        <v>754</v>
      </c>
      <c r="C121" s="1127" t="s">
        <v>591</v>
      </c>
      <c r="D121" s="1128">
        <v>1965</v>
      </c>
      <c r="E121" s="1129">
        <v>2006</v>
      </c>
      <c r="F121" s="1129">
        <v>2750</v>
      </c>
      <c r="G121" s="1129">
        <v>1547</v>
      </c>
      <c r="H121" s="1129">
        <v>1348</v>
      </c>
      <c r="I121" s="790"/>
      <c r="J121" s="790"/>
      <c r="L121" s="64"/>
      <c r="M121" s="64"/>
      <c r="N121" s="64"/>
      <c r="O121" s="64"/>
      <c r="P121" s="64"/>
    </row>
    <row r="122" spans="2:16" s="533" customFormat="1" ht="16.2">
      <c r="B122" s="1131" t="s">
        <v>874</v>
      </c>
      <c r="C122" s="1132" t="s">
        <v>591</v>
      </c>
      <c r="D122" s="1133">
        <v>10577</v>
      </c>
      <c r="E122" s="1134">
        <v>6723</v>
      </c>
      <c r="F122" s="1134">
        <v>11377</v>
      </c>
      <c r="G122" s="1134">
        <v>7767</v>
      </c>
      <c r="H122" s="1134">
        <v>7806</v>
      </c>
      <c r="I122" s="790"/>
      <c r="J122" s="790"/>
      <c r="L122" s="64"/>
      <c r="M122" s="64"/>
      <c r="N122" s="64"/>
      <c r="O122" s="64"/>
      <c r="P122" s="64"/>
    </row>
    <row r="123" spans="2:16" s="533" customFormat="1" ht="16.2">
      <c r="B123" s="1126" t="s">
        <v>758</v>
      </c>
      <c r="C123" s="1127" t="s">
        <v>591</v>
      </c>
      <c r="D123" s="1128">
        <v>201</v>
      </c>
      <c r="E123" s="1129">
        <v>223</v>
      </c>
      <c r="F123" s="1129">
        <v>297</v>
      </c>
      <c r="G123" s="1129">
        <v>135</v>
      </c>
      <c r="H123" s="1129">
        <v>196</v>
      </c>
      <c r="I123" s="790"/>
      <c r="J123" s="790"/>
      <c r="L123" s="64"/>
      <c r="M123" s="64"/>
      <c r="N123" s="64"/>
      <c r="O123" s="64"/>
      <c r="P123" s="64"/>
    </row>
    <row r="124" spans="2:16" s="533" customFormat="1" ht="16.2">
      <c r="B124" s="1126" t="s">
        <v>875</v>
      </c>
      <c r="C124" s="1127" t="s">
        <v>591</v>
      </c>
      <c r="D124" s="1128">
        <v>15463</v>
      </c>
      <c r="E124" s="1129">
        <v>15660</v>
      </c>
      <c r="F124" s="1129">
        <v>19276</v>
      </c>
      <c r="G124" s="1129">
        <v>28215</v>
      </c>
      <c r="H124" s="1129">
        <v>33983</v>
      </c>
      <c r="I124" s="790"/>
      <c r="J124" s="790"/>
      <c r="L124" s="64"/>
      <c r="M124" s="64"/>
      <c r="N124" s="64"/>
      <c r="O124" s="64"/>
      <c r="P124" s="64"/>
    </row>
    <row r="125" spans="2:16" s="533" customFormat="1" ht="16.2">
      <c r="B125" s="1126" t="s">
        <v>762</v>
      </c>
      <c r="C125" s="1127" t="s">
        <v>591</v>
      </c>
      <c r="D125" s="1128">
        <v>1373</v>
      </c>
      <c r="E125" s="1129">
        <v>2309</v>
      </c>
      <c r="F125" s="1129">
        <v>1357</v>
      </c>
      <c r="G125" s="1129">
        <v>1622</v>
      </c>
      <c r="H125" s="1129">
        <v>1642</v>
      </c>
      <c r="I125" s="790"/>
      <c r="J125" s="790"/>
      <c r="L125" s="64"/>
      <c r="M125" s="64"/>
      <c r="N125" s="64"/>
      <c r="O125" s="64"/>
      <c r="P125" s="64"/>
    </row>
    <row r="126" spans="2:16" s="533" customFormat="1" ht="16.2">
      <c r="B126" s="1131" t="s">
        <v>764</v>
      </c>
      <c r="C126" s="1132" t="s">
        <v>591</v>
      </c>
      <c r="D126" s="1133">
        <v>17037</v>
      </c>
      <c r="E126" s="1134">
        <v>18192</v>
      </c>
      <c r="F126" s="1134">
        <v>20930</v>
      </c>
      <c r="G126" s="1134">
        <v>29972</v>
      </c>
      <c r="H126" s="1134">
        <v>35820</v>
      </c>
      <c r="I126" s="790"/>
      <c r="J126" s="790"/>
      <c r="L126" s="64"/>
      <c r="M126" s="64"/>
      <c r="N126" s="64"/>
      <c r="O126" s="64"/>
      <c r="P126" s="64"/>
    </row>
    <row r="127" spans="2:16" s="533" customFormat="1" ht="16.2">
      <c r="B127" s="1131" t="s">
        <v>766</v>
      </c>
      <c r="C127" s="1132" t="s">
        <v>591</v>
      </c>
      <c r="D127" s="1133">
        <v>27614</v>
      </c>
      <c r="E127" s="1134">
        <v>24915</v>
      </c>
      <c r="F127" s="1134">
        <v>32307</v>
      </c>
      <c r="G127" s="1134">
        <v>37739</v>
      </c>
      <c r="H127" s="1134">
        <v>43627</v>
      </c>
      <c r="I127" s="790"/>
      <c r="J127" s="790"/>
      <c r="L127" s="64"/>
      <c r="M127" s="64"/>
      <c r="N127" s="64"/>
      <c r="O127" s="64"/>
      <c r="P127" s="64"/>
    </row>
    <row r="128" spans="2:16" s="533" customFormat="1" ht="16.2">
      <c r="B128" s="1131" t="s">
        <v>876</v>
      </c>
      <c r="C128" s="1132" t="s">
        <v>591</v>
      </c>
      <c r="D128" s="1133">
        <v>3338</v>
      </c>
      <c r="E128" s="1134">
        <v>4315</v>
      </c>
      <c r="F128" s="1134">
        <v>4107</v>
      </c>
      <c r="G128" s="1134">
        <v>3169</v>
      </c>
      <c r="H128" s="1134">
        <v>2990</v>
      </c>
      <c r="I128" s="790"/>
      <c r="J128" s="790"/>
      <c r="K128" s="1135"/>
      <c r="L128" s="64"/>
      <c r="M128" s="64"/>
      <c r="N128" s="64"/>
      <c r="O128" s="64"/>
      <c r="P128" s="64"/>
    </row>
    <row r="129" spans="2:10" ht="23.4" customHeight="1">
      <c r="B129" s="252" t="s">
        <v>770</v>
      </c>
      <c r="C129" s="822" t="s">
        <v>544</v>
      </c>
      <c r="D129" s="921" t="s">
        <v>545</v>
      </c>
      <c r="E129" s="928" t="s">
        <v>546</v>
      </c>
      <c r="F129" s="928" t="s">
        <v>547</v>
      </c>
      <c r="G129" s="929" t="s">
        <v>548</v>
      </c>
      <c r="H129" s="929" t="s">
        <v>549</v>
      </c>
      <c r="I129" s="800"/>
      <c r="J129" s="800"/>
    </row>
    <row r="130" spans="2:10" s="533" customFormat="1" ht="16.2">
      <c r="B130" s="1136" t="s">
        <v>877</v>
      </c>
      <c r="C130" s="1127" t="s">
        <v>591</v>
      </c>
      <c r="D130" s="1137">
        <v>119</v>
      </c>
      <c r="E130" s="1138">
        <v>119</v>
      </c>
      <c r="F130" s="1138">
        <v>109</v>
      </c>
      <c r="G130" s="1138">
        <v>106</v>
      </c>
      <c r="H130" s="1138">
        <v>125</v>
      </c>
      <c r="I130" s="790"/>
      <c r="J130" s="790"/>
    </row>
    <row r="131" spans="2:10" s="533" customFormat="1" ht="16.2">
      <c r="B131" s="1136" t="s">
        <v>878</v>
      </c>
      <c r="C131" s="1127" t="s">
        <v>591</v>
      </c>
      <c r="D131" s="1137">
        <v>413</v>
      </c>
      <c r="E131" s="1138">
        <v>920</v>
      </c>
      <c r="F131" s="1138">
        <v>893</v>
      </c>
      <c r="G131" s="1138">
        <v>925</v>
      </c>
      <c r="H131" s="1138">
        <v>593</v>
      </c>
      <c r="I131" s="790"/>
      <c r="J131" s="790"/>
    </row>
    <row r="132" spans="2:10" s="533" customFormat="1" ht="16.2">
      <c r="B132" s="1136" t="s">
        <v>775</v>
      </c>
      <c r="C132" s="1127" t="s">
        <v>591</v>
      </c>
      <c r="D132" s="1137">
        <v>12229</v>
      </c>
      <c r="E132" s="1138">
        <v>14110</v>
      </c>
      <c r="F132" s="1138">
        <v>12303</v>
      </c>
      <c r="G132" s="1129">
        <v>10622</v>
      </c>
      <c r="H132" s="1129">
        <v>13371</v>
      </c>
      <c r="I132" s="790"/>
      <c r="J132" s="790"/>
    </row>
    <row r="133" spans="2:10" s="533" customFormat="1" ht="16.2">
      <c r="B133" s="1136" t="s">
        <v>777</v>
      </c>
      <c r="C133" s="1127" t="s">
        <v>591</v>
      </c>
      <c r="D133" s="1137">
        <v>24850</v>
      </c>
      <c r="E133" s="1138">
        <v>22742</v>
      </c>
      <c r="F133" s="1138">
        <v>25967</v>
      </c>
      <c r="G133" s="1138">
        <v>12744</v>
      </c>
      <c r="H133" s="1138">
        <v>6067</v>
      </c>
      <c r="I133" s="790"/>
      <c r="J133" s="790"/>
    </row>
    <row r="134" spans="2:10" s="533" customFormat="1" ht="16.2">
      <c r="B134" s="1139" t="s">
        <v>779</v>
      </c>
      <c r="C134" s="1132" t="s">
        <v>591</v>
      </c>
      <c r="D134" s="1133">
        <v>37611</v>
      </c>
      <c r="E134" s="1134">
        <v>37891</v>
      </c>
      <c r="F134" s="1134">
        <v>39272</v>
      </c>
      <c r="G134" s="1134">
        <v>24396</v>
      </c>
      <c r="H134" s="1134">
        <v>20156</v>
      </c>
      <c r="I134" s="1140"/>
      <c r="J134" s="1140"/>
    </row>
    <row r="135" spans="2:10" s="533" customFormat="1" ht="16.2">
      <c r="B135" s="1136" t="s">
        <v>879</v>
      </c>
      <c r="C135" s="1127" t="s">
        <v>574</v>
      </c>
      <c r="D135" s="1141">
        <v>0.1893</v>
      </c>
      <c r="E135" s="1142">
        <v>0.22650000000000001</v>
      </c>
      <c r="F135" s="1142">
        <v>0.1734</v>
      </c>
      <c r="G135" s="1142">
        <v>0.17269999999999999</v>
      </c>
      <c r="H135" s="1142">
        <v>0.21160000000000001</v>
      </c>
      <c r="I135" s="797"/>
      <c r="J135" s="797"/>
    </row>
    <row r="136" spans="2:10" s="533" customFormat="1" ht="16.2">
      <c r="B136" s="1143" t="s">
        <v>880</v>
      </c>
      <c r="C136" s="1144" t="s">
        <v>574</v>
      </c>
      <c r="D136" s="1141">
        <v>0.38729999999999998</v>
      </c>
      <c r="E136" s="1142">
        <v>0.37669999999999998</v>
      </c>
      <c r="F136" s="1142">
        <v>0.37519999999999998</v>
      </c>
      <c r="G136" s="1142">
        <v>0.22</v>
      </c>
      <c r="H136" s="1142">
        <v>0.10440000000000001</v>
      </c>
      <c r="I136" s="790"/>
      <c r="J136" s="790"/>
    </row>
    <row r="137" spans="2:10" s="533" customFormat="1" ht="16.2">
      <c r="B137" s="1143" t="s">
        <v>881</v>
      </c>
      <c r="C137" s="1144" t="s">
        <v>574</v>
      </c>
      <c r="D137" s="1141">
        <v>0.5766</v>
      </c>
      <c r="E137" s="1142">
        <v>0.60329999999999995</v>
      </c>
      <c r="F137" s="1142">
        <v>0.54869999999999997</v>
      </c>
      <c r="G137" s="1142">
        <v>0.3926</v>
      </c>
      <c r="H137" s="1142">
        <v>0.316</v>
      </c>
      <c r="I137" s="790"/>
      <c r="J137" s="790"/>
    </row>
    <row r="138" spans="2:10" ht="17.399999999999999">
      <c r="B138" s="252" t="s">
        <v>785</v>
      </c>
      <c r="C138" s="822" t="s">
        <v>544</v>
      </c>
      <c r="D138" s="921" t="s">
        <v>545</v>
      </c>
      <c r="E138" s="928" t="s">
        <v>546</v>
      </c>
      <c r="F138" s="928" t="s">
        <v>547</v>
      </c>
      <c r="G138" s="929" t="s">
        <v>548</v>
      </c>
      <c r="H138" s="929" t="s">
        <v>549</v>
      </c>
      <c r="I138" s="800"/>
      <c r="J138" s="800"/>
    </row>
    <row r="139" spans="2:10" s="533" customFormat="1" ht="17.399999999999999" customHeight="1">
      <c r="B139" s="1145" t="s">
        <v>602</v>
      </c>
      <c r="C139" s="1127" t="s">
        <v>591</v>
      </c>
      <c r="D139" s="1128">
        <v>15257</v>
      </c>
      <c r="E139" s="1146">
        <v>17233</v>
      </c>
      <c r="F139" s="1146">
        <v>17869</v>
      </c>
      <c r="G139" s="1146">
        <v>14102</v>
      </c>
      <c r="H139" s="1146">
        <v>15999</v>
      </c>
      <c r="I139" s="790"/>
      <c r="J139" s="790"/>
    </row>
    <row r="140" spans="2:10" s="533" customFormat="1" ht="16.2">
      <c r="B140" s="1145" t="s">
        <v>882</v>
      </c>
      <c r="C140" s="1127" t="s">
        <v>591</v>
      </c>
      <c r="D140" s="1147">
        <v>195</v>
      </c>
      <c r="E140" s="1148">
        <v>481</v>
      </c>
      <c r="F140" s="1148">
        <v>512</v>
      </c>
      <c r="G140" s="1148">
        <v>421</v>
      </c>
      <c r="H140" s="1148">
        <v>219</v>
      </c>
      <c r="I140" s="790"/>
      <c r="J140" s="790"/>
    </row>
    <row r="141" spans="2:10" s="533" customFormat="1" ht="16.2">
      <c r="B141" s="1145" t="s">
        <v>883</v>
      </c>
      <c r="C141" s="1127" t="s">
        <v>591</v>
      </c>
      <c r="D141" s="1147">
        <v>11492</v>
      </c>
      <c r="E141" s="1148">
        <v>12420</v>
      </c>
      <c r="F141" s="1148">
        <v>11964</v>
      </c>
      <c r="G141" s="1149">
        <v>10254</v>
      </c>
      <c r="H141" s="1149">
        <v>11777</v>
      </c>
      <c r="I141" s="790"/>
      <c r="J141" s="790"/>
    </row>
    <row r="142" spans="2:10" s="533" customFormat="1" ht="16.2">
      <c r="B142" s="1150" t="s">
        <v>601</v>
      </c>
      <c r="C142" s="1127" t="s">
        <v>591</v>
      </c>
      <c r="D142" s="1133">
        <v>3571</v>
      </c>
      <c r="E142" s="1151">
        <v>4332</v>
      </c>
      <c r="F142" s="1151">
        <v>5393</v>
      </c>
      <c r="G142" s="1151">
        <v>3427</v>
      </c>
      <c r="H142" s="1151">
        <v>4003</v>
      </c>
      <c r="I142" s="790"/>
      <c r="J142" s="790"/>
    </row>
    <row r="143" spans="2:10" ht="13.8">
      <c r="B143" s="528"/>
      <c r="C143" s="844"/>
      <c r="D143" s="148"/>
      <c r="E143" s="148"/>
      <c r="F143" s="148"/>
      <c r="G143" s="148"/>
      <c r="H143" s="148"/>
      <c r="I143" s="800"/>
      <c r="J143" s="800"/>
    </row>
    <row r="144" spans="2:10" ht="33" customHeight="1">
      <c r="B144" s="933" t="s">
        <v>884</v>
      </c>
      <c r="C144" s="831" t="s">
        <v>544</v>
      </c>
      <c r="D144" s="921" t="s">
        <v>545</v>
      </c>
      <c r="E144" s="928" t="s">
        <v>546</v>
      </c>
      <c r="F144" s="928" t="s">
        <v>547</v>
      </c>
      <c r="G144" s="929" t="s">
        <v>548</v>
      </c>
      <c r="H144" s="929" t="s">
        <v>549</v>
      </c>
      <c r="I144" s="819" t="str">
        <f>I81</f>
        <v>Performance against prior year</v>
      </c>
      <c r="J144" s="800"/>
    </row>
    <row r="145" spans="2:17" ht="18.600000000000001">
      <c r="B145" s="623" t="s">
        <v>885</v>
      </c>
      <c r="C145" s="618" t="s">
        <v>591</v>
      </c>
      <c r="D145" s="1157">
        <v>318.29000000000002</v>
      </c>
      <c r="E145" s="804">
        <v>336.7</v>
      </c>
      <c r="F145" s="804">
        <v>358.26</v>
      </c>
      <c r="G145" s="804">
        <v>338.34</v>
      </c>
      <c r="H145" s="804">
        <v>320.41000000000003</v>
      </c>
      <c r="I145" s="788">
        <f t="shared" ref="I145:I150" si="23">(D145-E145)/E145</f>
        <v>-5.4677754677754584E-2</v>
      </c>
      <c r="J145" s="800"/>
    </row>
    <row r="146" spans="2:17" ht="18.600000000000001">
      <c r="B146" s="623" t="s">
        <v>886</v>
      </c>
      <c r="C146" s="618" t="s">
        <v>591</v>
      </c>
      <c r="D146" s="1157">
        <v>36.020000000000003</v>
      </c>
      <c r="E146" s="804">
        <v>31.17</v>
      </c>
      <c r="F146" s="804">
        <v>73.42</v>
      </c>
      <c r="G146" s="804">
        <v>42.28</v>
      </c>
      <c r="H146" s="804">
        <v>16.420000000000002</v>
      </c>
      <c r="I146" s="788">
        <f t="shared" si="23"/>
        <v>0.15559833172922685</v>
      </c>
      <c r="J146" s="800"/>
    </row>
    <row r="147" spans="2:17" ht="16.2">
      <c r="B147" s="623" t="s">
        <v>607</v>
      </c>
      <c r="C147" s="618" t="s">
        <v>591</v>
      </c>
      <c r="D147" s="1157">
        <v>44.76</v>
      </c>
      <c r="E147" s="804">
        <v>42.41</v>
      </c>
      <c r="F147" s="804">
        <v>49.72</v>
      </c>
      <c r="G147" s="804">
        <v>38.729999999999997</v>
      </c>
      <c r="H147" s="804">
        <v>47.06</v>
      </c>
      <c r="I147" s="788">
        <f t="shared" si="23"/>
        <v>5.541145956142423E-2</v>
      </c>
      <c r="J147" s="800"/>
    </row>
    <row r="148" spans="2:17" ht="18.600000000000001">
      <c r="B148" s="623" t="s">
        <v>887</v>
      </c>
      <c r="C148" s="618" t="s">
        <v>574</v>
      </c>
      <c r="D148" s="781">
        <v>0.875</v>
      </c>
      <c r="E148" s="1156">
        <v>0.86</v>
      </c>
      <c r="F148" s="1156">
        <v>0.85</v>
      </c>
      <c r="G148" s="682">
        <v>0.85</v>
      </c>
      <c r="H148" s="682">
        <v>0.82</v>
      </c>
      <c r="I148" s="788">
        <f t="shared" si="23"/>
        <v>1.7441860465116296E-2</v>
      </c>
      <c r="J148" s="800"/>
    </row>
    <row r="149" spans="2:17" ht="18.600000000000001">
      <c r="B149" s="706" t="s">
        <v>888</v>
      </c>
      <c r="C149" s="618" t="s">
        <v>574</v>
      </c>
      <c r="D149" s="781">
        <v>0.67500000000000004</v>
      </c>
      <c r="E149" s="1156">
        <v>0.36</v>
      </c>
      <c r="F149" s="1156">
        <v>0.34</v>
      </c>
      <c r="G149" s="682">
        <v>0.36</v>
      </c>
      <c r="H149" s="682">
        <v>0.32</v>
      </c>
      <c r="I149" s="788">
        <f t="shared" si="23"/>
        <v>0.87500000000000022</v>
      </c>
      <c r="J149" s="800"/>
    </row>
    <row r="150" spans="2:17" ht="16.2">
      <c r="B150" s="706" t="s">
        <v>610</v>
      </c>
      <c r="C150" s="618" t="s">
        <v>574</v>
      </c>
      <c r="D150" s="781">
        <v>0.8</v>
      </c>
      <c r="E150" s="1156">
        <v>0.56999999999999995</v>
      </c>
      <c r="F150" s="1156">
        <v>0.56000000000000005</v>
      </c>
      <c r="G150" s="682">
        <v>0.54</v>
      </c>
      <c r="H150" s="682">
        <v>0.53</v>
      </c>
      <c r="I150" s="788">
        <f t="shared" si="23"/>
        <v>0.40350877192982476</v>
      </c>
      <c r="J150" s="800"/>
    </row>
    <row r="151" spans="2:17" ht="13.8">
      <c r="B151" s="126"/>
      <c r="C151" s="583"/>
      <c r="D151" s="784"/>
      <c r="E151" s="805"/>
      <c r="F151" s="805"/>
      <c r="G151" s="805"/>
      <c r="H151" s="806"/>
      <c r="I151" s="800"/>
      <c r="J151" s="800"/>
    </row>
    <row r="152" spans="2:17" ht="17.399999999999999">
      <c r="B152" s="932" t="s">
        <v>889</v>
      </c>
      <c r="C152" s="822" t="s">
        <v>544</v>
      </c>
      <c r="D152" s="921" t="s">
        <v>545</v>
      </c>
      <c r="E152" s="927" t="str">
        <f>E35</f>
        <v>2022/23</v>
      </c>
      <c r="F152" s="927" t="str">
        <f>F35</f>
        <v>2021/22</v>
      </c>
      <c r="G152" s="927" t="str">
        <f>G35</f>
        <v>2020/21</v>
      </c>
      <c r="H152" s="927" t="str">
        <f>H35</f>
        <v>2019/20</v>
      </c>
      <c r="I152" s="807"/>
      <c r="J152" s="807"/>
      <c r="K152" s="128"/>
      <c r="L152" s="107"/>
      <c r="Q152" s="107"/>
    </row>
    <row r="153" spans="2:17" ht="16.2">
      <c r="B153" s="705" t="s">
        <v>890</v>
      </c>
      <c r="C153" s="829" t="s">
        <v>891</v>
      </c>
      <c r="D153" s="668">
        <v>107900</v>
      </c>
      <c r="E153" s="687">
        <v>108126.3428</v>
      </c>
      <c r="F153" s="687">
        <v>109536.2596</v>
      </c>
      <c r="G153" s="687">
        <v>106223.33839999999</v>
      </c>
      <c r="H153" s="687">
        <v>113152.4921</v>
      </c>
      <c r="I153" s="807"/>
      <c r="J153" s="807"/>
      <c r="K153" s="128"/>
      <c r="L153" s="107"/>
      <c r="Q153" s="107"/>
    </row>
    <row r="154" spans="2:17" ht="13.8">
      <c r="B154" s="608" t="s">
        <v>892</v>
      </c>
      <c r="C154" s="829" t="s">
        <v>893</v>
      </c>
      <c r="D154" s="1221">
        <v>12843</v>
      </c>
      <c r="E154" s="1222">
        <v>14933</v>
      </c>
      <c r="F154" s="1222">
        <v>16025</v>
      </c>
      <c r="G154" s="1222">
        <v>15435</v>
      </c>
      <c r="H154" s="1222">
        <v>14577</v>
      </c>
      <c r="I154" s="140"/>
      <c r="J154" s="140"/>
      <c r="K154" s="128"/>
      <c r="L154" s="107"/>
      <c r="Q154" s="107"/>
    </row>
    <row r="155" spans="2:17" ht="13.8">
      <c r="B155" s="125"/>
      <c r="C155" s="828"/>
      <c r="D155" s="785"/>
      <c r="E155" s="126"/>
      <c r="F155" s="126"/>
      <c r="G155" s="126"/>
      <c r="H155" s="127"/>
      <c r="I155" s="127"/>
      <c r="J155" s="127"/>
      <c r="K155" s="128"/>
      <c r="L155" s="128"/>
    </row>
    <row r="156" spans="2:17" ht="17.399999999999999">
      <c r="B156" s="780" t="s">
        <v>841</v>
      </c>
      <c r="C156" s="831" t="s">
        <v>544</v>
      </c>
      <c r="D156" s="921" t="s">
        <v>545</v>
      </c>
      <c r="E156" s="927" t="s">
        <v>546</v>
      </c>
      <c r="Q156" s="107"/>
    </row>
    <row r="157" spans="2:17" ht="32.4">
      <c r="B157" s="613" t="s">
        <v>381</v>
      </c>
      <c r="C157" s="618" t="s">
        <v>894</v>
      </c>
      <c r="D157" s="1073">
        <v>1</v>
      </c>
      <c r="E157" s="804">
        <v>1</v>
      </c>
      <c r="Q157" s="107"/>
    </row>
    <row r="158" spans="2:17" ht="16.2">
      <c r="B158" s="623" t="s">
        <v>843</v>
      </c>
      <c r="C158" s="618" t="s">
        <v>845</v>
      </c>
      <c r="D158" s="692">
        <v>0</v>
      </c>
      <c r="E158" s="687">
        <v>0</v>
      </c>
    </row>
    <row r="159" spans="2:17" ht="13.8"/>
    <row r="160" spans="2:17" ht="13.8"/>
    <row r="161" spans="9:12" ht="13.8"/>
    <row r="162" spans="9:12" ht="13.8"/>
    <row r="163" spans="9:12" ht="13.8"/>
    <row r="164" spans="9:12" ht="13.8">
      <c r="I164" s="107"/>
    </row>
    <row r="165" spans="9:12" ht="13.8">
      <c r="L165" s="107"/>
    </row>
    <row r="166" spans="9:12" ht="13.8"/>
  </sheetData>
  <sheetProtection algorithmName="SHA-512" hashValue="54Vj3Df2SmYpurpa7VbFiJ5My9pYbQDc8DLryEmUQfPnv1+yFN4GV2L4AUDll/+Fbzm9pJ+TBrrzQzun4ErnzA==" saltValue="UQ7B5d9xsISqUkgvmlV7Ag==" spinCount="100000" sheet="1" objects="1" scenarios="1"/>
  <mergeCells count="7">
    <mergeCell ref="B4:I4"/>
    <mergeCell ref="H79:J79"/>
    <mergeCell ref="H6:J6"/>
    <mergeCell ref="B8:B9"/>
    <mergeCell ref="C8:C9"/>
    <mergeCell ref="B49:B50"/>
    <mergeCell ref="C49:C50"/>
  </mergeCells>
  <phoneticPr fontId="3" type="noConversion"/>
  <pageMargins left="0.23622047244094491" right="0.23622047244094491" top="0.74803149606299213" bottom="0.74803149606299213" header="0.31496062992125984" footer="0.31496062992125984"/>
  <pageSetup paperSize="9" scale="48" fitToHeight="0" orientation="landscape" r:id="rId1"/>
  <rowBreaks count="2" manualBreakCount="2">
    <brk id="45" min="1" max="8" man="1"/>
    <brk id="100" min="1" max="8"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53C5-3E4C-400D-86F1-0714C04F89B5}">
  <sheetPr>
    <tabColor theme="7"/>
    <pageSetUpPr fitToPage="1"/>
  </sheetPr>
  <dimension ref="A1:W160"/>
  <sheetViews>
    <sheetView zoomScale="80" zoomScaleNormal="80" workbookViewId="0"/>
  </sheetViews>
  <sheetFormatPr defaultColWidth="8.88671875" defaultRowHeight="13.8"/>
  <cols>
    <col min="1" max="1" width="8.88671875" style="2" customWidth="1"/>
    <col min="2" max="2" width="95.88671875" style="15" bestFit="1" customWidth="1"/>
    <col min="3" max="3" width="15.554687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1" width="14.88671875" style="15" customWidth="1"/>
    <col min="12" max="12" width="14.44140625" style="15" customWidth="1"/>
    <col min="13" max="13" width="13.88671875" style="15" customWidth="1"/>
    <col min="14" max="14" width="16.5546875" style="15" customWidth="1"/>
    <col min="15" max="15" width="13.44140625" style="15" bestFit="1" customWidth="1"/>
    <col min="16" max="16" width="13.5546875" style="2" customWidth="1"/>
    <col min="17" max="17" width="9.109375" style="2" customWidth="1"/>
    <col min="18" max="18" width="12.44140625" style="2" customWidth="1"/>
    <col min="19" max="19" width="13.6640625" style="2" customWidth="1"/>
    <col min="20" max="16384" width="8.88671875" style="2"/>
  </cols>
  <sheetData>
    <row r="1" spans="1:18" ht="35.4">
      <c r="A1" s="66"/>
    </row>
    <row r="2" spans="1:18" ht="74.099999999999994" customHeight="1">
      <c r="A2" s="66"/>
      <c r="B2" s="654" t="s">
        <v>25</v>
      </c>
      <c r="C2" s="654"/>
      <c r="D2" s="654"/>
      <c r="E2" s="654"/>
      <c r="F2" s="654"/>
      <c r="G2" s="654"/>
      <c r="H2" s="654"/>
      <c r="I2" s="654"/>
      <c r="J2" s="654"/>
      <c r="K2" s="654"/>
      <c r="L2" s="654"/>
      <c r="M2" s="654"/>
      <c r="N2" s="654"/>
      <c r="O2" s="654"/>
      <c r="P2" s="654"/>
      <c r="Q2" s="654"/>
      <c r="R2" s="654"/>
    </row>
    <row r="4" spans="1:18" ht="22.5" customHeight="1">
      <c r="B4" s="1480" t="s">
        <v>895</v>
      </c>
      <c r="C4" s="1480"/>
      <c r="D4" s="1480"/>
      <c r="E4" s="1480"/>
      <c r="F4" s="1480"/>
      <c r="G4" s="1480"/>
      <c r="H4" s="1480"/>
      <c r="I4" s="1480"/>
      <c r="J4" s="1480"/>
      <c r="K4" s="1480"/>
      <c r="L4" s="1480"/>
      <c r="M4" s="655"/>
      <c r="O4" s="655"/>
    </row>
    <row r="5" spans="1:18">
      <c r="B5" s="493"/>
      <c r="C5" s="493"/>
      <c r="D5" s="493"/>
      <c r="E5" s="493"/>
      <c r="F5" s="493"/>
      <c r="G5" s="493"/>
      <c r="H5" s="493"/>
      <c r="I5" s="493"/>
      <c r="J5" s="493"/>
      <c r="K5" s="493"/>
      <c r="L5" s="493"/>
      <c r="M5" s="493"/>
      <c r="O5" s="493"/>
    </row>
    <row r="6" spans="1:18" ht="17.399999999999999">
      <c r="B6" s="937" t="s">
        <v>896</v>
      </c>
      <c r="C6" s="914" t="s">
        <v>545</v>
      </c>
      <c r="D6" s="938" t="s">
        <v>546</v>
      </c>
      <c r="E6" s="938" t="s">
        <v>547</v>
      </c>
      <c r="F6" s="938" t="s">
        <v>548</v>
      </c>
      <c r="G6" s="67"/>
      <c r="H6" s="67"/>
      <c r="I6" s="67"/>
      <c r="J6" s="67"/>
      <c r="K6" s="67"/>
      <c r="L6" s="67"/>
      <c r="M6" s="67"/>
    </row>
    <row r="7" spans="1:18" ht="17.399999999999999">
      <c r="B7" s="1054" t="s">
        <v>897</v>
      </c>
      <c r="C7" s="996">
        <f>C8+C11+C12</f>
        <v>13863</v>
      </c>
      <c r="D7" s="715">
        <f>D8+D11+D12</f>
        <v>14472</v>
      </c>
      <c r="E7" s="715">
        <f>E8+E11+E12</f>
        <v>14345</v>
      </c>
      <c r="F7" s="715">
        <f>F8+F11+F12</f>
        <v>14583</v>
      </c>
      <c r="G7" s="67"/>
      <c r="H7" s="67"/>
      <c r="I7" s="67"/>
      <c r="J7" s="67"/>
      <c r="K7" s="67"/>
      <c r="L7" s="67"/>
      <c r="M7" s="67"/>
      <c r="O7" s="67"/>
    </row>
    <row r="8" spans="1:18" ht="16.2">
      <c r="A8" s="987"/>
      <c r="B8" s="986" t="s">
        <v>898</v>
      </c>
      <c r="C8" s="997">
        <v>11685</v>
      </c>
      <c r="D8" s="603">
        <f>H36</f>
        <v>12638</v>
      </c>
      <c r="E8" s="603">
        <f>K36</f>
        <v>13430</v>
      </c>
      <c r="F8" s="603">
        <f>N36</f>
        <v>13641</v>
      </c>
      <c r="G8" s="67"/>
      <c r="H8" s="67"/>
      <c r="I8" s="67"/>
      <c r="J8" s="67"/>
      <c r="K8" s="67"/>
      <c r="L8" s="67"/>
      <c r="M8" s="67"/>
      <c r="O8" s="67"/>
    </row>
    <row r="9" spans="1:18" ht="16.2">
      <c r="A9" s="987"/>
      <c r="B9" s="1056" t="s">
        <v>899</v>
      </c>
      <c r="C9" s="997">
        <v>11390</v>
      </c>
      <c r="D9" s="603">
        <v>12315</v>
      </c>
      <c r="E9" s="1084"/>
      <c r="F9" s="1084"/>
      <c r="G9" s="67"/>
      <c r="H9" s="67"/>
      <c r="I9" s="67"/>
      <c r="J9" s="67"/>
      <c r="K9" s="67"/>
      <c r="L9" s="67"/>
      <c r="M9" s="67"/>
      <c r="O9" s="67"/>
    </row>
    <row r="10" spans="1:18" ht="16.2">
      <c r="A10" s="987"/>
      <c r="B10" s="1056" t="s">
        <v>900</v>
      </c>
      <c r="C10" s="997">
        <v>295</v>
      </c>
      <c r="D10" s="603">
        <v>323</v>
      </c>
      <c r="E10" s="1084"/>
      <c r="F10" s="1084"/>
      <c r="G10" s="67"/>
      <c r="H10" s="67"/>
      <c r="I10" s="67"/>
      <c r="J10" s="67"/>
      <c r="K10" s="67"/>
      <c r="L10" s="67"/>
      <c r="M10" s="67"/>
      <c r="O10" s="67"/>
    </row>
    <row r="11" spans="1:18" ht="16.2">
      <c r="A11" s="52"/>
      <c r="B11" s="986" t="s">
        <v>901</v>
      </c>
      <c r="C11" s="998">
        <v>905</v>
      </c>
      <c r="D11" s="990">
        <v>949</v>
      </c>
      <c r="E11" s="1085"/>
      <c r="F11" s="1085"/>
      <c r="G11" s="67"/>
      <c r="H11" s="67"/>
      <c r="I11" s="67"/>
      <c r="J11" s="67"/>
      <c r="K11" s="67"/>
      <c r="L11" s="67"/>
      <c r="M11" s="67"/>
      <c r="O11" s="67"/>
    </row>
    <row r="12" spans="1:18" ht="16.2">
      <c r="A12" s="52"/>
      <c r="B12" s="986" t="s">
        <v>902</v>
      </c>
      <c r="C12" s="998">
        <v>1273</v>
      </c>
      <c r="D12" s="716">
        <v>885</v>
      </c>
      <c r="E12" s="716">
        <v>915</v>
      </c>
      <c r="F12" s="716">
        <v>942</v>
      </c>
      <c r="G12" s="988"/>
      <c r="H12" s="493"/>
      <c r="I12" s="493"/>
      <c r="J12" s="493"/>
      <c r="K12" s="493"/>
      <c r="L12" s="493"/>
      <c r="M12" s="493"/>
      <c r="N12" s="493"/>
      <c r="O12" s="493"/>
    </row>
    <row r="13" spans="1:18">
      <c r="B13" s="67"/>
      <c r="C13" s="67"/>
      <c r="D13" s="67"/>
      <c r="E13" s="67"/>
      <c r="F13" s="67"/>
      <c r="G13" s="67"/>
      <c r="H13" s="67"/>
      <c r="I13" s="67"/>
      <c r="J13" s="67"/>
      <c r="K13" s="67"/>
      <c r="L13" s="67"/>
      <c r="M13" s="67"/>
      <c r="N13" s="67"/>
      <c r="O13" s="67"/>
    </row>
    <row r="14" spans="1:18" ht="29.1" customHeight="1">
      <c r="B14" s="939" t="s">
        <v>903</v>
      </c>
      <c r="C14" s="1452" t="s">
        <v>545</v>
      </c>
      <c r="D14" s="1452"/>
      <c r="E14" s="1452"/>
      <c r="F14" s="1454" t="s">
        <v>546</v>
      </c>
      <c r="G14" s="1454"/>
      <c r="H14" s="1454"/>
      <c r="I14" s="1454" t="s">
        <v>547</v>
      </c>
      <c r="J14" s="1454"/>
      <c r="K14" s="1454"/>
      <c r="L14" s="1454" t="s">
        <v>548</v>
      </c>
      <c r="M14" s="1454"/>
      <c r="N14" s="1454"/>
      <c r="O14" s="1463" t="s">
        <v>904</v>
      </c>
      <c r="Q14" s="67"/>
      <c r="R14" s="67"/>
    </row>
    <row r="15" spans="1:18" ht="29.1" customHeight="1">
      <c r="A15" s="15"/>
      <c r="B15" s="585" t="s">
        <v>905</v>
      </c>
      <c r="C15" s="588" t="s">
        <v>906</v>
      </c>
      <c r="D15" s="588" t="s">
        <v>907</v>
      </c>
      <c r="E15" s="588" t="s">
        <v>709</v>
      </c>
      <c r="F15" s="588" t="s">
        <v>906</v>
      </c>
      <c r="G15" s="588" t="s">
        <v>907</v>
      </c>
      <c r="H15" s="588" t="s">
        <v>709</v>
      </c>
      <c r="I15" s="588" t="s">
        <v>906</v>
      </c>
      <c r="J15" s="588" t="s">
        <v>907</v>
      </c>
      <c r="K15" s="588" t="s">
        <v>709</v>
      </c>
      <c r="L15" s="588" t="s">
        <v>906</v>
      </c>
      <c r="M15" s="588" t="s">
        <v>907</v>
      </c>
      <c r="N15" s="588" t="s">
        <v>709</v>
      </c>
      <c r="O15" s="1463"/>
      <c r="Q15" s="98" t="s">
        <v>908</v>
      </c>
    </row>
    <row r="16" spans="1:18" ht="16.2" hidden="1">
      <c r="A16" s="15"/>
      <c r="B16" s="589" t="s">
        <v>909</v>
      </c>
      <c r="C16" s="590"/>
      <c r="D16" s="590"/>
      <c r="E16" s="590"/>
      <c r="F16" s="590"/>
      <c r="G16" s="590"/>
      <c r="H16" s="590"/>
      <c r="I16" s="590"/>
      <c r="J16" s="590"/>
      <c r="K16" s="590"/>
      <c r="L16" s="590"/>
      <c r="M16" s="590"/>
      <c r="N16" s="590"/>
      <c r="O16" s="645"/>
      <c r="P16" s="98"/>
      <c r="Q16" s="98"/>
    </row>
    <row r="17" spans="1:23" ht="16.2" hidden="1">
      <c r="A17" s="15"/>
      <c r="B17" s="596" t="s">
        <v>910</v>
      </c>
      <c r="C17" s="597"/>
      <c r="D17" s="597"/>
      <c r="E17" s="597"/>
      <c r="F17" s="1469">
        <v>1116</v>
      </c>
      <c r="G17" s="1469">
        <v>2798</v>
      </c>
      <c r="H17" s="1469">
        <f>SUM(F17:G17)</f>
        <v>3914</v>
      </c>
      <c r="I17" s="1469">
        <v>2333</v>
      </c>
      <c r="J17" s="1469">
        <v>4901</v>
      </c>
      <c r="K17" s="1469">
        <f>SUM(I17:J17)</f>
        <v>7234</v>
      </c>
      <c r="L17" s="1469">
        <v>2344</v>
      </c>
      <c r="M17" s="1469">
        <v>5229</v>
      </c>
      <c r="N17" s="1469">
        <f>L17+M17</f>
        <v>7573</v>
      </c>
      <c r="O17" s="645">
        <f t="shared" ref="O17:O22" si="0">F17/H17</f>
        <v>0.28513030148185997</v>
      </c>
      <c r="P17" s="1470"/>
      <c r="Q17" s="1470"/>
      <c r="R17" s="2" t="str">
        <f>B17</f>
        <v xml:space="preserve">UK </v>
      </c>
      <c r="S17" s="95">
        <f>H17+H24</f>
        <v>4079</v>
      </c>
    </row>
    <row r="18" spans="1:23" ht="16.2" hidden="1">
      <c r="A18" s="15"/>
      <c r="B18" s="596" t="s">
        <v>911</v>
      </c>
      <c r="C18" s="597"/>
      <c r="D18" s="597"/>
      <c r="E18" s="597"/>
      <c r="F18" s="1469">
        <v>1088</v>
      </c>
      <c r="G18" s="1469">
        <v>1602</v>
      </c>
      <c r="H18" s="1469">
        <f>SUM(F18:G18)</f>
        <v>2690</v>
      </c>
      <c r="I18" s="1469"/>
      <c r="J18" s="1469"/>
      <c r="K18" s="1469"/>
      <c r="L18" s="1469"/>
      <c r="M18" s="1469"/>
      <c r="N18" s="1469"/>
      <c r="O18" s="645">
        <f t="shared" si="0"/>
        <v>0.40446096654275093</v>
      </c>
      <c r="P18" s="1471"/>
      <c r="Q18" s="1471"/>
      <c r="R18" s="2" t="str">
        <f>B18</f>
        <v>Rest of Europe</v>
      </c>
      <c r="S18" s="95">
        <f>H18+H25</f>
        <v>2858</v>
      </c>
    </row>
    <row r="19" spans="1:23" ht="16.2" hidden="1">
      <c r="A19" s="15"/>
      <c r="B19" s="596" t="s">
        <v>912</v>
      </c>
      <c r="C19" s="597"/>
      <c r="D19" s="597"/>
      <c r="E19" s="597"/>
      <c r="F19" s="597">
        <v>554</v>
      </c>
      <c r="G19" s="597">
        <v>1606</v>
      </c>
      <c r="H19" s="597">
        <f>SUM(F19:G19)</f>
        <v>2160</v>
      </c>
      <c r="I19" s="597">
        <v>685</v>
      </c>
      <c r="J19" s="597">
        <v>2076</v>
      </c>
      <c r="K19" s="597">
        <f>SUM(I19:J19)</f>
        <v>2761</v>
      </c>
      <c r="L19" s="597">
        <v>660</v>
      </c>
      <c r="M19" s="597">
        <v>2078</v>
      </c>
      <c r="N19" s="597">
        <f>L19+M19</f>
        <v>2738</v>
      </c>
      <c r="O19" s="645">
        <f t="shared" si="0"/>
        <v>0.25648148148148148</v>
      </c>
      <c r="P19" s="100"/>
      <c r="Q19" s="100"/>
      <c r="R19" s="2" t="str">
        <f>B19</f>
        <v>North America</v>
      </c>
      <c r="S19" s="95">
        <f>H19+H26</f>
        <v>2186</v>
      </c>
    </row>
    <row r="20" spans="1:23" ht="16.2" hidden="1">
      <c r="A20" s="15"/>
      <c r="B20" s="596" t="s">
        <v>913</v>
      </c>
      <c r="C20" s="597"/>
      <c r="D20" s="597"/>
      <c r="E20" s="597"/>
      <c r="F20" s="597">
        <v>537</v>
      </c>
      <c r="G20" s="597">
        <v>1902</v>
      </c>
      <c r="H20" s="597">
        <f>SUM(F20:G20)</f>
        <v>2439</v>
      </c>
      <c r="I20" s="597">
        <v>510</v>
      </c>
      <c r="J20" s="597">
        <v>1965</v>
      </c>
      <c r="K20" s="597">
        <f>SUM(I20:J20)</f>
        <v>2475</v>
      </c>
      <c r="L20" s="597">
        <v>441</v>
      </c>
      <c r="M20" s="597">
        <v>1913</v>
      </c>
      <c r="N20" s="597">
        <f>L20+M20</f>
        <v>2354</v>
      </c>
      <c r="O20" s="645">
        <f t="shared" si="0"/>
        <v>0.22017220172201721</v>
      </c>
      <c r="P20" s="100"/>
      <c r="Q20" s="100"/>
      <c r="R20" s="2" t="str">
        <f>B20</f>
        <v>Asia</v>
      </c>
      <c r="S20" s="95">
        <f>H20+H27</f>
        <v>2459</v>
      </c>
    </row>
    <row r="21" spans="1:23" ht="16.2" hidden="1">
      <c r="A21" s="15"/>
      <c r="B21" s="596" t="s">
        <v>914</v>
      </c>
      <c r="C21" s="597"/>
      <c r="D21" s="597"/>
      <c r="E21" s="597"/>
      <c r="F21" s="597">
        <v>280</v>
      </c>
      <c r="G21" s="597">
        <v>701</v>
      </c>
      <c r="H21" s="597">
        <f>SUM(F21:G21)</f>
        <v>981</v>
      </c>
      <c r="I21" s="597">
        <v>200</v>
      </c>
      <c r="J21" s="597">
        <v>410</v>
      </c>
      <c r="K21" s="597">
        <f>SUM(I21:J21)</f>
        <v>610</v>
      </c>
      <c r="L21" s="597">
        <v>198</v>
      </c>
      <c r="M21" s="597">
        <v>396</v>
      </c>
      <c r="N21" s="597">
        <f>L21+M21</f>
        <v>594</v>
      </c>
      <c r="O21" s="645">
        <f t="shared" si="0"/>
        <v>0.2854230377166157</v>
      </c>
      <c r="P21" s="100"/>
      <c r="Q21" s="100"/>
      <c r="R21" s="2" t="str">
        <f>B21</f>
        <v>Rest of World</v>
      </c>
      <c r="S21" s="95">
        <f>H21+H28</f>
        <v>1056</v>
      </c>
    </row>
    <row r="22" spans="1:23" ht="16.2" hidden="1">
      <c r="A22" s="15"/>
      <c r="B22" s="598" t="s">
        <v>915</v>
      </c>
      <c r="C22" s="597"/>
      <c r="D22" s="597"/>
      <c r="E22" s="597"/>
      <c r="F22" s="597">
        <f t="shared" ref="F22:N22" si="1">SUM(F17:F21)</f>
        <v>3575</v>
      </c>
      <c r="G22" s="597">
        <f t="shared" si="1"/>
        <v>8609</v>
      </c>
      <c r="H22" s="597">
        <f t="shared" si="1"/>
        <v>12184</v>
      </c>
      <c r="I22" s="597">
        <f t="shared" si="1"/>
        <v>3728</v>
      </c>
      <c r="J22" s="597">
        <f t="shared" si="1"/>
        <v>9352</v>
      </c>
      <c r="K22" s="597">
        <f t="shared" si="1"/>
        <v>13080</v>
      </c>
      <c r="L22" s="597">
        <f t="shared" si="1"/>
        <v>3643</v>
      </c>
      <c r="M22" s="597">
        <f t="shared" si="1"/>
        <v>9616</v>
      </c>
      <c r="N22" s="597">
        <f t="shared" si="1"/>
        <v>13259</v>
      </c>
      <c r="O22" s="645">
        <f t="shared" si="0"/>
        <v>0.29341759684832569</v>
      </c>
      <c r="P22" s="101"/>
      <c r="Q22" s="101"/>
      <c r="S22" s="95"/>
    </row>
    <row r="23" spans="1:23" ht="16.2" hidden="1">
      <c r="A23" s="15"/>
      <c r="B23" s="589" t="s">
        <v>916</v>
      </c>
      <c r="C23" s="593"/>
      <c r="D23" s="593"/>
      <c r="E23" s="593"/>
      <c r="F23" s="593"/>
      <c r="G23" s="593"/>
      <c r="H23" s="593"/>
      <c r="I23" s="593"/>
      <c r="J23" s="593"/>
      <c r="K23" s="593"/>
      <c r="L23" s="593"/>
      <c r="M23" s="593"/>
      <c r="N23" s="593"/>
      <c r="O23" s="645"/>
      <c r="P23" s="98"/>
      <c r="Q23" s="98"/>
    </row>
    <row r="24" spans="1:23" ht="16.2" hidden="1">
      <c r="A24" s="15"/>
      <c r="B24" s="596" t="s">
        <v>910</v>
      </c>
      <c r="C24" s="597"/>
      <c r="D24" s="597"/>
      <c r="E24" s="597"/>
      <c r="F24" s="1469">
        <v>64</v>
      </c>
      <c r="G24" s="1469">
        <v>101</v>
      </c>
      <c r="H24" s="1469">
        <f>SUM(F24:G24)</f>
        <v>165</v>
      </c>
      <c r="I24" s="1469">
        <v>102</v>
      </c>
      <c r="J24" s="1469">
        <v>104</v>
      </c>
      <c r="K24" s="1469">
        <f>SUM(I24:J24)</f>
        <v>206</v>
      </c>
      <c r="L24" s="1469">
        <v>103</v>
      </c>
      <c r="M24" s="1469">
        <v>154</v>
      </c>
      <c r="N24" s="1469">
        <f>L24+M24</f>
        <v>257</v>
      </c>
      <c r="O24" s="645">
        <f t="shared" ref="O24:O29" si="2">F24/H24</f>
        <v>0.38787878787878788</v>
      </c>
      <c r="P24" s="98"/>
      <c r="Q24" s="98"/>
      <c r="R24" t="s">
        <v>917</v>
      </c>
      <c r="S24" s="384">
        <v>0.54900000000000004</v>
      </c>
      <c r="T24" s="385">
        <v>0.55000000000000004</v>
      </c>
    </row>
    <row r="25" spans="1:23" ht="16.2" hidden="1">
      <c r="A25" s="15"/>
      <c r="B25" s="596" t="s">
        <v>911</v>
      </c>
      <c r="C25" s="597"/>
      <c r="D25" s="597"/>
      <c r="E25" s="597"/>
      <c r="F25" s="1469">
        <v>77</v>
      </c>
      <c r="G25" s="1469">
        <v>91</v>
      </c>
      <c r="H25" s="1469">
        <f>SUM(F25:G25)</f>
        <v>168</v>
      </c>
      <c r="I25" s="1469"/>
      <c r="J25" s="1469"/>
      <c r="K25" s="1469"/>
      <c r="L25" s="1469"/>
      <c r="M25" s="1469"/>
      <c r="N25" s="1469"/>
      <c r="O25" s="645">
        <f t="shared" si="2"/>
        <v>0.45833333333333331</v>
      </c>
      <c r="P25" s="99"/>
      <c r="Q25" s="99"/>
      <c r="R25" s="2" t="s">
        <v>918</v>
      </c>
      <c r="S25" s="384">
        <v>8.3000000000000004E-2</v>
      </c>
      <c r="T25" s="385">
        <v>0.08</v>
      </c>
    </row>
    <row r="26" spans="1:23" ht="16.2" hidden="1">
      <c r="A26" s="15"/>
      <c r="B26" s="596" t="s">
        <v>912</v>
      </c>
      <c r="C26" s="597"/>
      <c r="D26" s="597"/>
      <c r="E26" s="597"/>
      <c r="F26" s="597">
        <v>13</v>
      </c>
      <c r="G26" s="597">
        <v>13</v>
      </c>
      <c r="H26" s="597">
        <f>SUM(F26:G26)</f>
        <v>26</v>
      </c>
      <c r="I26" s="597">
        <v>30</v>
      </c>
      <c r="J26" s="597">
        <v>44</v>
      </c>
      <c r="K26" s="597">
        <f>SUM(I26:J26)</f>
        <v>74</v>
      </c>
      <c r="L26" s="597">
        <v>4</v>
      </c>
      <c r="M26" s="597">
        <v>51</v>
      </c>
      <c r="N26" s="597">
        <f>L26+M26</f>
        <v>55</v>
      </c>
      <c r="O26" s="645">
        <f t="shared" si="2"/>
        <v>0.5</v>
      </c>
      <c r="P26" s="99"/>
      <c r="Q26" s="99"/>
      <c r="R26" s="2" t="s">
        <v>919</v>
      </c>
      <c r="S26" s="384">
        <v>0.111</v>
      </c>
      <c r="T26" s="385">
        <v>0.11</v>
      </c>
    </row>
    <row r="27" spans="1:23" ht="16.2" hidden="1">
      <c r="A27" s="15"/>
      <c r="B27" s="596" t="s">
        <v>913</v>
      </c>
      <c r="C27" s="597"/>
      <c r="D27" s="597"/>
      <c r="E27" s="597"/>
      <c r="F27" s="597">
        <v>10</v>
      </c>
      <c r="G27" s="597">
        <v>10</v>
      </c>
      <c r="H27" s="597">
        <f>SUM(F27:G27)</f>
        <v>20</v>
      </c>
      <c r="I27" s="597">
        <v>10</v>
      </c>
      <c r="J27" s="597">
        <v>12</v>
      </c>
      <c r="K27" s="597">
        <f>SUM(I27:J27)</f>
        <v>22</v>
      </c>
      <c r="L27" s="597">
        <v>14</v>
      </c>
      <c r="M27" s="597">
        <v>13</v>
      </c>
      <c r="N27" s="597">
        <f>L27+M27</f>
        <v>27</v>
      </c>
      <c r="O27" s="645">
        <f t="shared" si="2"/>
        <v>0.5</v>
      </c>
      <c r="P27" s="99"/>
      <c r="Q27" s="99"/>
      <c r="R27" s="2" t="s">
        <v>912</v>
      </c>
      <c r="S27" s="384">
        <v>0.17299999999999999</v>
      </c>
      <c r="T27" s="385">
        <v>0.17</v>
      </c>
    </row>
    <row r="28" spans="1:23" ht="16.2" hidden="1">
      <c r="A28" s="15"/>
      <c r="B28" s="596" t="s">
        <v>914</v>
      </c>
      <c r="C28" s="597"/>
      <c r="D28" s="597"/>
      <c r="E28" s="597"/>
      <c r="F28" s="597">
        <v>34</v>
      </c>
      <c r="G28" s="597">
        <v>41</v>
      </c>
      <c r="H28" s="597">
        <f>SUM(F28:G28)</f>
        <v>75</v>
      </c>
      <c r="I28" s="597">
        <v>28</v>
      </c>
      <c r="J28" s="597">
        <v>20</v>
      </c>
      <c r="K28" s="597">
        <f>SUM(I28:J28)</f>
        <v>48</v>
      </c>
      <c r="L28" s="597">
        <v>19</v>
      </c>
      <c r="M28" s="597">
        <v>24</v>
      </c>
      <c r="N28" s="597">
        <f>L28+M28</f>
        <v>43</v>
      </c>
      <c r="O28" s="645">
        <f t="shared" si="2"/>
        <v>0.45333333333333331</v>
      </c>
      <c r="P28" s="99"/>
      <c r="Q28" s="99"/>
      <c r="R28" s="2" t="s">
        <v>914</v>
      </c>
      <c r="S28" s="384">
        <v>8.4000000000000005E-2</v>
      </c>
      <c r="T28" s="385">
        <v>0.09</v>
      </c>
    </row>
    <row r="29" spans="1:23" ht="16.2" hidden="1">
      <c r="A29" s="15"/>
      <c r="B29" s="598" t="s">
        <v>915</v>
      </c>
      <c r="C29" s="597"/>
      <c r="D29" s="597"/>
      <c r="E29" s="597"/>
      <c r="F29" s="597">
        <f t="shared" ref="F29:M29" si="3">SUM(F24:F28)</f>
        <v>198</v>
      </c>
      <c r="G29" s="597">
        <f t="shared" si="3"/>
        <v>256</v>
      </c>
      <c r="H29" s="597">
        <f t="shared" si="3"/>
        <v>454</v>
      </c>
      <c r="I29" s="597">
        <f t="shared" si="3"/>
        <v>170</v>
      </c>
      <c r="J29" s="597">
        <f t="shared" si="3"/>
        <v>180</v>
      </c>
      <c r="K29" s="597">
        <f t="shared" si="3"/>
        <v>350</v>
      </c>
      <c r="L29" s="597">
        <f t="shared" si="3"/>
        <v>140</v>
      </c>
      <c r="M29" s="597">
        <f t="shared" si="3"/>
        <v>242</v>
      </c>
      <c r="N29" s="597">
        <f>L29+M29</f>
        <v>382</v>
      </c>
      <c r="O29" s="645">
        <f t="shared" si="2"/>
        <v>0.43612334801762115</v>
      </c>
      <c r="P29" s="67"/>
      <c r="Q29" s="67"/>
      <c r="S29" s="384">
        <f>SUM(S24:S28)</f>
        <v>0.99999999999999989</v>
      </c>
      <c r="T29" s="348">
        <f>SUM(T24:T28)</f>
        <v>1</v>
      </c>
    </row>
    <row r="30" spans="1:23" ht="16.2">
      <c r="A30" s="15"/>
      <c r="B30" s="589" t="s">
        <v>920</v>
      </c>
      <c r="C30" s="999"/>
      <c r="D30" s="999"/>
      <c r="E30" s="999"/>
      <c r="F30" s="599"/>
      <c r="G30" s="599"/>
      <c r="H30" s="599"/>
      <c r="I30" s="599"/>
      <c r="J30" s="599"/>
      <c r="K30" s="599"/>
      <c r="L30" s="599"/>
      <c r="M30" s="599"/>
      <c r="N30" s="599"/>
      <c r="O30" s="1007"/>
      <c r="P30" s="67"/>
      <c r="Q30" s="67"/>
    </row>
    <row r="31" spans="1:23" ht="16.2">
      <c r="A31" s="15"/>
      <c r="B31" s="596" t="s">
        <v>910</v>
      </c>
      <c r="C31" s="1000">
        <v>1166</v>
      </c>
      <c r="D31" s="1000">
        <v>2713</v>
      </c>
      <c r="E31" s="1000">
        <f t="shared" ref="E31:E36" si="4">SUM(C31:D31)</f>
        <v>3879</v>
      </c>
      <c r="F31" s="1468">
        <f t="shared" ref="F31:N31" si="5">F17+F24</f>
        <v>1180</v>
      </c>
      <c r="G31" s="1468">
        <f t="shared" si="5"/>
        <v>2899</v>
      </c>
      <c r="H31" s="1468">
        <f t="shared" si="5"/>
        <v>4079</v>
      </c>
      <c r="I31" s="1468">
        <f t="shared" si="5"/>
        <v>2435</v>
      </c>
      <c r="J31" s="1468">
        <f t="shared" si="5"/>
        <v>5005</v>
      </c>
      <c r="K31" s="1468">
        <f t="shared" si="5"/>
        <v>7440</v>
      </c>
      <c r="L31" s="1468">
        <f t="shared" si="5"/>
        <v>2447</v>
      </c>
      <c r="M31" s="1468">
        <f t="shared" si="5"/>
        <v>5383</v>
      </c>
      <c r="N31" s="1468">
        <f t="shared" si="5"/>
        <v>7830</v>
      </c>
      <c r="O31" s="1008">
        <f>C31/E31</f>
        <v>0.3005929363237948</v>
      </c>
      <c r="P31" s="67"/>
      <c r="Q31" s="67"/>
      <c r="R31" s="2" t="str">
        <f>B31</f>
        <v xml:space="preserve">UK </v>
      </c>
      <c r="S31" s="95">
        <f>E31</f>
        <v>3879</v>
      </c>
      <c r="T31" s="385">
        <f>E31/$E$36</f>
        <v>0.33196405648267008</v>
      </c>
      <c r="V31" s="2" t="str">
        <f>B31</f>
        <v xml:space="preserve">UK </v>
      </c>
      <c r="W31" s="385">
        <f>E31/$E$36</f>
        <v>0.33196405648267008</v>
      </c>
    </row>
    <row r="32" spans="1:23" ht="16.2">
      <c r="A32" s="15"/>
      <c r="B32" s="596" t="s">
        <v>911</v>
      </c>
      <c r="C32" s="1000">
        <v>1194</v>
      </c>
      <c r="D32" s="1000">
        <v>1682</v>
      </c>
      <c r="E32" s="1000">
        <f t="shared" si="4"/>
        <v>2876</v>
      </c>
      <c r="F32" s="1468">
        <f t="shared" ref="F32:H33" si="6">F18+F25</f>
        <v>1165</v>
      </c>
      <c r="G32" s="1468">
        <f t="shared" si="6"/>
        <v>1693</v>
      </c>
      <c r="H32" s="1468">
        <f t="shared" si="6"/>
        <v>2858</v>
      </c>
      <c r="I32" s="1468"/>
      <c r="J32" s="1468"/>
      <c r="K32" s="1468"/>
      <c r="L32" s="1468"/>
      <c r="M32" s="1468"/>
      <c r="N32" s="1468"/>
      <c r="O32" s="1008">
        <f>C32/E32</f>
        <v>0.41515994436717663</v>
      </c>
      <c r="P32" s="67"/>
      <c r="Q32" s="67"/>
      <c r="R32" s="2" t="str">
        <f t="shared" ref="R32:R33" si="7">B32</f>
        <v>Rest of Europe</v>
      </c>
      <c r="S32" s="95">
        <f t="shared" ref="S32:S33" si="8">E32</f>
        <v>2876</v>
      </c>
      <c r="T32" s="385">
        <f>E32/$E$36</f>
        <v>0.24612751390671803</v>
      </c>
      <c r="V32" s="2" t="str">
        <f t="shared" ref="V32:V35" si="9">B32</f>
        <v>Rest of Europe</v>
      </c>
      <c r="W32" s="385">
        <f>E32/$E$36</f>
        <v>0.24612751390671803</v>
      </c>
    </row>
    <row r="33" spans="1:23" ht="16.2">
      <c r="A33" s="15"/>
      <c r="B33" s="596" t="s">
        <v>912</v>
      </c>
      <c r="C33" s="1000">
        <v>544</v>
      </c>
      <c r="D33" s="1000">
        <v>1470</v>
      </c>
      <c r="E33" s="1000">
        <f t="shared" si="4"/>
        <v>2014</v>
      </c>
      <c r="F33" s="711">
        <f t="shared" si="6"/>
        <v>567</v>
      </c>
      <c r="G33" s="711">
        <f t="shared" si="6"/>
        <v>1619</v>
      </c>
      <c r="H33" s="711">
        <f t="shared" si="6"/>
        <v>2186</v>
      </c>
      <c r="I33" s="711">
        <f t="shared" ref="I33:N33" si="10">I19+I26</f>
        <v>715</v>
      </c>
      <c r="J33" s="711">
        <f t="shared" si="10"/>
        <v>2120</v>
      </c>
      <c r="K33" s="711">
        <f t="shared" si="10"/>
        <v>2835</v>
      </c>
      <c r="L33" s="711">
        <f t="shared" si="10"/>
        <v>664</v>
      </c>
      <c r="M33" s="711">
        <f t="shared" si="10"/>
        <v>2129</v>
      </c>
      <c r="N33" s="711">
        <f t="shared" si="10"/>
        <v>2793</v>
      </c>
      <c r="O33" s="1008">
        <f t="shared" ref="O33:O34" si="11">C33/E33</f>
        <v>0.27010923535253228</v>
      </c>
      <c r="P33" s="67"/>
      <c r="Q33" s="67"/>
      <c r="R33" s="2" t="str">
        <f t="shared" si="7"/>
        <v>North America</v>
      </c>
      <c r="S33" s="95">
        <f t="shared" si="8"/>
        <v>2014</v>
      </c>
      <c r="T33" s="385">
        <f>E33/$E$36</f>
        <v>0.17235772357723578</v>
      </c>
      <c r="V33" s="2" t="str">
        <f t="shared" si="9"/>
        <v>North America</v>
      </c>
      <c r="W33" s="385">
        <f>E33/$E$36</f>
        <v>0.17235772357723578</v>
      </c>
    </row>
    <row r="34" spans="1:23" ht="16.2">
      <c r="A34" s="15"/>
      <c r="B34" s="596" t="s">
        <v>913</v>
      </c>
      <c r="C34" s="1000">
        <v>506</v>
      </c>
      <c r="D34" s="1000">
        <v>1791</v>
      </c>
      <c r="E34" s="1000">
        <f t="shared" si="4"/>
        <v>2297</v>
      </c>
      <c r="F34" s="711">
        <f t="shared" ref="F34:N34" si="12">F20+F27</f>
        <v>547</v>
      </c>
      <c r="G34" s="711">
        <f t="shared" si="12"/>
        <v>1912</v>
      </c>
      <c r="H34" s="711">
        <f t="shared" si="12"/>
        <v>2459</v>
      </c>
      <c r="I34" s="711">
        <f t="shared" si="12"/>
        <v>520</v>
      </c>
      <c r="J34" s="711">
        <f t="shared" si="12"/>
        <v>1977</v>
      </c>
      <c r="K34" s="711">
        <f t="shared" si="12"/>
        <v>2497</v>
      </c>
      <c r="L34" s="711">
        <f t="shared" si="12"/>
        <v>455</v>
      </c>
      <c r="M34" s="711">
        <f t="shared" si="12"/>
        <v>1926</v>
      </c>
      <c r="N34" s="711">
        <f t="shared" si="12"/>
        <v>2381</v>
      </c>
      <c r="O34" s="1008">
        <f t="shared" si="11"/>
        <v>0.22028733130169786</v>
      </c>
      <c r="P34" s="67"/>
      <c r="Q34" s="67"/>
      <c r="R34" s="2" t="s">
        <v>918</v>
      </c>
      <c r="S34" s="13">
        <v>936</v>
      </c>
      <c r="T34" s="385">
        <f>S34/$E$36</f>
        <v>8.0102695763799747E-2</v>
      </c>
      <c r="V34" s="2" t="str">
        <f t="shared" si="9"/>
        <v>Asia</v>
      </c>
      <c r="W34" s="385">
        <f>E34/$E$36</f>
        <v>0.19657680787334189</v>
      </c>
    </row>
    <row r="35" spans="1:23" ht="16.2">
      <c r="A35" s="52"/>
      <c r="B35" s="596" t="s">
        <v>914</v>
      </c>
      <c r="C35" s="1000">
        <v>167</v>
      </c>
      <c r="D35" s="1000">
        <v>452</v>
      </c>
      <c r="E35" s="1000">
        <f t="shared" si="4"/>
        <v>619</v>
      </c>
      <c r="F35" s="711">
        <f t="shared" ref="F35:N35" si="13">F21+F28</f>
        <v>314</v>
      </c>
      <c r="G35" s="711">
        <f t="shared" si="13"/>
        <v>742</v>
      </c>
      <c r="H35" s="711">
        <f t="shared" si="13"/>
        <v>1056</v>
      </c>
      <c r="I35" s="711">
        <f t="shared" si="13"/>
        <v>228</v>
      </c>
      <c r="J35" s="711">
        <f t="shared" si="13"/>
        <v>430</v>
      </c>
      <c r="K35" s="711">
        <f t="shared" si="13"/>
        <v>658</v>
      </c>
      <c r="L35" s="711">
        <f t="shared" si="13"/>
        <v>217</v>
      </c>
      <c r="M35" s="711">
        <f t="shared" si="13"/>
        <v>420</v>
      </c>
      <c r="N35" s="711">
        <f t="shared" si="13"/>
        <v>637</v>
      </c>
      <c r="O35" s="1008">
        <f t="shared" ref="O35:O42" si="14">C35/E35</f>
        <v>0.26978998384491115</v>
      </c>
      <c r="P35" s="67"/>
      <c r="Q35" s="67"/>
      <c r="R35" s="2" t="s">
        <v>919</v>
      </c>
      <c r="S35" s="95">
        <v>1361</v>
      </c>
      <c r="T35" s="385">
        <f>S35/$E$36</f>
        <v>0.11647411210954214</v>
      </c>
      <c r="V35" s="2" t="str">
        <f t="shared" si="9"/>
        <v>Rest of World</v>
      </c>
      <c r="W35" s="385">
        <f>E35/$E$36</f>
        <v>5.2973898160034234E-2</v>
      </c>
    </row>
    <row r="36" spans="1:23" ht="16.2">
      <c r="A36" s="384"/>
      <c r="B36" s="611" t="s">
        <v>921</v>
      </c>
      <c r="C36" s="1001">
        <f>SUM(C31:C35)</f>
        <v>3577</v>
      </c>
      <c r="D36" s="1001">
        <f>SUM(D31:D35)</f>
        <v>8108</v>
      </c>
      <c r="E36" s="1001">
        <f t="shared" si="4"/>
        <v>11685</v>
      </c>
      <c r="F36" s="712">
        <f>F22+F29</f>
        <v>3773</v>
      </c>
      <c r="G36" s="712">
        <f>G22+G29</f>
        <v>8865</v>
      </c>
      <c r="H36" s="712">
        <f>F36+G36</f>
        <v>12638</v>
      </c>
      <c r="I36" s="712">
        <f>I22+I29</f>
        <v>3898</v>
      </c>
      <c r="J36" s="712">
        <f>J22+J29</f>
        <v>9532</v>
      </c>
      <c r="K36" s="712">
        <f>I36+J36</f>
        <v>13430</v>
      </c>
      <c r="L36" s="712">
        <f>L22+L29</f>
        <v>3783</v>
      </c>
      <c r="M36" s="712">
        <f>M22+M29</f>
        <v>9858</v>
      </c>
      <c r="N36" s="712">
        <f>L36+M36</f>
        <v>13641</v>
      </c>
      <c r="O36" s="1009">
        <f>C36/E36</f>
        <v>0.30611895592640137</v>
      </c>
      <c r="P36" s="67"/>
      <c r="Q36" s="67"/>
      <c r="R36" s="2" t="str">
        <f>B35</f>
        <v>Rest of World</v>
      </c>
      <c r="S36" s="95">
        <f>E35</f>
        <v>619</v>
      </c>
      <c r="T36" s="385">
        <f>E35/$E$36</f>
        <v>5.2973898160034234E-2</v>
      </c>
      <c r="W36" s="348">
        <f>SUM(W31:W35)</f>
        <v>1</v>
      </c>
    </row>
    <row r="37" spans="1:23" ht="16.2">
      <c r="A37" s="52"/>
      <c r="B37" s="612" t="s">
        <v>922</v>
      </c>
      <c r="C37" s="1000">
        <v>4</v>
      </c>
      <c r="D37" s="1000">
        <v>5</v>
      </c>
      <c r="E37" s="1000">
        <f>SUM(C37:D37)</f>
        <v>9</v>
      </c>
      <c r="F37" s="711">
        <v>3</v>
      </c>
      <c r="G37" s="711">
        <v>6</v>
      </c>
      <c r="H37" s="711">
        <f t="shared" ref="H37:H42" si="15">F37+G37</f>
        <v>9</v>
      </c>
      <c r="I37" s="711">
        <v>3</v>
      </c>
      <c r="J37" s="711">
        <v>6</v>
      </c>
      <c r="K37" s="711">
        <f t="shared" ref="K37:K42" si="16">I37+J37</f>
        <v>9</v>
      </c>
      <c r="L37" s="711">
        <v>2</v>
      </c>
      <c r="M37" s="711">
        <v>5</v>
      </c>
      <c r="N37" s="711">
        <f t="shared" ref="N37:N42" si="17">L37+M37</f>
        <v>7</v>
      </c>
      <c r="O37" s="1008">
        <f t="shared" si="14"/>
        <v>0.44444444444444442</v>
      </c>
      <c r="P37" s="535"/>
      <c r="Q37" s="67"/>
      <c r="S37" s="95">
        <f>SUM(S31:S36)</f>
        <v>11685</v>
      </c>
      <c r="T37" s="348">
        <f>SUM(T31:T36)</f>
        <v>1</v>
      </c>
    </row>
    <row r="38" spans="1:23" ht="16.2">
      <c r="A38" s="52"/>
      <c r="B38" s="612" t="s">
        <v>923</v>
      </c>
      <c r="C38" s="1000">
        <v>4</v>
      </c>
      <c r="D38" s="1000">
        <v>9</v>
      </c>
      <c r="E38" s="1000">
        <f>SUM(C38:D38)</f>
        <v>13</v>
      </c>
      <c r="F38" s="711">
        <v>3</v>
      </c>
      <c r="G38" s="711">
        <v>9</v>
      </c>
      <c r="H38" s="711">
        <f t="shared" si="15"/>
        <v>12</v>
      </c>
      <c r="I38" s="711">
        <v>2</v>
      </c>
      <c r="J38" s="711">
        <v>6</v>
      </c>
      <c r="K38" s="711">
        <f t="shared" si="16"/>
        <v>8</v>
      </c>
      <c r="L38" s="711">
        <v>4</v>
      </c>
      <c r="M38" s="711">
        <v>5</v>
      </c>
      <c r="N38" s="711">
        <f t="shared" si="17"/>
        <v>9</v>
      </c>
      <c r="O38" s="1008">
        <f>C38/E38</f>
        <v>0.30769230769230771</v>
      </c>
      <c r="P38" s="15"/>
      <c r="Q38" s="67"/>
    </row>
    <row r="39" spans="1:23" s="15" customFormat="1" ht="16.2">
      <c r="A39" s="52"/>
      <c r="B39" s="613" t="s">
        <v>924</v>
      </c>
      <c r="C39" s="1000">
        <v>23</v>
      </c>
      <c r="D39" s="1000">
        <v>74</v>
      </c>
      <c r="E39" s="1000">
        <f>SUM(C39:D39)</f>
        <v>97</v>
      </c>
      <c r="F39" s="711">
        <v>13</v>
      </c>
      <c r="G39" s="711">
        <v>86</v>
      </c>
      <c r="H39" s="711">
        <f t="shared" si="15"/>
        <v>99</v>
      </c>
      <c r="I39" s="711">
        <v>17</v>
      </c>
      <c r="J39" s="711">
        <v>100</v>
      </c>
      <c r="K39" s="711">
        <f t="shared" si="16"/>
        <v>117</v>
      </c>
      <c r="L39" s="711">
        <v>16</v>
      </c>
      <c r="M39" s="711">
        <v>95</v>
      </c>
      <c r="N39" s="711">
        <f t="shared" si="17"/>
        <v>111</v>
      </c>
      <c r="O39" s="1008">
        <f t="shared" si="14"/>
        <v>0.23711340206185566</v>
      </c>
      <c r="Q39" s="67"/>
    </row>
    <row r="40" spans="1:23" ht="16.2">
      <c r="A40" s="52"/>
      <c r="B40" s="613" t="s">
        <v>925</v>
      </c>
      <c r="C40" s="1000">
        <v>30</v>
      </c>
      <c r="D40" s="1000">
        <v>48</v>
      </c>
      <c r="E40" s="1000">
        <f>SUM(C40:D40)</f>
        <v>78</v>
      </c>
      <c r="F40" s="711">
        <v>31</v>
      </c>
      <c r="G40" s="711">
        <v>52</v>
      </c>
      <c r="H40" s="711">
        <f t="shared" si="15"/>
        <v>83</v>
      </c>
      <c r="I40" s="711">
        <v>22</v>
      </c>
      <c r="J40" s="711">
        <v>38</v>
      </c>
      <c r="K40" s="711">
        <f t="shared" si="16"/>
        <v>60</v>
      </c>
      <c r="L40" s="711">
        <v>21</v>
      </c>
      <c r="M40" s="711">
        <v>41</v>
      </c>
      <c r="N40" s="711">
        <f t="shared" si="17"/>
        <v>62</v>
      </c>
      <c r="O40" s="1008">
        <f t="shared" si="14"/>
        <v>0.38461538461538464</v>
      </c>
      <c r="P40" s="15"/>
      <c r="Q40" s="67"/>
    </row>
    <row r="41" spans="1:23" ht="32.4">
      <c r="A41" s="52"/>
      <c r="B41" s="613" t="s">
        <v>926</v>
      </c>
      <c r="C41" s="1001">
        <v>507</v>
      </c>
      <c r="D41" s="1001">
        <v>1190</v>
      </c>
      <c r="E41" s="1001">
        <f>C41+D41</f>
        <v>1697</v>
      </c>
      <c r="F41" s="712">
        <v>478</v>
      </c>
      <c r="G41" s="712">
        <v>1223</v>
      </c>
      <c r="H41" s="712">
        <f t="shared" si="15"/>
        <v>1701</v>
      </c>
      <c r="I41" s="712">
        <v>487</v>
      </c>
      <c r="J41" s="712">
        <v>1302</v>
      </c>
      <c r="K41" s="712">
        <f t="shared" si="16"/>
        <v>1789</v>
      </c>
      <c r="L41" s="1078"/>
      <c r="M41" s="1078"/>
      <c r="N41" s="1079">
        <f t="shared" si="17"/>
        <v>0</v>
      </c>
      <c r="O41" s="1009">
        <f>C41/E41</f>
        <v>0.29876252209781967</v>
      </c>
      <c r="P41" s="15"/>
      <c r="Q41" s="77"/>
    </row>
    <row r="42" spans="1:23" ht="16.2">
      <c r="A42" s="384"/>
      <c r="B42" s="612" t="s">
        <v>927</v>
      </c>
      <c r="C42" s="1000">
        <v>765</v>
      </c>
      <c r="D42" s="1000">
        <v>1232</v>
      </c>
      <c r="E42" s="1001">
        <f>C42+D42</f>
        <v>1997</v>
      </c>
      <c r="F42" s="711">
        <v>748</v>
      </c>
      <c r="G42" s="711">
        <v>1496</v>
      </c>
      <c r="H42" s="711">
        <f t="shared" si="15"/>
        <v>2244</v>
      </c>
      <c r="I42" s="711">
        <v>718</v>
      </c>
      <c r="J42" s="711">
        <v>1355</v>
      </c>
      <c r="K42" s="711">
        <f t="shared" si="16"/>
        <v>2073</v>
      </c>
      <c r="L42" s="711">
        <v>475</v>
      </c>
      <c r="M42" s="711">
        <v>1117</v>
      </c>
      <c r="N42" s="711">
        <f t="shared" si="17"/>
        <v>1592</v>
      </c>
      <c r="O42" s="1008">
        <f t="shared" si="14"/>
        <v>0.38307461191787684</v>
      </c>
      <c r="P42" s="15"/>
      <c r="Q42" s="67"/>
    </row>
    <row r="43" spans="1:23">
      <c r="A43" s="384"/>
      <c r="B43" s="97"/>
      <c r="C43" s="70"/>
      <c r="D43" s="573"/>
      <c r="E43" s="1066"/>
      <c r="F43" s="573"/>
      <c r="G43" s="573"/>
      <c r="H43" s="1066"/>
      <c r="I43" s="573"/>
      <c r="J43" s="573"/>
      <c r="K43" s="1066"/>
      <c r="L43" s="573"/>
      <c r="M43" s="574"/>
      <c r="N43" s="1066"/>
      <c r="O43" s="67"/>
    </row>
    <row r="44" spans="1:23" ht="28.5" customHeight="1">
      <c r="A44" s="52"/>
      <c r="B44" s="941" t="s">
        <v>928</v>
      </c>
      <c r="C44" s="1452" t="s">
        <v>545</v>
      </c>
      <c r="D44" s="1452"/>
      <c r="E44" s="1452"/>
      <c r="F44" s="1452" t="s">
        <v>546</v>
      </c>
      <c r="G44" s="1452"/>
      <c r="H44" s="1452"/>
      <c r="I44" s="1454" t="s">
        <v>547</v>
      </c>
      <c r="J44" s="1454"/>
      <c r="K44" s="1454"/>
      <c r="L44" s="1454" t="s">
        <v>548</v>
      </c>
      <c r="M44" s="1454"/>
      <c r="N44" s="1454"/>
      <c r="O44" s="1463" t="s">
        <v>929</v>
      </c>
      <c r="Q44" s="67"/>
      <c r="R44" s="67"/>
    </row>
    <row r="45" spans="1:23" ht="28.5" customHeight="1">
      <c r="A45" s="52"/>
      <c r="B45" s="585" t="s">
        <v>905</v>
      </c>
      <c r="C45" s="588" t="s">
        <v>906</v>
      </c>
      <c r="D45" s="588" t="s">
        <v>907</v>
      </c>
      <c r="E45" s="588" t="s">
        <v>709</v>
      </c>
      <c r="F45" s="588" t="s">
        <v>906</v>
      </c>
      <c r="G45" s="588" t="s">
        <v>907</v>
      </c>
      <c r="H45" s="588" t="s">
        <v>709</v>
      </c>
      <c r="I45" s="588" t="s">
        <v>906</v>
      </c>
      <c r="J45" s="588" t="s">
        <v>907</v>
      </c>
      <c r="K45" s="588" t="s">
        <v>709</v>
      </c>
      <c r="L45" s="588" t="s">
        <v>906</v>
      </c>
      <c r="M45" s="588" t="s">
        <v>907</v>
      </c>
      <c r="N45" s="588" t="s">
        <v>709</v>
      </c>
      <c r="O45" s="1463"/>
      <c r="Q45" s="98" t="s">
        <v>908</v>
      </c>
      <c r="V45"/>
    </row>
    <row r="46" spans="1:23" ht="16.2">
      <c r="A46" s="52"/>
      <c r="B46" s="589" t="s">
        <v>930</v>
      </c>
      <c r="C46" s="1002"/>
      <c r="D46" s="1002"/>
      <c r="E46" s="1002"/>
      <c r="F46" s="590"/>
      <c r="G46" s="590"/>
      <c r="H46" s="590"/>
      <c r="I46" s="590"/>
      <c r="J46" s="590"/>
      <c r="K46" s="590"/>
      <c r="L46" s="590"/>
      <c r="M46" s="590"/>
      <c r="N46" s="591"/>
      <c r="O46" s="1466"/>
      <c r="P46" s="98"/>
    </row>
    <row r="47" spans="1:23" ht="16.2">
      <c r="A47" s="52"/>
      <c r="B47" s="592" t="s">
        <v>931</v>
      </c>
      <c r="C47" s="1000">
        <v>0</v>
      </c>
      <c r="D47" s="1000">
        <v>0</v>
      </c>
      <c r="E47" s="1000">
        <f t="shared" ref="E47:E55" si="18">SUM(C47:D47)</f>
        <v>0</v>
      </c>
      <c r="F47" s="711">
        <v>0</v>
      </c>
      <c r="G47" s="711">
        <v>0</v>
      </c>
      <c r="H47" s="711">
        <f>F47+G47</f>
        <v>0</v>
      </c>
      <c r="I47" s="711">
        <v>0</v>
      </c>
      <c r="J47" s="711">
        <v>0</v>
      </c>
      <c r="K47" s="711">
        <f>I47+J47</f>
        <v>0</v>
      </c>
      <c r="L47" s="711">
        <v>1</v>
      </c>
      <c r="M47" s="711">
        <v>0</v>
      </c>
      <c r="N47" s="711">
        <v>1</v>
      </c>
      <c r="O47" s="1466"/>
      <c r="P47" s="15"/>
      <c r="Q47" s="67"/>
    </row>
    <row r="48" spans="1:23" ht="16.2">
      <c r="A48" s="52"/>
      <c r="B48" s="592" t="s">
        <v>932</v>
      </c>
      <c r="C48" s="1000">
        <v>0</v>
      </c>
      <c r="D48" s="1000">
        <v>2</v>
      </c>
      <c r="E48" s="1000">
        <f t="shared" si="18"/>
        <v>2</v>
      </c>
      <c r="F48" s="711">
        <v>0</v>
      </c>
      <c r="G48" s="711">
        <v>3</v>
      </c>
      <c r="H48" s="711">
        <f>F48+G48</f>
        <v>3</v>
      </c>
      <c r="I48" s="711">
        <v>0</v>
      </c>
      <c r="J48" s="711">
        <v>3</v>
      </c>
      <c r="K48" s="711">
        <f>I48+J48</f>
        <v>3</v>
      </c>
      <c r="L48" s="711">
        <v>0</v>
      </c>
      <c r="M48" s="711">
        <v>2</v>
      </c>
      <c r="N48" s="711">
        <v>2</v>
      </c>
      <c r="O48" s="1466"/>
      <c r="P48" s="15"/>
      <c r="Q48" s="67"/>
    </row>
    <row r="49" spans="1:17" ht="16.2">
      <c r="A49" s="52"/>
      <c r="B49" s="592" t="s">
        <v>933</v>
      </c>
      <c r="C49" s="1000"/>
      <c r="D49" s="1000">
        <v>2</v>
      </c>
      <c r="E49" s="1000">
        <f t="shared" si="18"/>
        <v>2</v>
      </c>
      <c r="F49" s="711">
        <v>0</v>
      </c>
      <c r="G49" s="711">
        <v>2</v>
      </c>
      <c r="H49" s="711">
        <f>F49+G49</f>
        <v>2</v>
      </c>
      <c r="I49" s="711">
        <v>0</v>
      </c>
      <c r="J49" s="711">
        <v>2</v>
      </c>
      <c r="K49" s="711">
        <f>I49+J49</f>
        <v>2</v>
      </c>
      <c r="L49" s="711">
        <v>2</v>
      </c>
      <c r="M49" s="711">
        <v>4</v>
      </c>
      <c r="N49" s="711">
        <v>6</v>
      </c>
      <c r="O49" s="1466"/>
      <c r="P49" s="15"/>
      <c r="Q49" s="67"/>
    </row>
    <row r="50" spans="1:17" ht="16.2">
      <c r="B50" s="592" t="s">
        <v>934</v>
      </c>
      <c r="C50" s="1000">
        <v>4</v>
      </c>
      <c r="D50" s="1000">
        <v>1</v>
      </c>
      <c r="E50" s="1000">
        <f t="shared" si="18"/>
        <v>5</v>
      </c>
      <c r="F50" s="711">
        <v>3</v>
      </c>
      <c r="G50" s="711">
        <v>1</v>
      </c>
      <c r="H50" s="711">
        <f>F50+G50</f>
        <v>4</v>
      </c>
      <c r="I50" s="711">
        <v>3</v>
      </c>
      <c r="J50" s="711">
        <v>1</v>
      </c>
      <c r="K50" s="711">
        <f>I50+J50</f>
        <v>4</v>
      </c>
      <c r="L50" s="711">
        <v>0</v>
      </c>
      <c r="M50" s="711">
        <v>0</v>
      </c>
      <c r="N50" s="711">
        <v>0</v>
      </c>
      <c r="O50" s="1010"/>
      <c r="P50" s="15"/>
      <c r="Q50" s="67"/>
    </row>
    <row r="51" spans="1:17" ht="16.2">
      <c r="B51" s="594" t="s">
        <v>935</v>
      </c>
      <c r="C51" s="1001">
        <f>SUM(C47:C50)</f>
        <v>4</v>
      </c>
      <c r="D51" s="1001">
        <f>SUM(D47:D50)</f>
        <v>5</v>
      </c>
      <c r="E51" s="1001">
        <f t="shared" si="18"/>
        <v>9</v>
      </c>
      <c r="F51" s="712">
        <f t="shared" ref="F51:M51" si="19">SUM(F47:F50)</f>
        <v>3</v>
      </c>
      <c r="G51" s="712">
        <f t="shared" si="19"/>
        <v>6</v>
      </c>
      <c r="H51" s="712">
        <f t="shared" si="19"/>
        <v>9</v>
      </c>
      <c r="I51" s="712">
        <f t="shared" si="19"/>
        <v>3</v>
      </c>
      <c r="J51" s="712">
        <f t="shared" si="19"/>
        <v>6</v>
      </c>
      <c r="K51" s="712">
        <f t="shared" si="19"/>
        <v>9</v>
      </c>
      <c r="L51" s="712">
        <f t="shared" si="19"/>
        <v>3</v>
      </c>
      <c r="M51" s="712">
        <f t="shared" si="19"/>
        <v>6</v>
      </c>
      <c r="N51" s="712">
        <v>9</v>
      </c>
      <c r="O51" s="1009">
        <f>C51/E51</f>
        <v>0.44444444444444442</v>
      </c>
      <c r="P51" s="15"/>
      <c r="Q51" s="67"/>
    </row>
    <row r="52" spans="1:17" ht="16.2">
      <c r="A52" s="52"/>
      <c r="B52" s="595" t="s">
        <v>936</v>
      </c>
      <c r="C52" s="1000">
        <v>659</v>
      </c>
      <c r="D52" s="1000">
        <v>1284</v>
      </c>
      <c r="E52" s="1000">
        <f t="shared" si="18"/>
        <v>1943</v>
      </c>
      <c r="F52" s="713">
        <v>640</v>
      </c>
      <c r="G52" s="713">
        <v>1388</v>
      </c>
      <c r="H52" s="713">
        <f>F52+G52</f>
        <v>2028</v>
      </c>
      <c r="I52" s="713">
        <v>719</v>
      </c>
      <c r="J52" s="713">
        <v>1509</v>
      </c>
      <c r="K52" s="713">
        <f>I52+J52</f>
        <v>2228</v>
      </c>
      <c r="L52" s="713">
        <v>730</v>
      </c>
      <c r="M52" s="713">
        <v>1608</v>
      </c>
      <c r="N52" s="713">
        <f>L52+M52</f>
        <v>2338</v>
      </c>
      <c r="O52" s="1008">
        <f>C52/E52</f>
        <v>0.33916623777663407</v>
      </c>
      <c r="P52" s="15"/>
      <c r="Q52" s="67"/>
    </row>
    <row r="53" spans="1:17" ht="16.2">
      <c r="A53" s="52"/>
      <c r="B53" s="595" t="s">
        <v>937</v>
      </c>
      <c r="C53" s="1000">
        <v>1855</v>
      </c>
      <c r="D53" s="1000">
        <v>4090</v>
      </c>
      <c r="E53" s="1000">
        <f t="shared" si="18"/>
        <v>5945</v>
      </c>
      <c r="F53" s="1451">
        <v>1971</v>
      </c>
      <c r="G53" s="1451">
        <v>4463</v>
      </c>
      <c r="H53" s="1451">
        <f>F53+G53</f>
        <v>6434</v>
      </c>
      <c r="I53" s="1451">
        <v>2477</v>
      </c>
      <c r="J53" s="1451">
        <v>6050</v>
      </c>
      <c r="K53" s="1451">
        <f>I53+J53</f>
        <v>8527</v>
      </c>
      <c r="L53" s="1451">
        <v>2331</v>
      </c>
      <c r="M53" s="1451">
        <v>5927</v>
      </c>
      <c r="N53" s="1451">
        <f>L53+M53</f>
        <v>8258</v>
      </c>
      <c r="O53" s="1008">
        <f>C53/E53</f>
        <v>0.31202691337258198</v>
      </c>
      <c r="P53" s="15"/>
      <c r="Q53" s="67"/>
    </row>
    <row r="54" spans="1:17" ht="16.2">
      <c r="A54" s="52"/>
      <c r="B54" s="595" t="s">
        <v>938</v>
      </c>
      <c r="C54" s="1000">
        <v>917</v>
      </c>
      <c r="D54" s="1000">
        <v>2272</v>
      </c>
      <c r="E54" s="1000">
        <f t="shared" si="18"/>
        <v>3189</v>
      </c>
      <c r="F54" s="1451">
        <v>962</v>
      </c>
      <c r="G54" s="1451">
        <v>2456</v>
      </c>
      <c r="H54" s="1451">
        <f>F54+G54</f>
        <v>3418</v>
      </c>
      <c r="I54" s="1451"/>
      <c r="J54" s="1451"/>
      <c r="K54" s="1451"/>
      <c r="L54" s="1451"/>
      <c r="M54" s="1451"/>
      <c r="N54" s="1451"/>
      <c r="O54" s="1008">
        <f t="shared" ref="O54" si="20">C54/E54</f>
        <v>0.28755095641266853</v>
      </c>
      <c r="P54" s="15"/>
      <c r="Q54" s="67"/>
    </row>
    <row r="55" spans="1:17" ht="16.2">
      <c r="A55" s="52"/>
      <c r="B55" s="595" t="s">
        <v>939</v>
      </c>
      <c r="C55" s="1000">
        <v>118</v>
      </c>
      <c r="D55" s="1000">
        <v>415</v>
      </c>
      <c r="E55" s="1000">
        <f t="shared" si="18"/>
        <v>533</v>
      </c>
      <c r="F55" s="713">
        <v>123</v>
      </c>
      <c r="G55" s="713">
        <v>434</v>
      </c>
      <c r="H55" s="713">
        <f>F55+G55</f>
        <v>557</v>
      </c>
      <c r="I55" s="713">
        <v>703</v>
      </c>
      <c r="J55" s="713">
        <v>1972</v>
      </c>
      <c r="K55" s="713">
        <f>I55+J55</f>
        <v>2675</v>
      </c>
      <c r="L55" s="713">
        <v>722</v>
      </c>
      <c r="M55" s="713">
        <v>2322</v>
      </c>
      <c r="N55" s="713">
        <f>L55+M55</f>
        <v>3044</v>
      </c>
      <c r="O55" s="1008">
        <f>C55/E55</f>
        <v>0.22138836772983114</v>
      </c>
      <c r="P55" s="15"/>
      <c r="Q55" s="67"/>
    </row>
    <row r="56" spans="1:17" s="78" customFormat="1" ht="16.2">
      <c r="A56" s="377"/>
      <c r="B56" s="600" t="s">
        <v>940</v>
      </c>
      <c r="C56" s="1001">
        <f t="shared" ref="C56:N56" si="21">SUM(C52:C55)</f>
        <v>3549</v>
      </c>
      <c r="D56" s="1001">
        <f t="shared" si="21"/>
        <v>8061</v>
      </c>
      <c r="E56" s="1001">
        <f t="shared" si="21"/>
        <v>11610</v>
      </c>
      <c r="F56" s="714">
        <f t="shared" si="21"/>
        <v>3696</v>
      </c>
      <c r="G56" s="714">
        <f t="shared" si="21"/>
        <v>8741</v>
      </c>
      <c r="H56" s="714">
        <f t="shared" si="21"/>
        <v>12437</v>
      </c>
      <c r="I56" s="714">
        <f t="shared" si="21"/>
        <v>3899</v>
      </c>
      <c r="J56" s="714">
        <f t="shared" si="21"/>
        <v>9531</v>
      </c>
      <c r="K56" s="714">
        <f t="shared" si="21"/>
        <v>13430</v>
      </c>
      <c r="L56" s="714">
        <f t="shared" si="21"/>
        <v>3783</v>
      </c>
      <c r="M56" s="714">
        <f t="shared" si="21"/>
        <v>9857</v>
      </c>
      <c r="N56" s="714">
        <f t="shared" si="21"/>
        <v>13640</v>
      </c>
      <c r="O56" s="1009">
        <f>C56/E56</f>
        <v>0.30568475452196381</v>
      </c>
      <c r="Q56" s="79"/>
    </row>
    <row r="57" spans="1:17" ht="16.2">
      <c r="A57" s="52"/>
      <c r="B57" s="595" t="s">
        <v>941</v>
      </c>
      <c r="C57" s="1000"/>
      <c r="D57" s="1000"/>
      <c r="E57" s="1000">
        <v>75</v>
      </c>
      <c r="F57" s="713"/>
      <c r="G57" s="713"/>
      <c r="H57" s="713">
        <v>201</v>
      </c>
      <c r="I57" s="1077"/>
      <c r="J57" s="1077"/>
      <c r="K57" s="1077"/>
      <c r="L57" s="1077"/>
      <c r="M57" s="1077"/>
      <c r="N57" s="1077"/>
      <c r="O57" s="1008"/>
      <c r="P57" s="15"/>
      <c r="Q57" s="67"/>
    </row>
    <row r="58" spans="1:17" ht="16.2">
      <c r="A58" s="52"/>
      <c r="B58" s="1178"/>
      <c r="C58" s="1180"/>
      <c r="D58" s="1180"/>
      <c r="E58" s="1180"/>
      <c r="F58" s="1179"/>
      <c r="G58" s="1179"/>
      <c r="H58" s="1179"/>
      <c r="I58" s="1179"/>
      <c r="J58" s="1179"/>
      <c r="K58" s="1179"/>
      <c r="L58" s="1179"/>
      <c r="M58" s="1179"/>
      <c r="N58" s="1179"/>
      <c r="O58" s="1181"/>
      <c r="P58" s="15"/>
      <c r="Q58" s="67"/>
    </row>
    <row r="59" spans="1:17" ht="17.399999999999999">
      <c r="A59" s="52"/>
      <c r="B59" s="941" t="s">
        <v>942</v>
      </c>
      <c r="C59" s="1457" t="s">
        <v>545</v>
      </c>
      <c r="D59" s="1458"/>
      <c r="E59" s="1455" t="s">
        <v>546</v>
      </c>
      <c r="F59" s="1456"/>
      <c r="G59" s="1457" t="s">
        <v>547</v>
      </c>
      <c r="H59" s="1458"/>
      <c r="I59" s="1179"/>
      <c r="J59" s="1179"/>
      <c r="K59" s="1179"/>
      <c r="L59" s="1179"/>
      <c r="M59" s="1181"/>
      <c r="O59" s="67"/>
    </row>
    <row r="60" spans="1:17" ht="16.2">
      <c r="B60" s="1182" t="s">
        <v>943</v>
      </c>
      <c r="C60" s="1209" t="s">
        <v>944</v>
      </c>
      <c r="D60" s="1209" t="s">
        <v>945</v>
      </c>
      <c r="E60" s="1209" t="s">
        <v>944</v>
      </c>
      <c r="F60" s="1209" t="s">
        <v>945</v>
      </c>
      <c r="G60" s="1209" t="s">
        <v>944</v>
      </c>
      <c r="H60" s="1209" t="s">
        <v>945</v>
      </c>
      <c r="N60" s="2"/>
      <c r="O60" s="2"/>
    </row>
    <row r="61" spans="1:17" ht="16.2">
      <c r="A61" s="52"/>
      <c r="B61" s="595" t="s">
        <v>946</v>
      </c>
      <c r="C61" s="1000">
        <v>1</v>
      </c>
      <c r="D61" s="1274">
        <v>11</v>
      </c>
      <c r="E61" s="713">
        <v>1</v>
      </c>
      <c r="F61" s="1277">
        <v>11</v>
      </c>
      <c r="G61" s="713">
        <v>1</v>
      </c>
      <c r="H61" s="1277">
        <v>11</v>
      </c>
      <c r="I61" s="1179"/>
      <c r="J61" s="1195"/>
      <c r="K61" s="1179"/>
      <c r="L61" s="1179"/>
      <c r="M61" s="1181"/>
      <c r="O61" s="67"/>
    </row>
    <row r="62" spans="1:17" ht="16.2">
      <c r="A62" s="52"/>
      <c r="B62" s="595" t="s">
        <v>947</v>
      </c>
      <c r="C62" s="1000">
        <v>2</v>
      </c>
      <c r="D62" s="1274">
        <v>22</v>
      </c>
      <c r="E62" s="713">
        <v>2</v>
      </c>
      <c r="F62" s="1277">
        <v>22</v>
      </c>
      <c r="G62" s="713">
        <v>2</v>
      </c>
      <c r="H62" s="1277">
        <v>22</v>
      </c>
      <c r="I62" s="1179"/>
      <c r="J62" s="1196"/>
      <c r="K62" s="1179"/>
      <c r="L62" s="1179"/>
      <c r="M62" s="1181"/>
      <c r="O62" s="67"/>
    </row>
    <row r="63" spans="1:17" ht="16.2">
      <c r="A63" s="52"/>
      <c r="B63" s="1188" t="s">
        <v>948</v>
      </c>
      <c r="C63" s="1189">
        <v>6</v>
      </c>
      <c r="D63" s="1275">
        <v>67</v>
      </c>
      <c r="E63" s="1190">
        <v>6</v>
      </c>
      <c r="F63" s="1278">
        <v>67</v>
      </c>
      <c r="G63" s="1190">
        <v>6</v>
      </c>
      <c r="H63" s="1278">
        <v>67</v>
      </c>
      <c r="I63" s="1179"/>
      <c r="J63" s="1196"/>
      <c r="K63" s="1179"/>
      <c r="L63" s="1179"/>
      <c r="M63" s="1181"/>
      <c r="O63" s="67"/>
    </row>
    <row r="64" spans="1:17" ht="16.2">
      <c r="A64" s="52"/>
      <c r="B64" s="1191" t="s">
        <v>709</v>
      </c>
      <c r="C64" s="1001">
        <f t="shared" ref="C64:H64" si="22">SUM(C61:C63)</f>
        <v>9</v>
      </c>
      <c r="D64" s="1276">
        <f t="shared" si="22"/>
        <v>100</v>
      </c>
      <c r="E64" s="1192">
        <f t="shared" si="22"/>
        <v>9</v>
      </c>
      <c r="F64" s="1279">
        <f t="shared" si="22"/>
        <v>100</v>
      </c>
      <c r="G64" s="1192">
        <f t="shared" si="22"/>
        <v>9</v>
      </c>
      <c r="H64" s="1279">
        <f t="shared" si="22"/>
        <v>100</v>
      </c>
      <c r="I64" s="1179"/>
      <c r="J64" s="1179"/>
      <c r="K64" s="1179"/>
      <c r="L64" s="1179"/>
      <c r="M64" s="1181"/>
      <c r="O64" s="67"/>
    </row>
    <row r="65" spans="1:15" ht="16.2">
      <c r="A65" s="52"/>
      <c r="B65" s="1182" t="s">
        <v>949</v>
      </c>
      <c r="C65" s="1209" t="s">
        <v>944</v>
      </c>
      <c r="D65" s="1209" t="s">
        <v>945</v>
      </c>
      <c r="E65" s="1209" t="s">
        <v>944</v>
      </c>
      <c r="F65" s="1209" t="s">
        <v>945</v>
      </c>
      <c r="G65" s="1209" t="s">
        <v>944</v>
      </c>
      <c r="H65" s="1209" t="s">
        <v>945</v>
      </c>
      <c r="I65" s="1179"/>
      <c r="J65" s="1179"/>
      <c r="K65" s="1179"/>
      <c r="L65" s="1179"/>
      <c r="M65" s="1181"/>
      <c r="O65" s="67"/>
    </row>
    <row r="66" spans="1:15" ht="16.2">
      <c r="A66" s="52"/>
      <c r="B66" s="595" t="s">
        <v>950</v>
      </c>
      <c r="C66" s="1185">
        <v>2</v>
      </c>
      <c r="D66" s="1280">
        <v>28.6</v>
      </c>
      <c r="E66" s="1183">
        <v>1</v>
      </c>
      <c r="F66" s="1281">
        <v>14</v>
      </c>
      <c r="G66" s="1183">
        <v>4</v>
      </c>
      <c r="H66" s="1281">
        <v>57</v>
      </c>
      <c r="I66" s="1179"/>
      <c r="J66" s="1179"/>
      <c r="K66" s="1179"/>
      <c r="L66" s="1179"/>
      <c r="M66" s="1181"/>
      <c r="O66" s="67"/>
    </row>
    <row r="67" spans="1:15" ht="16.2">
      <c r="A67" s="52"/>
      <c r="B67" s="595" t="s">
        <v>951</v>
      </c>
      <c r="C67" s="1185">
        <v>4</v>
      </c>
      <c r="D67" s="1280">
        <v>57.1</v>
      </c>
      <c r="E67" s="1183">
        <v>5</v>
      </c>
      <c r="F67" s="1281">
        <v>72</v>
      </c>
      <c r="G67" s="1183">
        <v>3</v>
      </c>
      <c r="H67" s="1281">
        <v>43</v>
      </c>
      <c r="I67" s="1179"/>
      <c r="J67" s="1179"/>
      <c r="K67" s="1179"/>
      <c r="L67" s="1179"/>
      <c r="M67" s="1181"/>
      <c r="O67" s="67"/>
    </row>
    <row r="68" spans="1:15" ht="16.2">
      <c r="A68" s="52"/>
      <c r="B68" s="595" t="s">
        <v>952</v>
      </c>
      <c r="C68" s="1000">
        <v>1</v>
      </c>
      <c r="D68" s="1274">
        <v>14.3</v>
      </c>
      <c r="E68" s="713">
        <v>1</v>
      </c>
      <c r="F68" s="1277">
        <v>14</v>
      </c>
      <c r="G68" s="1186">
        <v>0</v>
      </c>
      <c r="H68" s="1277">
        <v>0</v>
      </c>
      <c r="I68" s="1179"/>
      <c r="J68" s="1179"/>
      <c r="K68" s="1179"/>
      <c r="L68" s="1179"/>
      <c r="M68" s="1181"/>
      <c r="O68" s="67"/>
    </row>
    <row r="69" spans="1:15" ht="16.2">
      <c r="A69" s="52"/>
      <c r="B69" s="1191" t="s">
        <v>709</v>
      </c>
      <c r="C69" s="1001">
        <f t="shared" ref="C69:H69" si="23">SUM(C66:C68)</f>
        <v>7</v>
      </c>
      <c r="D69" s="1276">
        <f t="shared" si="23"/>
        <v>100</v>
      </c>
      <c r="E69" s="1192">
        <f t="shared" si="23"/>
        <v>7</v>
      </c>
      <c r="F69" s="1279">
        <f t="shared" si="23"/>
        <v>100</v>
      </c>
      <c r="G69" s="1192">
        <f t="shared" si="23"/>
        <v>7</v>
      </c>
      <c r="H69" s="1279">
        <f t="shared" si="23"/>
        <v>100</v>
      </c>
      <c r="I69" s="1179"/>
      <c r="J69" s="1179"/>
      <c r="K69" s="1179"/>
      <c r="L69" s="1179"/>
      <c r="M69" s="1181"/>
      <c r="O69" s="67"/>
    </row>
    <row r="70" spans="1:15" ht="16.2">
      <c r="A70" s="52"/>
      <c r="B70" s="1182" t="s">
        <v>953</v>
      </c>
      <c r="C70" s="1209" t="s">
        <v>944</v>
      </c>
      <c r="D70" s="1209" t="s">
        <v>945</v>
      </c>
      <c r="E70" s="1209" t="s">
        <v>944</v>
      </c>
      <c r="F70" s="1209" t="s">
        <v>945</v>
      </c>
      <c r="G70" s="1209" t="s">
        <v>944</v>
      </c>
      <c r="H70" s="1209" t="s">
        <v>945</v>
      </c>
      <c r="I70" s="1179"/>
      <c r="J70" s="1179"/>
      <c r="K70" s="1179"/>
      <c r="L70" s="1179"/>
      <c r="M70" s="1181"/>
      <c r="O70" s="67"/>
    </row>
    <row r="71" spans="1:15" ht="16.2">
      <c r="A71" s="52"/>
      <c r="B71" s="623" t="s">
        <v>954</v>
      </c>
      <c r="C71" s="1185">
        <v>4</v>
      </c>
      <c r="D71" s="1280">
        <v>44.5</v>
      </c>
      <c r="E71" s="1184">
        <v>5</v>
      </c>
      <c r="F71" s="1282">
        <v>56</v>
      </c>
      <c r="G71" s="1184">
        <v>5</v>
      </c>
      <c r="H71" s="1282">
        <v>56</v>
      </c>
      <c r="I71" s="1179"/>
      <c r="J71" s="1179"/>
      <c r="K71" s="1179"/>
      <c r="L71" s="1179"/>
      <c r="M71" s="1181"/>
      <c r="O71" s="67"/>
    </row>
    <row r="72" spans="1:15" ht="16.2">
      <c r="A72" s="52"/>
      <c r="B72" s="623" t="s">
        <v>955</v>
      </c>
      <c r="C72" s="1185">
        <v>2</v>
      </c>
      <c r="D72" s="1280">
        <v>22.2</v>
      </c>
      <c r="E72" s="1184">
        <v>2</v>
      </c>
      <c r="F72" s="1282">
        <v>22</v>
      </c>
      <c r="G72" s="1184">
        <v>2</v>
      </c>
      <c r="H72" s="1282">
        <v>22</v>
      </c>
      <c r="I72" s="1179"/>
      <c r="J72" s="1179"/>
      <c r="K72" s="1179"/>
      <c r="L72" s="1179"/>
      <c r="M72" s="1181"/>
      <c r="O72" s="67"/>
    </row>
    <row r="73" spans="1:15" ht="16.2">
      <c r="A73" s="52"/>
      <c r="B73" s="623" t="s">
        <v>956</v>
      </c>
      <c r="C73" s="1185">
        <v>2</v>
      </c>
      <c r="D73" s="1280">
        <v>22.2</v>
      </c>
      <c r="E73" s="1184">
        <v>2</v>
      </c>
      <c r="F73" s="1282">
        <v>22</v>
      </c>
      <c r="G73" s="1184">
        <v>2</v>
      </c>
      <c r="H73" s="1282">
        <v>22</v>
      </c>
      <c r="I73" s="1179"/>
      <c r="J73" s="1179"/>
      <c r="K73" s="1179"/>
      <c r="L73" s="1179"/>
      <c r="M73" s="1181"/>
      <c r="O73" s="67"/>
    </row>
    <row r="74" spans="1:15" ht="16.2">
      <c r="A74" s="52"/>
      <c r="B74" s="623" t="s">
        <v>957</v>
      </c>
      <c r="C74" s="1185">
        <v>1</v>
      </c>
      <c r="D74" s="1280">
        <v>11.1</v>
      </c>
      <c r="E74" s="1184">
        <v>0</v>
      </c>
      <c r="F74" s="1282">
        <v>0</v>
      </c>
      <c r="G74" s="1184">
        <v>0</v>
      </c>
      <c r="H74" s="1282">
        <v>0</v>
      </c>
      <c r="I74" s="1179"/>
      <c r="J74" s="1179"/>
      <c r="K74" s="1179"/>
      <c r="L74" s="1179"/>
      <c r="M74" s="1181"/>
      <c r="O74" s="67"/>
    </row>
    <row r="75" spans="1:15" ht="16.2">
      <c r="A75" s="52"/>
      <c r="B75" s="1191" t="s">
        <v>709</v>
      </c>
      <c r="C75" s="1001">
        <f t="shared" ref="C75:H75" si="24">SUM(C71:C74)</f>
        <v>9</v>
      </c>
      <c r="D75" s="1276">
        <f t="shared" si="24"/>
        <v>100</v>
      </c>
      <c r="E75" s="712">
        <f t="shared" si="24"/>
        <v>9</v>
      </c>
      <c r="F75" s="1283">
        <f t="shared" si="24"/>
        <v>100</v>
      </c>
      <c r="G75" s="712">
        <f t="shared" si="24"/>
        <v>9</v>
      </c>
      <c r="H75" s="1283">
        <f t="shared" si="24"/>
        <v>100</v>
      </c>
      <c r="I75" s="1179"/>
      <c r="J75" s="1179"/>
      <c r="K75" s="1179"/>
      <c r="L75" s="1179"/>
      <c r="M75" s="1181"/>
      <c r="O75" s="67"/>
    </row>
    <row r="76" spans="1:15" ht="16.2">
      <c r="A76" s="52"/>
      <c r="B76" s="1182" t="s">
        <v>958</v>
      </c>
      <c r="C76" s="1209" t="s">
        <v>944</v>
      </c>
      <c r="D76" s="1209" t="s">
        <v>945</v>
      </c>
      <c r="E76" s="1209" t="s">
        <v>944</v>
      </c>
      <c r="F76" s="1209" t="s">
        <v>945</v>
      </c>
      <c r="G76" s="1209" t="s">
        <v>944</v>
      </c>
      <c r="H76" s="1209" t="s">
        <v>945</v>
      </c>
      <c r="I76" s="1179"/>
      <c r="J76" s="1179"/>
      <c r="K76" s="1179"/>
      <c r="L76" s="1179"/>
      <c r="M76" s="1181"/>
      <c r="O76" s="67"/>
    </row>
    <row r="77" spans="1:15" ht="16.2">
      <c r="A77" s="52"/>
      <c r="B77" s="623" t="s">
        <v>959</v>
      </c>
      <c r="C77" s="1185">
        <v>8</v>
      </c>
      <c r="D77" s="1280">
        <v>88.9</v>
      </c>
      <c r="E77" s="717">
        <v>8</v>
      </c>
      <c r="F77" s="1285">
        <v>88.9</v>
      </c>
      <c r="G77" s="1078"/>
      <c r="H77" s="1078"/>
      <c r="I77" s="1179"/>
      <c r="J77" s="1179"/>
      <c r="K77" s="1179"/>
      <c r="L77" s="1179"/>
      <c r="M77" s="1181"/>
      <c r="O77" s="67"/>
    </row>
    <row r="78" spans="1:15" ht="16.2">
      <c r="A78" s="52"/>
      <c r="B78" s="623" t="s">
        <v>960</v>
      </c>
      <c r="C78" s="1185">
        <v>0</v>
      </c>
      <c r="D78" s="1280">
        <v>0</v>
      </c>
      <c r="E78" s="717">
        <v>0</v>
      </c>
      <c r="F78" s="1285">
        <v>0</v>
      </c>
      <c r="G78" s="1078"/>
      <c r="H78" s="1078"/>
      <c r="I78" s="1179"/>
      <c r="J78" s="1179"/>
      <c r="K78" s="1179"/>
      <c r="L78" s="1179"/>
      <c r="M78" s="1181"/>
      <c r="O78" s="67"/>
    </row>
    <row r="79" spans="1:15" ht="16.2">
      <c r="A79" s="52"/>
      <c r="B79" s="623" t="s">
        <v>961</v>
      </c>
      <c r="C79" s="1185">
        <v>1</v>
      </c>
      <c r="D79" s="1280">
        <v>11.1</v>
      </c>
      <c r="E79" s="717">
        <v>1</v>
      </c>
      <c r="F79" s="1285">
        <v>11.1</v>
      </c>
      <c r="G79" s="1078"/>
      <c r="H79" s="1078"/>
      <c r="I79" s="1179"/>
      <c r="J79" s="1179"/>
      <c r="K79" s="1179"/>
      <c r="L79" s="1179"/>
      <c r="M79" s="1181"/>
      <c r="O79" s="67"/>
    </row>
    <row r="80" spans="1:15" ht="16.2">
      <c r="A80" s="52"/>
      <c r="B80" s="623" t="s">
        <v>962</v>
      </c>
      <c r="C80" s="1185">
        <v>0</v>
      </c>
      <c r="D80" s="1280">
        <v>0</v>
      </c>
      <c r="E80" s="717">
        <v>0</v>
      </c>
      <c r="F80" s="1285">
        <v>0</v>
      </c>
      <c r="G80" s="1078"/>
      <c r="H80" s="1078"/>
      <c r="I80" s="1179"/>
      <c r="J80" s="1179"/>
      <c r="K80" s="1179"/>
      <c r="L80" s="1179"/>
      <c r="M80" s="1181"/>
      <c r="O80" s="67"/>
    </row>
    <row r="81" spans="1:18" ht="16.2">
      <c r="A81" s="52"/>
      <c r="B81" s="622" t="s">
        <v>963</v>
      </c>
      <c r="C81" s="1185">
        <v>0</v>
      </c>
      <c r="D81" s="1280">
        <v>0</v>
      </c>
      <c r="E81" s="717">
        <v>0</v>
      </c>
      <c r="F81" s="1285">
        <v>0</v>
      </c>
      <c r="G81" s="1078"/>
      <c r="H81" s="1078"/>
      <c r="I81" s="1179"/>
      <c r="J81" s="1179"/>
      <c r="K81" s="1179"/>
      <c r="L81" s="1179"/>
      <c r="M81" s="1181"/>
      <c r="O81" s="67"/>
    </row>
    <row r="82" spans="1:18" ht="16.2">
      <c r="A82" s="52"/>
      <c r="B82" s="595" t="s">
        <v>964</v>
      </c>
      <c r="C82" s="1185">
        <v>0</v>
      </c>
      <c r="D82" s="1280">
        <v>0</v>
      </c>
      <c r="E82" s="717">
        <v>0</v>
      </c>
      <c r="F82" s="1285">
        <v>0</v>
      </c>
      <c r="G82" s="1078"/>
      <c r="H82" s="1078"/>
      <c r="I82" s="1179"/>
      <c r="J82" s="1179"/>
      <c r="K82" s="1179"/>
      <c r="L82" s="1179"/>
      <c r="M82" s="1181"/>
      <c r="O82" s="67"/>
    </row>
    <row r="83" spans="1:18" ht="16.2">
      <c r="A83" s="52"/>
      <c r="B83" s="1197" t="s">
        <v>709</v>
      </c>
      <c r="C83" s="1250">
        <f t="shared" ref="C83:F83" si="25">SUM(C77:C82)</f>
        <v>9</v>
      </c>
      <c r="D83" s="1284">
        <f t="shared" si="25"/>
        <v>100</v>
      </c>
      <c r="E83" s="1193">
        <f t="shared" si="25"/>
        <v>9</v>
      </c>
      <c r="F83" s="1286">
        <f t="shared" si="25"/>
        <v>100</v>
      </c>
      <c r="G83" s="1078"/>
      <c r="H83" s="1078"/>
      <c r="I83" s="1179"/>
      <c r="J83" s="1179"/>
      <c r="K83" s="1179"/>
      <c r="L83" s="1179"/>
      <c r="M83" s="1181"/>
      <c r="O83" s="67"/>
    </row>
    <row r="84" spans="1:18" s="78" customFormat="1">
      <c r="A84" s="377"/>
      <c r="B84" s="576"/>
      <c r="C84" s="577"/>
      <c r="D84" s="575"/>
      <c r="E84" s="575"/>
      <c r="F84" s="577"/>
      <c r="G84" s="575"/>
      <c r="H84" s="575"/>
      <c r="I84" s="575"/>
      <c r="J84" s="575"/>
      <c r="K84" s="575"/>
      <c r="L84" s="575"/>
      <c r="M84" s="575"/>
      <c r="N84" s="575"/>
      <c r="O84" s="575"/>
      <c r="P84" s="574"/>
      <c r="R84" s="79"/>
    </row>
    <row r="85" spans="1:18" ht="17.399999999999999">
      <c r="B85" s="941" t="s">
        <v>965</v>
      </c>
      <c r="C85" s="1452" t="s">
        <v>545</v>
      </c>
      <c r="D85" s="1452"/>
      <c r="E85" s="1452"/>
      <c r="F85" s="1452" t="s">
        <v>546</v>
      </c>
      <c r="G85" s="1452"/>
      <c r="H85" s="1452"/>
      <c r="I85" s="1454" t="s">
        <v>547</v>
      </c>
      <c r="J85" s="1454"/>
      <c r="K85" s="1454"/>
      <c r="L85" s="1454" t="s">
        <v>548</v>
      </c>
      <c r="M85" s="1454"/>
      <c r="N85" s="1454"/>
      <c r="O85" s="584"/>
      <c r="P85" s="15"/>
      <c r="Q85" s="67"/>
      <c r="R85" s="67"/>
    </row>
    <row r="86" spans="1:18" ht="16.2">
      <c r="A86" s="15"/>
      <c r="B86" s="585" t="s">
        <v>905</v>
      </c>
      <c r="C86" s="586" t="s">
        <v>906</v>
      </c>
      <c r="D86" s="586" t="s">
        <v>907</v>
      </c>
      <c r="E86" s="586" t="s">
        <v>709</v>
      </c>
      <c r="F86" s="586" t="s">
        <v>906</v>
      </c>
      <c r="G86" s="586" t="s">
        <v>907</v>
      </c>
      <c r="H86" s="586" t="s">
        <v>709</v>
      </c>
      <c r="I86" s="586" t="s">
        <v>906</v>
      </c>
      <c r="J86" s="586" t="s">
        <v>907</v>
      </c>
      <c r="K86" s="586" t="s">
        <v>709</v>
      </c>
      <c r="L86" s="586" t="s">
        <v>906</v>
      </c>
      <c r="M86" s="586" t="s">
        <v>907</v>
      </c>
      <c r="N86" s="586" t="s">
        <v>709</v>
      </c>
      <c r="O86" s="584"/>
      <c r="P86" s="15"/>
      <c r="Q86" s="98" t="s">
        <v>908</v>
      </c>
    </row>
    <row r="87" spans="1:18" ht="16.2">
      <c r="B87" s="602" t="s">
        <v>927</v>
      </c>
      <c r="C87" s="1000">
        <v>765</v>
      </c>
      <c r="D87" s="1000">
        <v>1232</v>
      </c>
      <c r="E87" s="1000">
        <f>SUM(C87:D87)</f>
        <v>1997</v>
      </c>
      <c r="F87" s="713">
        <v>748</v>
      </c>
      <c r="G87" s="713">
        <v>1496</v>
      </c>
      <c r="H87" s="991">
        <f>F87+G87</f>
        <v>2244</v>
      </c>
      <c r="I87" s="713">
        <v>718</v>
      </c>
      <c r="J87" s="713">
        <v>1355</v>
      </c>
      <c r="K87" s="713">
        <f>I87+J87</f>
        <v>2073</v>
      </c>
      <c r="L87" s="713">
        <v>475</v>
      </c>
      <c r="M87" s="713">
        <v>1117</v>
      </c>
      <c r="N87" s="713">
        <f>L87+M87</f>
        <v>1592</v>
      </c>
      <c r="O87" s="67"/>
      <c r="P87" s="15"/>
      <c r="Q87" s="67"/>
    </row>
    <row r="88" spans="1:18" ht="16.2">
      <c r="B88" s="602" t="s">
        <v>966</v>
      </c>
      <c r="C88" s="1000">
        <v>405</v>
      </c>
      <c r="D88" s="1000">
        <v>817</v>
      </c>
      <c r="E88" s="1000">
        <f>SUM(C88:D88)</f>
        <v>1222</v>
      </c>
      <c r="F88" s="713">
        <v>449</v>
      </c>
      <c r="G88" s="713">
        <v>1082</v>
      </c>
      <c r="H88" s="991">
        <f>F88+G88</f>
        <v>1531</v>
      </c>
      <c r="I88" s="713">
        <v>444</v>
      </c>
      <c r="J88" s="713">
        <v>1115</v>
      </c>
      <c r="K88" s="713">
        <f>I88+J88</f>
        <v>1559</v>
      </c>
      <c r="L88" s="713">
        <v>317</v>
      </c>
      <c r="M88" s="713">
        <v>797</v>
      </c>
      <c r="N88" s="713">
        <f>L88+M88</f>
        <v>1114</v>
      </c>
      <c r="O88" s="67"/>
      <c r="P88" s="15"/>
      <c r="Q88" s="67"/>
    </row>
    <row r="89" spans="1:18" ht="16.2" hidden="1">
      <c r="B89" s="702" t="s">
        <v>967</v>
      </c>
      <c r="C89" s="1000">
        <v>2</v>
      </c>
      <c r="D89" s="1000">
        <v>0</v>
      </c>
      <c r="E89" s="1000">
        <f>SUM(C89:D89)</f>
        <v>2</v>
      </c>
      <c r="F89" s="713"/>
      <c r="G89" s="713"/>
      <c r="H89" s="991"/>
      <c r="I89" s="713"/>
      <c r="J89" s="713"/>
      <c r="K89" s="713"/>
      <c r="L89" s="713"/>
      <c r="M89" s="713"/>
      <c r="N89" s="713"/>
      <c r="O89" s="67"/>
      <c r="P89" s="15"/>
      <c r="Q89" s="67"/>
    </row>
    <row r="90" spans="1:18" ht="16.2">
      <c r="B90" s="602" t="s">
        <v>968</v>
      </c>
      <c r="C90" s="1000">
        <v>442</v>
      </c>
      <c r="D90" s="1000">
        <v>1025</v>
      </c>
      <c r="E90" s="1000">
        <f>SUM(C90:D90)</f>
        <v>1467</v>
      </c>
      <c r="F90" s="713">
        <v>375</v>
      </c>
      <c r="G90" s="713">
        <v>996</v>
      </c>
      <c r="H90" s="991">
        <f>F90+G90</f>
        <v>1371</v>
      </c>
      <c r="I90" s="713">
        <v>115</v>
      </c>
      <c r="J90" s="713">
        <v>396</v>
      </c>
      <c r="K90" s="713">
        <f>I90+J90</f>
        <v>511</v>
      </c>
      <c r="L90" s="713">
        <v>230</v>
      </c>
      <c r="M90" s="713">
        <v>782</v>
      </c>
      <c r="N90" s="713">
        <f>L90+M90</f>
        <v>1012</v>
      </c>
      <c r="O90" s="67"/>
      <c r="P90" s="15"/>
      <c r="Q90" s="67"/>
    </row>
    <row r="91" spans="1:18" ht="16.2" hidden="1">
      <c r="B91" s="702" t="s">
        <v>969</v>
      </c>
      <c r="C91" s="1000">
        <v>36</v>
      </c>
      <c r="D91" s="1000">
        <v>15</v>
      </c>
      <c r="E91" s="1000">
        <f>SUM(C91:D91)</f>
        <v>51</v>
      </c>
      <c r="F91" s="713"/>
      <c r="G91" s="713"/>
      <c r="H91" s="991"/>
      <c r="I91" s="713"/>
      <c r="J91" s="713"/>
      <c r="K91" s="713"/>
      <c r="L91" s="713"/>
      <c r="M91" s="713"/>
      <c r="N91" s="713"/>
      <c r="O91" s="67"/>
      <c r="P91" s="15"/>
      <c r="Q91" s="67"/>
    </row>
    <row r="92" spans="1:18" ht="16.2">
      <c r="B92" s="614" t="s">
        <v>970</v>
      </c>
      <c r="C92" s="1288">
        <v>0.114</v>
      </c>
      <c r="D92" s="1288">
        <v>9.7000000000000003E-2</v>
      </c>
      <c r="E92" s="1288">
        <v>0.105</v>
      </c>
      <c r="F92" s="1290">
        <v>0.123</v>
      </c>
      <c r="G92" s="1290">
        <v>0.121</v>
      </c>
      <c r="H92" s="1290">
        <v>0.122</v>
      </c>
      <c r="I92" s="1453">
        <v>0.11550000000000001</v>
      </c>
      <c r="J92" s="1453"/>
      <c r="K92" s="1453"/>
      <c r="L92" s="1453">
        <v>8.2000000000000003E-2</v>
      </c>
      <c r="M92" s="1453"/>
      <c r="N92" s="1453"/>
      <c r="O92" s="67"/>
      <c r="P92" s="15"/>
      <c r="Q92" s="67"/>
    </row>
    <row r="93" spans="1:18" ht="16.2">
      <c r="B93" s="614" t="s">
        <v>971</v>
      </c>
      <c r="C93" s="1288">
        <v>0.127</v>
      </c>
      <c r="D93" s="1288">
        <v>0.125</v>
      </c>
      <c r="E93" s="1288">
        <v>0.126</v>
      </c>
      <c r="F93" s="1290">
        <v>0.10299999999999999</v>
      </c>
      <c r="G93" s="1290">
        <v>0.111</v>
      </c>
      <c r="H93" s="1290">
        <v>0.109</v>
      </c>
      <c r="I93" s="1453">
        <v>3.7900000000000003E-2</v>
      </c>
      <c r="J93" s="1453"/>
      <c r="K93" s="1453"/>
      <c r="L93" s="1453">
        <v>7.4999999999999997E-2</v>
      </c>
      <c r="M93" s="1453"/>
      <c r="N93" s="1453"/>
      <c r="O93" s="67"/>
      <c r="P93" s="15"/>
      <c r="Q93" s="67"/>
    </row>
    <row r="94" spans="1:18" ht="16.2">
      <c r="B94" s="601" t="s">
        <v>972</v>
      </c>
      <c r="C94" s="1289">
        <f t="shared" ref="C94:I94" si="26">C92+C93</f>
        <v>0.24099999999999999</v>
      </c>
      <c r="D94" s="1289">
        <f t="shared" si="26"/>
        <v>0.222</v>
      </c>
      <c r="E94" s="1289">
        <f t="shared" si="26"/>
        <v>0.23099999999999998</v>
      </c>
      <c r="F94" s="1291">
        <f t="shared" si="26"/>
        <v>0.22599999999999998</v>
      </c>
      <c r="G94" s="1291">
        <f t="shared" si="26"/>
        <v>0.23199999999999998</v>
      </c>
      <c r="H94" s="1291">
        <f t="shared" si="26"/>
        <v>0.23099999999999998</v>
      </c>
      <c r="I94" s="1467">
        <f t="shared" si="26"/>
        <v>0.15340000000000001</v>
      </c>
      <c r="J94" s="1467"/>
      <c r="K94" s="1467"/>
      <c r="L94" s="1467">
        <f>L92+L93</f>
        <v>0.157</v>
      </c>
      <c r="M94" s="1467"/>
      <c r="N94" s="1467"/>
      <c r="O94" s="67"/>
      <c r="P94" s="15"/>
      <c r="Q94" s="67"/>
    </row>
    <row r="95" spans="1:18">
      <c r="B95" s="1115" t="s">
        <v>973</v>
      </c>
      <c r="C95" s="102"/>
      <c r="D95" s="69"/>
      <c r="E95" s="69"/>
      <c r="F95" s="69"/>
      <c r="G95" s="1051"/>
      <c r="H95" s="69"/>
      <c r="I95" s="69"/>
      <c r="J95" s="69"/>
      <c r="K95" s="69"/>
      <c r="L95" s="69"/>
      <c r="M95" s="69"/>
      <c r="O95" s="67"/>
      <c r="P95" s="67"/>
    </row>
    <row r="96" spans="1:18" hidden="1">
      <c r="B96" s="1115" t="s">
        <v>974</v>
      </c>
      <c r="C96" s="102"/>
      <c r="D96" s="69"/>
      <c r="E96" s="69"/>
      <c r="F96" s="69"/>
      <c r="G96" s="1051"/>
      <c r="H96" s="69"/>
      <c r="I96" s="69"/>
      <c r="J96" s="69"/>
      <c r="K96" s="69"/>
      <c r="L96" s="69"/>
      <c r="M96" s="69"/>
      <c r="O96" s="67"/>
      <c r="P96" s="67"/>
    </row>
    <row r="97" spans="2:16" hidden="1">
      <c r="B97" s="67"/>
      <c r="C97" s="67"/>
      <c r="D97" s="67"/>
      <c r="E97" s="67"/>
      <c r="F97" s="67"/>
      <c r="G97" s="67"/>
      <c r="H97" s="67"/>
      <c r="I97" s="67"/>
      <c r="J97" s="67"/>
      <c r="K97" s="67"/>
      <c r="L97" s="67"/>
      <c r="M97" s="67"/>
      <c r="O97" s="67"/>
      <c r="P97" s="67"/>
    </row>
    <row r="98" spans="2:16" hidden="1">
      <c r="B98" s="1460" t="s">
        <v>975</v>
      </c>
      <c r="C98" s="1452" t="s">
        <v>545</v>
      </c>
      <c r="D98" s="1452"/>
      <c r="E98" s="1452"/>
      <c r="F98" s="1452" t="s">
        <v>546</v>
      </c>
      <c r="G98" s="1452"/>
      <c r="H98" s="1452"/>
      <c r="I98" s="69"/>
      <c r="J98" s="69"/>
      <c r="K98" s="69"/>
      <c r="M98" s="69"/>
      <c r="N98" s="2"/>
      <c r="O98" s="2"/>
    </row>
    <row r="99" spans="2:16" ht="55.2" hidden="1">
      <c r="B99" s="1460"/>
      <c r="C99" s="942" t="s">
        <v>976</v>
      </c>
      <c r="D99" s="940" t="s">
        <v>977</v>
      </c>
      <c r="E99" s="940" t="s">
        <v>978</v>
      </c>
      <c r="F99" s="942" t="s">
        <v>976</v>
      </c>
      <c r="G99" s="940" t="s">
        <v>977</v>
      </c>
      <c r="H99" s="940" t="s">
        <v>978</v>
      </c>
      <c r="I99" s="69"/>
      <c r="J99" s="69"/>
      <c r="M99" s="69"/>
      <c r="N99" s="2"/>
      <c r="O99" s="2"/>
    </row>
    <row r="100" spans="2:16" ht="16.2" hidden="1">
      <c r="B100" s="599" t="s">
        <v>910</v>
      </c>
      <c r="C100" s="1003">
        <v>4035</v>
      </c>
      <c r="D100" s="1004">
        <v>810</v>
      </c>
      <c r="E100" s="1005">
        <f>D100/C100</f>
        <v>0.20074349442379183</v>
      </c>
      <c r="F100" s="1011">
        <v>4162</v>
      </c>
      <c r="G100" s="604">
        <v>893</v>
      </c>
      <c r="H100" s="1012">
        <f t="shared" ref="H100:H105" si="27">G100/(F100)</f>
        <v>0.2145603075444498</v>
      </c>
      <c r="I100" s="69"/>
      <c r="J100" s="69"/>
      <c r="K100" s="69"/>
      <c r="L100" s="69"/>
      <c r="M100" s="69"/>
      <c r="N100" s="2"/>
      <c r="O100" s="2"/>
    </row>
    <row r="101" spans="2:16" ht="16.2" hidden="1">
      <c r="B101" s="599" t="s">
        <v>911</v>
      </c>
      <c r="C101" s="1003">
        <v>2840</v>
      </c>
      <c r="D101" s="1004">
        <v>709</v>
      </c>
      <c r="E101" s="1005">
        <f t="shared" ref="E101:E104" si="28">D101/C101</f>
        <v>0.24964788732394366</v>
      </c>
      <c r="F101" s="1011">
        <v>2734</v>
      </c>
      <c r="G101" s="604">
        <v>668</v>
      </c>
      <c r="H101" s="1012">
        <f t="shared" si="27"/>
        <v>0.24433065106071689</v>
      </c>
      <c r="I101" s="357"/>
      <c r="J101" s="69"/>
      <c r="K101" s="69"/>
      <c r="L101" s="69"/>
      <c r="M101" s="69"/>
      <c r="N101" s="2"/>
      <c r="O101" s="2"/>
    </row>
    <row r="102" spans="2:16" ht="16.2" hidden="1">
      <c r="B102" s="599" t="s">
        <v>912</v>
      </c>
      <c r="C102" s="1003">
        <v>2025</v>
      </c>
      <c r="D102" s="1004">
        <v>407</v>
      </c>
      <c r="E102" s="1005">
        <f t="shared" si="28"/>
        <v>0.20098765432098764</v>
      </c>
      <c r="F102" s="1011">
        <v>2271</v>
      </c>
      <c r="G102" s="604">
        <v>397</v>
      </c>
      <c r="H102" s="1012">
        <f t="shared" si="27"/>
        <v>0.17481285777190664</v>
      </c>
      <c r="I102" s="357"/>
      <c r="J102" s="69"/>
      <c r="K102" s="69"/>
      <c r="L102" s="69"/>
      <c r="M102" s="69"/>
      <c r="N102" s="2"/>
      <c r="O102" s="2"/>
    </row>
    <row r="103" spans="2:16" ht="16.2" hidden="1">
      <c r="B103" s="599" t="s">
        <v>913</v>
      </c>
      <c r="C103" s="1003">
        <v>2384</v>
      </c>
      <c r="D103" s="1004">
        <v>677</v>
      </c>
      <c r="E103" s="1005">
        <f t="shared" si="28"/>
        <v>0.28397651006711411</v>
      </c>
      <c r="F103" s="1011">
        <v>2442</v>
      </c>
      <c r="G103" s="604">
        <v>660</v>
      </c>
      <c r="H103" s="1012">
        <f t="shared" si="27"/>
        <v>0.27027027027027029</v>
      </c>
      <c r="I103" s="357"/>
      <c r="J103" s="69"/>
      <c r="K103" s="69"/>
      <c r="L103" s="69"/>
      <c r="M103" s="69"/>
      <c r="N103" s="2"/>
      <c r="O103" s="2"/>
    </row>
    <row r="104" spans="2:16" ht="16.2" hidden="1">
      <c r="B104" s="599" t="s">
        <v>914</v>
      </c>
      <c r="C104" s="1003">
        <v>824</v>
      </c>
      <c r="D104" s="1004">
        <v>411</v>
      </c>
      <c r="E104" s="1005">
        <f t="shared" si="28"/>
        <v>0.49878640776699029</v>
      </c>
      <c r="F104" s="1011">
        <v>1057</v>
      </c>
      <c r="G104" s="604">
        <v>545</v>
      </c>
      <c r="H104" s="1012">
        <f t="shared" si="27"/>
        <v>0.51561021759697256</v>
      </c>
      <c r="I104" s="357"/>
      <c r="J104" s="69"/>
      <c r="K104" s="69"/>
      <c r="L104" s="69"/>
      <c r="M104" s="69"/>
      <c r="N104" s="2"/>
      <c r="O104" s="2"/>
    </row>
    <row r="105" spans="2:16" ht="16.2" hidden="1">
      <c r="B105" s="707" t="s">
        <v>979</v>
      </c>
      <c r="C105" s="1004">
        <v>12206</v>
      </c>
      <c r="D105" s="1004">
        <f>SUM(D100:D104)</f>
        <v>3014</v>
      </c>
      <c r="E105" s="1005">
        <f>D105/C105</f>
        <v>0.24692774045551369</v>
      </c>
      <c r="F105" s="604">
        <f>SUM(F100:F104)</f>
        <v>12666</v>
      </c>
      <c r="G105" s="604">
        <f>SUM(G100:G104)</f>
        <v>3163</v>
      </c>
      <c r="H105" s="1012">
        <f t="shared" si="27"/>
        <v>0.24972366966682458</v>
      </c>
      <c r="I105" s="357"/>
      <c r="J105" s="69"/>
      <c r="K105" s="69"/>
      <c r="L105" s="69"/>
      <c r="M105" s="69"/>
      <c r="N105" s="2"/>
      <c r="O105" s="2"/>
    </row>
    <row r="106" spans="2:16">
      <c r="C106" s="97"/>
    </row>
    <row r="107" spans="2:16">
      <c r="B107" s="1461" t="s">
        <v>975</v>
      </c>
      <c r="C107" s="1462" t="s">
        <v>545</v>
      </c>
      <c r="D107" s="1462"/>
      <c r="E107" s="1462"/>
      <c r="F107" s="1462" t="s">
        <v>546</v>
      </c>
      <c r="G107" s="1462"/>
      <c r="H107" s="1462"/>
    </row>
    <row r="108" spans="2:16" ht="45.6" customHeight="1">
      <c r="B108" s="1461"/>
      <c r="C108" s="1091" t="s">
        <v>920</v>
      </c>
      <c r="D108" s="607" t="s">
        <v>980</v>
      </c>
      <c r="E108" s="607" t="s">
        <v>978</v>
      </c>
      <c r="F108" s="1091" t="s">
        <v>920</v>
      </c>
      <c r="G108" s="607" t="s">
        <v>980</v>
      </c>
      <c r="H108" s="607" t="s">
        <v>978</v>
      </c>
    </row>
    <row r="109" spans="2:16" ht="16.2">
      <c r="B109" s="599" t="s">
        <v>910</v>
      </c>
      <c r="C109" s="1003">
        <v>3879</v>
      </c>
      <c r="D109" s="1004">
        <v>775</v>
      </c>
      <c r="E109" s="1005">
        <f>D109/C109</f>
        <v>0.19979376127868007</v>
      </c>
      <c r="F109" s="1011">
        <v>4079</v>
      </c>
      <c r="G109" s="604">
        <v>835</v>
      </c>
      <c r="H109" s="1012">
        <f t="shared" ref="H109:H115" si="29">G109/(F109)</f>
        <v>0.20470703603824467</v>
      </c>
    </row>
    <row r="110" spans="2:16" ht="16.2">
      <c r="B110" s="599" t="s">
        <v>911</v>
      </c>
      <c r="C110" s="1003">
        <v>2876</v>
      </c>
      <c r="D110" s="1004">
        <v>722</v>
      </c>
      <c r="E110" s="1005">
        <f t="shared" ref="E110:E114" si="30">D110/C110</f>
        <v>0.25104311543810848</v>
      </c>
      <c r="F110" s="1011">
        <v>2858</v>
      </c>
      <c r="G110" s="604">
        <v>688</v>
      </c>
      <c r="H110" s="1012">
        <f t="shared" si="29"/>
        <v>0.24072778166550035</v>
      </c>
    </row>
    <row r="111" spans="2:16" ht="16.2">
      <c r="B111" s="599" t="s">
        <v>912</v>
      </c>
      <c r="C111" s="1003">
        <v>2014</v>
      </c>
      <c r="D111" s="1004">
        <v>400</v>
      </c>
      <c r="E111" s="1005">
        <f t="shared" si="30"/>
        <v>0.19860973187686196</v>
      </c>
      <c r="F111" s="1011">
        <v>2186</v>
      </c>
      <c r="G111" s="604">
        <v>419</v>
      </c>
      <c r="H111" s="1012">
        <f t="shared" si="29"/>
        <v>0.19167429094236046</v>
      </c>
    </row>
    <row r="112" spans="2:16" ht="16.2">
      <c r="B112" s="599" t="s">
        <v>913</v>
      </c>
      <c r="C112" s="1003">
        <f>1361+936</f>
        <v>2297</v>
      </c>
      <c r="D112" s="1004">
        <v>689</v>
      </c>
      <c r="E112" s="1005">
        <f>D112/C112</f>
        <v>0.29995646495428818</v>
      </c>
      <c r="F112" s="1011">
        <f>1404+1055</f>
        <v>2459</v>
      </c>
      <c r="G112" s="604">
        <v>664</v>
      </c>
      <c r="H112" s="1012">
        <f t="shared" si="29"/>
        <v>0.27002846685644571</v>
      </c>
    </row>
    <row r="113" spans="1:18" ht="16.2" hidden="1">
      <c r="B113" s="599" t="s">
        <v>918</v>
      </c>
      <c r="C113" s="1003">
        <v>936</v>
      </c>
      <c r="D113" s="1004">
        <v>0</v>
      </c>
      <c r="E113" s="1005">
        <f>D113/C113</f>
        <v>0</v>
      </c>
      <c r="F113" s="1011">
        <v>1055</v>
      </c>
      <c r="G113" s="604">
        <v>0</v>
      </c>
      <c r="H113" s="1012">
        <f>G113/(F113)</f>
        <v>0</v>
      </c>
    </row>
    <row r="114" spans="1:18" ht="16.2">
      <c r="B114" s="599" t="s">
        <v>914</v>
      </c>
      <c r="C114" s="1003">
        <v>619</v>
      </c>
      <c r="D114" s="1004">
        <v>278</v>
      </c>
      <c r="E114" s="1005">
        <f t="shared" si="30"/>
        <v>0.44911147011308561</v>
      </c>
      <c r="F114" s="1011">
        <v>1056</v>
      </c>
      <c r="G114" s="604">
        <v>538</v>
      </c>
      <c r="H114" s="1012">
        <f t="shared" si="29"/>
        <v>0.50946969696969702</v>
      </c>
    </row>
    <row r="115" spans="1:18" ht="16.2">
      <c r="B115" s="707" t="s">
        <v>979</v>
      </c>
      <c r="C115" s="1004">
        <v>11685</v>
      </c>
      <c r="D115" s="1004">
        <v>2864</v>
      </c>
      <c r="E115" s="1005">
        <f>D115/C115</f>
        <v>0.24510055626872057</v>
      </c>
      <c r="F115" s="604">
        <v>12638</v>
      </c>
      <c r="G115" s="604">
        <f>SUM(G109:G114)</f>
        <v>3144</v>
      </c>
      <c r="H115" s="1012">
        <f t="shared" si="29"/>
        <v>0.24877354011710714</v>
      </c>
    </row>
    <row r="116" spans="1:18" ht="16.2">
      <c r="B116" s="1055"/>
      <c r="C116" s="1055"/>
      <c r="D116" s="1055"/>
      <c r="E116" s="1055"/>
      <c r="F116" s="1055"/>
      <c r="G116" s="1055"/>
      <c r="H116" s="1055"/>
      <c r="I116" s="1055"/>
      <c r="J116" s="1055"/>
    </row>
    <row r="117" spans="1:18" ht="17.399999999999999">
      <c r="B117" s="937" t="s">
        <v>981</v>
      </c>
      <c r="C117" s="1452" t="s">
        <v>545</v>
      </c>
      <c r="D117" s="1452"/>
      <c r="E117" s="1452"/>
      <c r="F117" s="1452"/>
      <c r="G117" s="1452" t="s">
        <v>546</v>
      </c>
      <c r="H117" s="1452"/>
      <c r="I117" s="1452"/>
      <c r="J117" s="1452"/>
      <c r="P117" s="15"/>
      <c r="Q117" s="15"/>
      <c r="R117" s="15"/>
    </row>
    <row r="118" spans="1:18" ht="16.2">
      <c r="B118" s="585" t="s">
        <v>905</v>
      </c>
      <c r="C118" s="586" t="s">
        <v>906</v>
      </c>
      <c r="D118" s="586" t="s">
        <v>907</v>
      </c>
      <c r="E118" s="586" t="s">
        <v>709</v>
      </c>
      <c r="F118" s="586" t="s">
        <v>982</v>
      </c>
      <c r="G118" s="586" t="s">
        <v>906</v>
      </c>
      <c r="H118" s="586" t="s">
        <v>907</v>
      </c>
      <c r="I118" s="586" t="s">
        <v>709</v>
      </c>
      <c r="J118" s="586" t="s">
        <v>982</v>
      </c>
      <c r="P118" s="15"/>
      <c r="Q118" s="15"/>
      <c r="R118" s="15"/>
    </row>
    <row r="119" spans="1:18" ht="16.2">
      <c r="B119" s="599" t="s">
        <v>910</v>
      </c>
      <c r="C119" s="1000">
        <v>135</v>
      </c>
      <c r="D119" s="1000">
        <v>271</v>
      </c>
      <c r="E119" s="1000">
        <f t="shared" ref="E119:E124" si="31">SUM(C119:D119)</f>
        <v>406</v>
      </c>
      <c r="F119" s="1287">
        <f t="shared" ref="F119:F124" si="32">E119/E31</f>
        <v>0.10466615106986336</v>
      </c>
      <c r="G119" s="713">
        <v>215</v>
      </c>
      <c r="H119" s="713">
        <v>370</v>
      </c>
      <c r="I119" s="713">
        <v>585</v>
      </c>
      <c r="J119" s="992">
        <f t="shared" ref="J119:J124" si="33">I119/H31</f>
        <v>0.14341750429026723</v>
      </c>
      <c r="P119" s="15"/>
      <c r="Q119" s="15"/>
      <c r="R119" s="15"/>
    </row>
    <row r="120" spans="1:18" ht="16.2">
      <c r="B120" s="599" t="s">
        <v>911</v>
      </c>
      <c r="C120" s="1000">
        <v>76</v>
      </c>
      <c r="D120" s="1000">
        <v>113</v>
      </c>
      <c r="E120" s="1000">
        <f t="shared" si="31"/>
        <v>189</v>
      </c>
      <c r="F120" s="1287">
        <f t="shared" si="32"/>
        <v>6.5716272600834486E-2</v>
      </c>
      <c r="G120" s="713">
        <v>83</v>
      </c>
      <c r="H120" s="713">
        <v>102</v>
      </c>
      <c r="I120" s="713">
        <v>185</v>
      </c>
      <c r="J120" s="992">
        <f t="shared" si="33"/>
        <v>6.4730580825752268E-2</v>
      </c>
      <c r="P120" s="15"/>
      <c r="Q120" s="15"/>
      <c r="R120" s="15"/>
    </row>
    <row r="121" spans="1:18" ht="16.2">
      <c r="B121" s="599" t="s">
        <v>912</v>
      </c>
      <c r="C121" s="1000">
        <v>77</v>
      </c>
      <c r="D121" s="1000">
        <v>252</v>
      </c>
      <c r="E121" s="1000">
        <f t="shared" si="31"/>
        <v>329</v>
      </c>
      <c r="F121" s="1287">
        <f t="shared" si="32"/>
        <v>0.16335650446871897</v>
      </c>
      <c r="G121" s="713">
        <v>99</v>
      </c>
      <c r="H121" s="713">
        <v>205</v>
      </c>
      <c r="I121" s="713">
        <v>304</v>
      </c>
      <c r="J121" s="992">
        <f t="shared" si="33"/>
        <v>0.13906678865507777</v>
      </c>
      <c r="P121" s="15"/>
      <c r="Q121" s="15"/>
      <c r="R121" s="15"/>
    </row>
    <row r="122" spans="1:18" ht="16.2">
      <c r="B122" s="599" t="s">
        <v>913</v>
      </c>
      <c r="C122" s="1000">
        <v>43</v>
      </c>
      <c r="D122" s="1000">
        <v>133</v>
      </c>
      <c r="E122" s="1000">
        <f t="shared" si="31"/>
        <v>176</v>
      </c>
      <c r="F122" s="1287">
        <f t="shared" si="32"/>
        <v>7.6621680452764476E-2</v>
      </c>
      <c r="G122" s="713">
        <v>42</v>
      </c>
      <c r="H122" s="713">
        <v>111</v>
      </c>
      <c r="I122" s="713">
        <v>153</v>
      </c>
      <c r="J122" s="992">
        <f t="shared" si="33"/>
        <v>6.2220414802765349E-2</v>
      </c>
      <c r="P122" s="15"/>
      <c r="Q122" s="15"/>
      <c r="R122" s="15"/>
    </row>
    <row r="123" spans="1:18" ht="16.2">
      <c r="B123" s="599" t="s">
        <v>914</v>
      </c>
      <c r="C123" s="1000">
        <v>10</v>
      </c>
      <c r="D123" s="1000">
        <v>71</v>
      </c>
      <c r="E123" s="1000">
        <f t="shared" si="31"/>
        <v>81</v>
      </c>
      <c r="F123" s="1287">
        <f t="shared" si="32"/>
        <v>0.13085621970920841</v>
      </c>
      <c r="G123" s="713">
        <v>13</v>
      </c>
      <c r="H123" s="713">
        <v>38</v>
      </c>
      <c r="I123" s="713">
        <v>51</v>
      </c>
      <c r="J123" s="992">
        <f t="shared" si="33"/>
        <v>4.8295454545454544E-2</v>
      </c>
      <c r="P123" s="15"/>
      <c r="Q123" s="15"/>
      <c r="R123" s="15"/>
    </row>
    <row r="124" spans="1:18" ht="16.2">
      <c r="B124" s="707" t="s">
        <v>979</v>
      </c>
      <c r="C124" s="1006">
        <v>341</v>
      </c>
      <c r="D124" s="1006">
        <v>840</v>
      </c>
      <c r="E124" s="1000">
        <f t="shared" si="31"/>
        <v>1181</v>
      </c>
      <c r="F124" s="1287">
        <f t="shared" si="32"/>
        <v>0.10106974753958066</v>
      </c>
      <c r="G124" s="993">
        <f>SUM(G119:G123)</f>
        <v>452</v>
      </c>
      <c r="H124" s="993">
        <f>SUM(H119:H123)</f>
        <v>826</v>
      </c>
      <c r="I124" s="991">
        <f>SUM(I119:I123)</f>
        <v>1278</v>
      </c>
      <c r="J124" s="992">
        <f t="shared" si="33"/>
        <v>0.10112359550561797</v>
      </c>
      <c r="P124" s="15"/>
      <c r="Q124" s="15"/>
      <c r="R124" s="15"/>
    </row>
    <row r="125" spans="1:18">
      <c r="C125" s="97"/>
    </row>
    <row r="126" spans="1:18" ht="17.399999999999999">
      <c r="B126" s="937" t="s">
        <v>983</v>
      </c>
      <c r="C126" s="1452" t="s">
        <v>545</v>
      </c>
      <c r="D126" s="1452"/>
      <c r="E126" s="1452"/>
      <c r="F126" s="1452" t="s">
        <v>546</v>
      </c>
      <c r="G126" s="1452"/>
      <c r="H126" s="1452"/>
    </row>
    <row r="127" spans="1:18" ht="16.2">
      <c r="A127" s="15"/>
      <c r="B127" s="585" t="s">
        <v>905</v>
      </c>
      <c r="C127" s="586" t="s">
        <v>906</v>
      </c>
      <c r="D127" s="586" t="s">
        <v>907</v>
      </c>
      <c r="E127" s="586" t="s">
        <v>709</v>
      </c>
      <c r="F127" s="586" t="s">
        <v>906</v>
      </c>
      <c r="G127" s="586" t="s">
        <v>907</v>
      </c>
      <c r="H127" s="586" t="s">
        <v>709</v>
      </c>
    </row>
    <row r="128" spans="1:18" ht="16.2">
      <c r="B128" s="705" t="s">
        <v>984</v>
      </c>
      <c r="C128" s="1000">
        <v>37</v>
      </c>
      <c r="D128" s="1000">
        <v>118</v>
      </c>
      <c r="E128" s="1000">
        <f>SUM(C128:D128)</f>
        <v>155</v>
      </c>
      <c r="F128" s="713">
        <v>14</v>
      </c>
      <c r="G128" s="713">
        <v>85</v>
      </c>
      <c r="H128" s="713">
        <f>SUM(F128:G128)</f>
        <v>99</v>
      </c>
    </row>
    <row r="129" spans="1:20" ht="32.4">
      <c r="B129" s="613" t="s">
        <v>985</v>
      </c>
      <c r="C129" s="1000">
        <v>20</v>
      </c>
      <c r="D129" s="1000">
        <v>114</v>
      </c>
      <c r="E129" s="1000">
        <f>SUM(C129:D129)</f>
        <v>134</v>
      </c>
      <c r="F129" s="713">
        <v>14</v>
      </c>
      <c r="G129" s="713">
        <v>85</v>
      </c>
      <c r="H129" s="713">
        <f>SUM(F129:G129)</f>
        <v>99</v>
      </c>
    </row>
    <row r="130" spans="1:20" ht="32.4" hidden="1">
      <c r="B130" s="613" t="s">
        <v>986</v>
      </c>
      <c r="C130" s="556"/>
      <c r="D130" s="556"/>
      <c r="E130" s="556"/>
      <c r="F130" s="556"/>
      <c r="G130" s="556"/>
      <c r="H130" s="556"/>
    </row>
    <row r="131" spans="1:20" ht="16.2" hidden="1">
      <c r="B131" s="705" t="s">
        <v>987</v>
      </c>
      <c r="C131" s="557"/>
      <c r="D131" s="557"/>
      <c r="E131" s="556"/>
      <c r="F131" s="557"/>
      <c r="G131" s="557"/>
      <c r="H131" s="556"/>
    </row>
    <row r="132" spans="1:20">
      <c r="C132" s="97"/>
    </row>
    <row r="133" spans="1:20" ht="17.399999999999999">
      <c r="B133" s="937" t="s">
        <v>988</v>
      </c>
      <c r="C133" s="1452" t="s">
        <v>545</v>
      </c>
      <c r="D133" s="1452"/>
      <c r="E133" s="1452"/>
      <c r="F133" s="1452" t="s">
        <v>545</v>
      </c>
      <c r="G133" s="1452"/>
      <c r="H133" s="1452"/>
      <c r="I133" s="1452" t="s">
        <v>546</v>
      </c>
      <c r="J133" s="1452"/>
      <c r="K133" s="1452"/>
      <c r="L133" s="1452" t="s">
        <v>546</v>
      </c>
      <c r="M133" s="1452"/>
      <c r="N133" s="1452"/>
      <c r="P133" s="15"/>
      <c r="Q133" s="15"/>
      <c r="R133" s="15"/>
      <c r="S133" s="15"/>
      <c r="T133" s="15"/>
    </row>
    <row r="134" spans="1:20" ht="16.2">
      <c r="A134" s="1459"/>
      <c r="B134" s="585" t="s">
        <v>905</v>
      </c>
      <c r="C134" s="586" t="s">
        <v>906</v>
      </c>
      <c r="D134" s="586" t="s">
        <v>907</v>
      </c>
      <c r="E134" s="586" t="s">
        <v>709</v>
      </c>
      <c r="F134" s="586" t="s">
        <v>906</v>
      </c>
      <c r="G134" s="586" t="s">
        <v>907</v>
      </c>
      <c r="H134" s="586" t="s">
        <v>709</v>
      </c>
      <c r="I134" s="586" t="s">
        <v>906</v>
      </c>
      <c r="J134" s="586" t="s">
        <v>907</v>
      </c>
      <c r="K134" s="586" t="s">
        <v>709</v>
      </c>
      <c r="L134" s="586" t="s">
        <v>906</v>
      </c>
      <c r="M134" s="586" t="s">
        <v>907</v>
      </c>
      <c r="N134" s="586" t="s">
        <v>709</v>
      </c>
      <c r="P134" s="15"/>
      <c r="Q134" s="15"/>
      <c r="R134" s="15"/>
      <c r="S134" s="15"/>
      <c r="T134" s="15"/>
    </row>
    <row r="135" spans="1:20" ht="16.2">
      <c r="A135" s="1459"/>
      <c r="B135" s="705" t="s">
        <v>989</v>
      </c>
      <c r="C135" s="1000">
        <v>3181</v>
      </c>
      <c r="D135" s="1000">
        <v>6748</v>
      </c>
      <c r="E135" s="1000">
        <f>SUM(C135:D135)</f>
        <v>9929</v>
      </c>
      <c r="F135" s="1288">
        <v>0.94799999999999995</v>
      </c>
      <c r="G135" s="1288">
        <v>0.92500000000000004</v>
      </c>
      <c r="H135" s="1288">
        <v>0.93300000000000005</v>
      </c>
      <c r="I135" s="713">
        <v>3509</v>
      </c>
      <c r="J135" s="713">
        <v>7737</v>
      </c>
      <c r="K135" s="713">
        <v>11246</v>
      </c>
      <c r="L135" s="995">
        <v>0.98199999999999998</v>
      </c>
      <c r="M135" s="995">
        <v>0.89900000000000002</v>
      </c>
      <c r="N135" s="995">
        <v>0.92300000000000004</v>
      </c>
      <c r="P135" s="15"/>
      <c r="Q135" s="15"/>
      <c r="R135" s="15"/>
      <c r="S135" s="15"/>
      <c r="T135" s="15"/>
    </row>
    <row r="136" spans="1:20" ht="16.2">
      <c r="B136" s="613" t="s">
        <v>990</v>
      </c>
      <c r="C136" s="1000">
        <v>188</v>
      </c>
      <c r="D136" s="1000">
        <v>212</v>
      </c>
      <c r="E136" s="1000">
        <f>SUM(C136:D136)</f>
        <v>400</v>
      </c>
      <c r="F136" s="1288">
        <v>0.70699999999999996</v>
      </c>
      <c r="G136" s="1288">
        <v>0.75900000000000001</v>
      </c>
      <c r="H136" s="1288">
        <v>0.73499999999999999</v>
      </c>
      <c r="I136" s="713">
        <v>182</v>
      </c>
      <c r="J136" s="713">
        <v>230</v>
      </c>
      <c r="K136" s="713">
        <v>412</v>
      </c>
      <c r="L136" s="995">
        <v>0.91900000000000004</v>
      </c>
      <c r="M136" s="995">
        <v>0.89800000000000002</v>
      </c>
      <c r="N136" s="995">
        <v>0.90700000000000003</v>
      </c>
      <c r="P136" s="15"/>
      <c r="Q136" s="15"/>
      <c r="R136" s="15"/>
      <c r="S136" s="15"/>
      <c r="T136" s="15"/>
    </row>
    <row r="137" spans="1:20" ht="16.2">
      <c r="B137" s="613" t="s">
        <v>991</v>
      </c>
      <c r="C137" s="1001">
        <f>SUM(C135:C136)</f>
        <v>3369</v>
      </c>
      <c r="D137" s="1001">
        <f>SUM(D135:D136)</f>
        <v>6960</v>
      </c>
      <c r="E137" s="1001">
        <f>SUM(E135:E136)</f>
        <v>10329</v>
      </c>
      <c r="F137" s="1289">
        <v>0.93500000000000005</v>
      </c>
      <c r="G137" s="1289">
        <v>0.84699999999999998</v>
      </c>
      <c r="H137" s="1289">
        <v>0.92500000000000004</v>
      </c>
      <c r="I137" s="714">
        <v>3691</v>
      </c>
      <c r="J137" s="714">
        <v>7967</v>
      </c>
      <c r="K137" s="714">
        <v>11658</v>
      </c>
      <c r="L137" s="992">
        <v>0.97799999999999998</v>
      </c>
      <c r="M137" s="992">
        <v>0.89900000000000002</v>
      </c>
      <c r="N137" s="992">
        <v>0.92200000000000004</v>
      </c>
      <c r="O137" s="479"/>
      <c r="P137" s="15"/>
      <c r="Q137" s="15"/>
      <c r="R137" s="15"/>
      <c r="S137" s="15"/>
      <c r="T137" s="15"/>
    </row>
    <row r="138" spans="1:20">
      <c r="C138" s="97"/>
    </row>
    <row r="139" spans="1:20" ht="17.399999999999999">
      <c r="B139" s="941" t="s">
        <v>992</v>
      </c>
      <c r="C139" s="943" t="s">
        <v>545</v>
      </c>
      <c r="D139" s="943" t="s">
        <v>546</v>
      </c>
    </row>
    <row r="140" spans="1:20" ht="16.2">
      <c r="A140" s="579"/>
      <c r="B140" s="1092" t="s">
        <v>993</v>
      </c>
      <c r="C140" s="1087">
        <v>20.5</v>
      </c>
      <c r="D140" s="1477">
        <v>25.52</v>
      </c>
      <c r="N140" s="67"/>
      <c r="O140" s="67"/>
    </row>
    <row r="141" spans="1:20" ht="16.2">
      <c r="A141" s="579"/>
      <c r="B141" s="1092" t="s">
        <v>994</v>
      </c>
      <c r="C141" s="1087">
        <v>6.3</v>
      </c>
      <c r="D141" s="1478"/>
      <c r="N141" s="67"/>
      <c r="O141" s="67"/>
    </row>
    <row r="142" spans="1:20" ht="16.2">
      <c r="A142" s="579"/>
      <c r="B142" s="708" t="s">
        <v>995</v>
      </c>
      <c r="C142" s="1081">
        <v>51</v>
      </c>
      <c r="D142" s="994">
        <v>52</v>
      </c>
      <c r="N142" s="67"/>
      <c r="O142" s="67"/>
    </row>
    <row r="143" spans="1:20" ht="16.2">
      <c r="A143" s="579"/>
      <c r="B143" s="708" t="s">
        <v>996</v>
      </c>
      <c r="C143" s="1081">
        <v>5405</v>
      </c>
      <c r="D143" s="994">
        <v>3059</v>
      </c>
      <c r="N143" s="67"/>
      <c r="O143" s="67"/>
    </row>
    <row r="144" spans="1:20" ht="16.2">
      <c r="A144" s="579"/>
      <c r="B144" s="708" t="s">
        <v>997</v>
      </c>
      <c r="C144" s="1081">
        <v>3544</v>
      </c>
      <c r="D144" s="994">
        <v>134</v>
      </c>
      <c r="N144" s="67"/>
      <c r="O144" s="67"/>
    </row>
    <row r="145" spans="1:17">
      <c r="A145" s="579"/>
      <c r="B145" s="2"/>
      <c r="C145" s="70"/>
      <c r="D145" s="578"/>
      <c r="N145" s="67"/>
      <c r="O145" s="67"/>
    </row>
    <row r="146" spans="1:17">
      <c r="A146" s="579"/>
      <c r="B146" s="1472" t="s">
        <v>998</v>
      </c>
      <c r="C146" s="1464" t="s">
        <v>545</v>
      </c>
      <c r="D146" s="1465"/>
      <c r="E146" s="1464" t="s">
        <v>546</v>
      </c>
      <c r="F146" s="1465"/>
      <c r="P146" s="67"/>
      <c r="Q146" s="67"/>
    </row>
    <row r="147" spans="1:17" ht="35.1" customHeight="1">
      <c r="A147" s="579"/>
      <c r="B147" s="1473"/>
      <c r="C147" s="607" t="s">
        <v>999</v>
      </c>
      <c r="D147" s="607" t="s">
        <v>1000</v>
      </c>
      <c r="E147" s="607" t="s">
        <v>999</v>
      </c>
      <c r="F147" s="607" t="s">
        <v>1000</v>
      </c>
      <c r="P147" s="67"/>
      <c r="Q147" s="67"/>
    </row>
    <row r="148" spans="1:17" ht="16.2">
      <c r="A148" s="579"/>
      <c r="B148" s="708" t="s">
        <v>1001</v>
      </c>
      <c r="C148" s="1081">
        <v>11719</v>
      </c>
      <c r="D148" s="1082">
        <v>0.873</v>
      </c>
      <c r="E148" s="994">
        <v>11701</v>
      </c>
      <c r="F148" s="995">
        <v>0.84</v>
      </c>
      <c r="G148" s="710"/>
      <c r="H148" s="1080"/>
      <c r="I148" s="1080"/>
      <c r="P148" s="67"/>
      <c r="Q148" s="67"/>
    </row>
    <row r="149" spans="1:17" ht="16.2">
      <c r="A149" s="579"/>
      <c r="B149" s="708" t="s">
        <v>1002</v>
      </c>
      <c r="C149" s="1081">
        <v>2780</v>
      </c>
      <c r="D149" s="1082">
        <v>0.8</v>
      </c>
      <c r="E149" s="994">
        <v>6123</v>
      </c>
      <c r="F149" s="995">
        <v>0.64</v>
      </c>
      <c r="G149" s="710"/>
      <c r="H149" s="1080"/>
      <c r="I149" s="1080"/>
      <c r="P149" s="67"/>
      <c r="Q149" s="67"/>
    </row>
    <row r="150" spans="1:17" ht="16.2">
      <c r="A150" s="579"/>
      <c r="B150" s="708" t="s">
        <v>1003</v>
      </c>
      <c r="C150" s="1081">
        <v>611</v>
      </c>
      <c r="D150" s="1082">
        <v>0.9</v>
      </c>
      <c r="E150" s="994">
        <v>3240</v>
      </c>
      <c r="F150" s="995">
        <v>0.72</v>
      </c>
      <c r="G150" s="710"/>
      <c r="H150" s="1080"/>
      <c r="I150" s="1080"/>
      <c r="P150" s="67"/>
      <c r="Q150" s="67"/>
    </row>
    <row r="151" spans="1:17" ht="16.2">
      <c r="B151" s="708" t="s">
        <v>1004</v>
      </c>
      <c r="C151" s="1081">
        <v>3122</v>
      </c>
      <c r="D151" s="1082">
        <v>0.35</v>
      </c>
      <c r="E151" s="994"/>
      <c r="F151" s="995"/>
      <c r="G151" s="710"/>
      <c r="H151" s="710"/>
      <c r="I151" s="710"/>
    </row>
    <row r="152" spans="1:17" ht="16.2">
      <c r="B152" s="708" t="s">
        <v>1005</v>
      </c>
      <c r="C152" s="1081">
        <v>2258</v>
      </c>
      <c r="D152" s="1082">
        <v>0.83</v>
      </c>
      <c r="E152" s="994"/>
      <c r="F152" s="995"/>
      <c r="G152" s="710"/>
      <c r="H152" s="1090"/>
      <c r="I152" s="1080"/>
    </row>
    <row r="153" spans="1:17" ht="16.2">
      <c r="B153" s="708" t="s">
        <v>1006</v>
      </c>
      <c r="C153" s="1081">
        <v>11004</v>
      </c>
      <c r="D153" s="1082">
        <v>0.82</v>
      </c>
      <c r="E153" s="994"/>
      <c r="F153" s="995"/>
      <c r="G153" s="710"/>
      <c r="H153" s="1080"/>
      <c r="I153" s="1080"/>
    </row>
    <row r="154" spans="1:17" ht="16.2">
      <c r="B154" s="1479" t="s">
        <v>1007</v>
      </c>
      <c r="C154" s="1479"/>
      <c r="D154" s="1479"/>
      <c r="E154" s="1479"/>
      <c r="F154" s="1479"/>
      <c r="G154" s="710"/>
      <c r="H154" s="1080"/>
      <c r="I154" s="1080"/>
    </row>
    <row r="155" spans="1:17" ht="16.2">
      <c r="B155" s="2"/>
      <c r="C155" s="2"/>
      <c r="D155" s="2"/>
      <c r="E155" s="2"/>
      <c r="F155" s="2"/>
      <c r="G155" s="710"/>
      <c r="H155" s="1080"/>
      <c r="I155" s="1080"/>
    </row>
    <row r="156" spans="1:17" ht="17.399999999999999">
      <c r="B156" s="941" t="s">
        <v>1008</v>
      </c>
      <c r="C156" s="943" t="s">
        <v>545</v>
      </c>
      <c r="D156" s="943" t="s">
        <v>546</v>
      </c>
      <c r="E156" s="943" t="s">
        <v>547</v>
      </c>
      <c r="F156" s="943" t="s">
        <v>548</v>
      </c>
      <c r="G156" s="943" t="s">
        <v>549</v>
      </c>
    </row>
    <row r="157" spans="1:17" ht="16.2">
      <c r="B157" s="707" t="s">
        <v>1009</v>
      </c>
      <c r="C157" s="1045">
        <v>0.73</v>
      </c>
      <c r="D157" s="709">
        <v>0.75</v>
      </c>
      <c r="E157" s="1474" t="s">
        <v>1010</v>
      </c>
      <c r="F157" s="695">
        <v>0.74</v>
      </c>
      <c r="G157" s="695">
        <v>0.64</v>
      </c>
    </row>
    <row r="158" spans="1:17" ht="16.2">
      <c r="B158" s="599" t="s">
        <v>1011</v>
      </c>
      <c r="C158" s="1086"/>
      <c r="D158" s="1086"/>
      <c r="E158" s="1475"/>
      <c r="F158" s="695">
        <v>0.65</v>
      </c>
      <c r="G158" s="695">
        <v>0.63</v>
      </c>
    </row>
    <row r="159" spans="1:17" ht="16.2">
      <c r="B159" s="599" t="s">
        <v>1012</v>
      </c>
      <c r="C159" s="1086"/>
      <c r="D159" s="1050">
        <v>6.9</v>
      </c>
      <c r="E159" s="1475"/>
      <c r="F159" s="1086"/>
      <c r="G159" s="1086"/>
    </row>
    <row r="160" spans="1:17" ht="16.2">
      <c r="B160" s="599" t="s">
        <v>1013</v>
      </c>
      <c r="C160" s="1087">
        <v>7.2</v>
      </c>
      <c r="D160" s="1086" t="s">
        <v>1010</v>
      </c>
      <c r="E160" s="1476"/>
      <c r="F160" s="1086" t="s">
        <v>1010</v>
      </c>
      <c r="G160" s="1086" t="s">
        <v>1010</v>
      </c>
    </row>
  </sheetData>
  <sheetProtection algorithmName="SHA-512" hashValue="ZRuc1HESzf/UXmLdR4Aj58lYriyWyfeb5ivkV6fYXRIPs5e8g1ap9HcR8MNMV8T8QcdzmXzm3+DvqK+buNYtxA==" saltValue="OZVHWDlCRtgfKD1qGcU0RQ==" spinCount="100000" sheet="1" objects="1" scenarios="1"/>
  <mergeCells count="85">
    <mergeCell ref="E157:E160"/>
    <mergeCell ref="D140:D141"/>
    <mergeCell ref="B154:F154"/>
    <mergeCell ref="B4:L4"/>
    <mergeCell ref="F14:H14"/>
    <mergeCell ref="C14:E14"/>
    <mergeCell ref="I14:K14"/>
    <mergeCell ref="K53:K54"/>
    <mergeCell ref="F31:F32"/>
    <mergeCell ref="G31:G32"/>
    <mergeCell ref="H31:H32"/>
    <mergeCell ref="I17:I18"/>
    <mergeCell ref="J17:J18"/>
    <mergeCell ref="K17:K18"/>
    <mergeCell ref="L17:L18"/>
    <mergeCell ref="L85:N85"/>
    <mergeCell ref="P17:P18"/>
    <mergeCell ref="Q17:Q18"/>
    <mergeCell ref="C146:D146"/>
    <mergeCell ref="B146:B147"/>
    <mergeCell ref="F17:F18"/>
    <mergeCell ref="G17:G18"/>
    <mergeCell ref="H17:H18"/>
    <mergeCell ref="F24:F25"/>
    <mergeCell ref="G24:G25"/>
    <mergeCell ref="H24:H25"/>
    <mergeCell ref="I24:I25"/>
    <mergeCell ref="J24:J25"/>
    <mergeCell ref="K24:K25"/>
    <mergeCell ref="I53:I54"/>
    <mergeCell ref="J53:J54"/>
    <mergeCell ref="M17:M18"/>
    <mergeCell ref="N31:N32"/>
    <mergeCell ref="L14:N14"/>
    <mergeCell ref="O14:O15"/>
    <mergeCell ref="I31:I32"/>
    <mergeCell ref="J31:J32"/>
    <mergeCell ref="K31:K32"/>
    <mergeCell ref="L31:L32"/>
    <mergeCell ref="M31:M32"/>
    <mergeCell ref="L24:L25"/>
    <mergeCell ref="M24:M25"/>
    <mergeCell ref="N24:N25"/>
    <mergeCell ref="N17:N18"/>
    <mergeCell ref="O44:O45"/>
    <mergeCell ref="L44:N44"/>
    <mergeCell ref="I133:K133"/>
    <mergeCell ref="L133:N133"/>
    <mergeCell ref="E146:F146"/>
    <mergeCell ref="I92:K92"/>
    <mergeCell ref="L92:N92"/>
    <mergeCell ref="L93:N93"/>
    <mergeCell ref="O46:O47"/>
    <mergeCell ref="O48:O49"/>
    <mergeCell ref="H53:H54"/>
    <mergeCell ref="F53:F54"/>
    <mergeCell ref="C44:E44"/>
    <mergeCell ref="C85:E85"/>
    <mergeCell ref="I94:K94"/>
    <mergeCell ref="L94:N94"/>
    <mergeCell ref="C117:F117"/>
    <mergeCell ref="C133:E133"/>
    <mergeCell ref="F133:H133"/>
    <mergeCell ref="G53:G54"/>
    <mergeCell ref="A134:A135"/>
    <mergeCell ref="G117:J117"/>
    <mergeCell ref="B98:B99"/>
    <mergeCell ref="F98:H98"/>
    <mergeCell ref="C98:E98"/>
    <mergeCell ref="C126:E126"/>
    <mergeCell ref="F126:H126"/>
    <mergeCell ref="B107:B108"/>
    <mergeCell ref="C107:E107"/>
    <mergeCell ref="F107:H107"/>
    <mergeCell ref="C59:D59"/>
    <mergeCell ref="L53:L54"/>
    <mergeCell ref="M53:M54"/>
    <mergeCell ref="N53:N54"/>
    <mergeCell ref="F44:H44"/>
    <mergeCell ref="I93:K93"/>
    <mergeCell ref="F85:H85"/>
    <mergeCell ref="I85:K85"/>
    <mergeCell ref="I44:K44"/>
    <mergeCell ref="E59:F59"/>
    <mergeCell ref="G59:H59"/>
  </mergeCells>
  <phoneticPr fontId="3" type="noConversion"/>
  <pageMargins left="0.70866141732283472" right="0.70866141732283472" top="0.74803149606299213" bottom="0.74803149606299213" header="0.31496062992125984" footer="0.31496062992125984"/>
  <pageSetup paperSize="9" scale="34" fitToHeight="0"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A01F-2334-4F3B-8E31-6E9D6B2032E3}">
  <sheetPr codeName="Sheet6">
    <tabColor theme="7"/>
    <pageSetUpPr fitToPage="1"/>
  </sheetPr>
  <dimension ref="B1:V43"/>
  <sheetViews>
    <sheetView zoomScale="80" zoomScaleNormal="80" workbookViewId="0"/>
  </sheetViews>
  <sheetFormatPr defaultColWidth="8.88671875" defaultRowHeight="12.6"/>
  <cols>
    <col min="1" max="1" width="2.44140625" style="3" customWidth="1"/>
    <col min="2" max="2" width="73.33203125" style="3" customWidth="1"/>
    <col min="3" max="3" width="32.5546875" style="3" customWidth="1"/>
    <col min="4" max="4" width="16.109375" style="3" customWidth="1"/>
    <col min="5" max="13" width="16.33203125" style="3" customWidth="1"/>
    <col min="14" max="21" width="11.88671875" style="3" customWidth="1"/>
    <col min="22" max="16384" width="8.88671875" style="3"/>
  </cols>
  <sheetData>
    <row r="1" spans="2:13"/>
    <row r="2" spans="2:13" ht="60.9" customHeight="1">
      <c r="B2" s="1485" t="s">
        <v>1014</v>
      </c>
      <c r="C2" s="1444"/>
      <c r="D2" s="1444"/>
      <c r="E2" s="1444"/>
      <c r="F2" s="1444"/>
      <c r="G2" s="1444"/>
      <c r="H2" s="1444"/>
      <c r="I2" s="1444"/>
      <c r="J2" s="1444"/>
    </row>
    <row r="3" spans="2:13">
      <c r="B3" s="514"/>
    </row>
    <row r="5" spans="2:13" ht="29.1" customHeight="1">
      <c r="B5" s="1482" t="s">
        <v>1015</v>
      </c>
      <c r="C5" s="1482" t="s">
        <v>544</v>
      </c>
      <c r="D5" s="1483" t="s">
        <v>545</v>
      </c>
      <c r="E5" s="1483"/>
      <c r="F5" s="1481" t="s">
        <v>546</v>
      </c>
      <c r="G5" s="1481"/>
      <c r="H5" s="1481" t="s">
        <v>547</v>
      </c>
      <c r="I5" s="1481"/>
      <c r="J5" s="1481" t="s">
        <v>548</v>
      </c>
      <c r="K5" s="1481"/>
      <c r="L5" s="1481" t="s">
        <v>549</v>
      </c>
      <c r="M5" s="1481"/>
    </row>
    <row r="6" spans="2:13">
      <c r="B6" s="1482"/>
      <c r="C6" s="1482"/>
      <c r="D6" s="1013" t="s">
        <v>898</v>
      </c>
      <c r="E6" s="1014" t="s">
        <v>901</v>
      </c>
      <c r="F6" s="1015" t="s">
        <v>898</v>
      </c>
      <c r="G6" s="1016" t="s">
        <v>901</v>
      </c>
      <c r="H6" s="1015" t="s">
        <v>898</v>
      </c>
      <c r="I6" s="1016" t="s">
        <v>901</v>
      </c>
      <c r="J6" s="1015" t="s">
        <v>898</v>
      </c>
      <c r="K6" s="1016" t="s">
        <v>901</v>
      </c>
      <c r="L6" s="1015" t="s">
        <v>898</v>
      </c>
      <c r="M6" s="1016" t="s">
        <v>901</v>
      </c>
    </row>
    <row r="7" spans="2:13" ht="32.4">
      <c r="B7" s="623" t="s">
        <v>1016</v>
      </c>
      <c r="C7" s="613" t="s">
        <v>1017</v>
      </c>
      <c r="D7" s="1172">
        <v>17.11</v>
      </c>
      <c r="E7" s="1017" t="s">
        <v>1018</v>
      </c>
      <c r="F7" s="1018">
        <v>11.11</v>
      </c>
      <c r="G7" s="1018" t="s">
        <v>1019</v>
      </c>
      <c r="H7" s="1019">
        <v>11.8</v>
      </c>
      <c r="I7" s="1020" t="s">
        <v>1019</v>
      </c>
      <c r="J7" s="1019">
        <v>16.12</v>
      </c>
      <c r="K7" s="1020" t="s">
        <v>1019</v>
      </c>
      <c r="L7" s="1019">
        <v>18.443351047652378</v>
      </c>
      <c r="M7" s="1020" t="s">
        <v>1019</v>
      </c>
    </row>
    <row r="8" spans="2:13" ht="16.2">
      <c r="B8" s="623" t="s">
        <v>1020</v>
      </c>
      <c r="C8" s="623" t="s">
        <v>620</v>
      </c>
      <c r="D8" s="1172">
        <v>0.34</v>
      </c>
      <c r="E8" s="1017">
        <v>0.48</v>
      </c>
      <c r="F8" s="1018">
        <f>E25</f>
        <v>0.48</v>
      </c>
      <c r="G8" s="1018">
        <f>E26</f>
        <v>0.41</v>
      </c>
      <c r="H8" s="1020">
        <v>0.59</v>
      </c>
      <c r="I8" s="1020" t="s">
        <v>1021</v>
      </c>
      <c r="J8" s="1019">
        <v>0.56999999999999995</v>
      </c>
      <c r="K8" s="1020" t="s">
        <v>1021</v>
      </c>
      <c r="L8" s="1019">
        <v>0.78427488081668739</v>
      </c>
      <c r="M8" s="1020" t="s">
        <v>1021</v>
      </c>
    </row>
    <row r="9" spans="2:13" ht="16.2">
      <c r="B9" s="623" t="s">
        <v>1022</v>
      </c>
      <c r="C9" s="623" t="s">
        <v>1023</v>
      </c>
      <c r="D9" s="1173">
        <v>18</v>
      </c>
      <c r="E9" s="1017">
        <v>5</v>
      </c>
      <c r="F9" s="1018">
        <v>28</v>
      </c>
      <c r="G9" s="1018">
        <v>9</v>
      </c>
      <c r="H9" s="1020">
        <v>40</v>
      </c>
      <c r="I9" s="1020">
        <v>8</v>
      </c>
      <c r="J9" s="1020">
        <v>39</v>
      </c>
      <c r="K9" s="1020">
        <v>6</v>
      </c>
      <c r="L9" s="1020">
        <v>49</v>
      </c>
      <c r="M9" s="1020">
        <v>12</v>
      </c>
    </row>
    <row r="10" spans="2:13" ht="16.2">
      <c r="B10" s="623" t="s">
        <v>1024</v>
      </c>
      <c r="C10" s="623" t="s">
        <v>614</v>
      </c>
      <c r="D10" s="1172">
        <v>0.84</v>
      </c>
      <c r="E10" s="1017">
        <v>0.95</v>
      </c>
      <c r="F10" s="1171">
        <v>1.196</v>
      </c>
      <c r="G10" s="1018">
        <v>1.37</v>
      </c>
      <c r="H10" s="1020">
        <v>1.45</v>
      </c>
      <c r="I10" s="1020">
        <v>1.33</v>
      </c>
      <c r="J10" s="1019">
        <v>1.29</v>
      </c>
      <c r="K10" s="1019">
        <v>1.1299999999999999</v>
      </c>
      <c r="L10" s="1019">
        <v>1.4464112881567741</v>
      </c>
      <c r="M10" s="1019">
        <v>1.33</v>
      </c>
    </row>
    <row r="11" spans="2:13" ht="16.2">
      <c r="B11" s="623" t="s">
        <v>1025</v>
      </c>
      <c r="C11" s="623" t="s">
        <v>620</v>
      </c>
      <c r="D11" s="1172">
        <v>0.17</v>
      </c>
      <c r="E11" s="1017">
        <v>0.19</v>
      </c>
      <c r="F11" s="1018">
        <v>0.23</v>
      </c>
      <c r="G11" s="1018">
        <f>E22</f>
        <v>0.27</v>
      </c>
      <c r="H11" s="1019">
        <v>0.3</v>
      </c>
      <c r="I11" s="1020" t="s">
        <v>1021</v>
      </c>
      <c r="J11" s="1019">
        <v>0.28999999999999998</v>
      </c>
      <c r="K11" s="1020" t="s">
        <v>1021</v>
      </c>
      <c r="L11" s="1019">
        <v>0.34713806200082886</v>
      </c>
      <c r="M11" s="1020" t="s">
        <v>1021</v>
      </c>
    </row>
    <row r="12" spans="2:13" ht="32.4">
      <c r="B12" s="623" t="s">
        <v>1026</v>
      </c>
      <c r="C12" s="623" t="s">
        <v>614</v>
      </c>
      <c r="D12" s="1172">
        <v>0</v>
      </c>
      <c r="E12" s="1017" t="s">
        <v>1018</v>
      </c>
      <c r="F12" s="1018">
        <v>0.08</v>
      </c>
      <c r="G12" s="1018" t="s">
        <v>1019</v>
      </c>
      <c r="H12" s="1020">
        <v>0.16</v>
      </c>
      <c r="I12" s="1020" t="s">
        <v>1019</v>
      </c>
      <c r="J12" s="1019">
        <v>0.11</v>
      </c>
      <c r="K12" s="1020" t="s">
        <v>1019</v>
      </c>
      <c r="L12" s="1019">
        <v>0.44999462298210752</v>
      </c>
      <c r="M12" s="1020" t="s">
        <v>1019</v>
      </c>
    </row>
    <row r="13" spans="2:13" ht="24.9" hidden="1" customHeight="1">
      <c r="B13" s="515" t="s">
        <v>1027</v>
      </c>
      <c r="C13" s="515"/>
      <c r="F13" s="516"/>
      <c r="G13" s="495"/>
      <c r="H13" s="517"/>
      <c r="I13" s="516"/>
      <c r="J13" s="495"/>
      <c r="K13" s="517"/>
    </row>
    <row r="14" spans="2:13" ht="11.4" hidden="1" customHeight="1">
      <c r="B14" s="518" t="s">
        <v>1028</v>
      </c>
      <c r="C14" s="1052" t="s">
        <v>1029</v>
      </c>
      <c r="D14" s="1052"/>
      <c r="E14" s="1052"/>
      <c r="G14" s="519"/>
    </row>
    <row r="15" spans="2:13" ht="11.4" hidden="1" customHeight="1">
      <c r="B15" s="518" t="s">
        <v>1030</v>
      </c>
      <c r="C15" s="1484" t="s">
        <v>1031</v>
      </c>
      <c r="D15" s="1484"/>
      <c r="E15" s="1484"/>
      <c r="F15" s="1484"/>
      <c r="G15" s="519"/>
    </row>
    <row r="16" spans="2:13" ht="11.4" hidden="1" customHeight="1">
      <c r="B16" s="520" t="s">
        <v>1032</v>
      </c>
      <c r="C16" s="1484" t="s">
        <v>1033</v>
      </c>
      <c r="D16" s="1484"/>
      <c r="E16" s="1484"/>
      <c r="F16" s="1484"/>
      <c r="G16" s="519"/>
    </row>
    <row r="17" spans="2:22" ht="11.4" hidden="1" customHeight="1">
      <c r="B17" s="520" t="s">
        <v>1034</v>
      </c>
      <c r="C17" s="1484" t="s">
        <v>1035</v>
      </c>
      <c r="D17" s="1484"/>
      <c r="E17" s="1484"/>
      <c r="F17" s="1484"/>
      <c r="G17" s="519"/>
    </row>
    <row r="18" spans="2:22" ht="26.4" customHeight="1">
      <c r="G18" s="519"/>
    </row>
    <row r="19" spans="2:22" ht="40.65" customHeight="1">
      <c r="B19" s="944" t="s">
        <v>1015</v>
      </c>
      <c r="C19" s="947" t="s">
        <v>544</v>
      </c>
      <c r="D19" s="945" t="s">
        <v>545</v>
      </c>
      <c r="E19" s="946" t="s">
        <v>546</v>
      </c>
      <c r="F19" s="946" t="s">
        <v>547</v>
      </c>
      <c r="G19" s="946" t="s">
        <v>548</v>
      </c>
      <c r="H19" s="946" t="s">
        <v>549</v>
      </c>
      <c r="I19" s="946" t="s">
        <v>1036</v>
      </c>
      <c r="J19" s="945" t="s">
        <v>847</v>
      </c>
      <c r="K19" s="948" t="s">
        <v>1037</v>
      </c>
      <c r="O19" s="3" t="str">
        <f>I19</f>
        <v>2018/19</v>
      </c>
      <c r="P19" s="3" t="str">
        <f>H19</f>
        <v>2019/20</v>
      </c>
      <c r="Q19" s="3" t="str">
        <f>G19</f>
        <v>2020/21</v>
      </c>
      <c r="R19" s="3" t="str">
        <f>F19</f>
        <v>2021/22</v>
      </c>
      <c r="S19" s="3" t="str">
        <f>E19</f>
        <v>2022/23</v>
      </c>
      <c r="T19" s="3" t="str">
        <f>D19</f>
        <v>2023/24</v>
      </c>
    </row>
    <row r="20" spans="2:22" ht="32.4">
      <c r="B20" s="613" t="s">
        <v>1038</v>
      </c>
      <c r="C20" s="623" t="s">
        <v>620</v>
      </c>
      <c r="D20" s="1021">
        <v>0.17</v>
      </c>
      <c r="E20" s="717">
        <v>0.24</v>
      </c>
      <c r="F20" s="718">
        <v>0.3</v>
      </c>
      <c r="G20" s="717">
        <v>0.28000000000000003</v>
      </c>
      <c r="H20" s="717">
        <v>0.34</v>
      </c>
      <c r="I20" s="717">
        <v>0.56000000000000005</v>
      </c>
      <c r="J20" s="1029">
        <f>(D20-E20)/E20</f>
        <v>-0.29166666666666657</v>
      </c>
      <c r="K20" s="1027"/>
      <c r="M20" s="534"/>
      <c r="N20" s="534" t="str">
        <f>B20</f>
        <v>Lost Time Injury and Illness Rate (LTIIR) 
employees + contractors</v>
      </c>
      <c r="O20" s="3">
        <f>I20</f>
        <v>0.56000000000000005</v>
      </c>
      <c r="P20" s="3">
        <f>H20</f>
        <v>0.34</v>
      </c>
      <c r="Q20" s="3">
        <f>G20</f>
        <v>0.28000000000000003</v>
      </c>
      <c r="R20" s="1065">
        <f>F20</f>
        <v>0.3</v>
      </c>
      <c r="S20" s="3">
        <f>E20</f>
        <v>0.24</v>
      </c>
      <c r="T20" s="3">
        <f>D20</f>
        <v>0.17</v>
      </c>
      <c r="U20" s="534"/>
      <c r="V20" s="534"/>
    </row>
    <row r="21" spans="2:22" ht="16.2">
      <c r="B21" s="705" t="s">
        <v>1039</v>
      </c>
      <c r="C21" s="623" t="s">
        <v>620</v>
      </c>
      <c r="D21" s="1021">
        <v>0.17</v>
      </c>
      <c r="E21" s="717">
        <v>0.23</v>
      </c>
      <c r="F21" s="718">
        <v>0.3</v>
      </c>
      <c r="G21" s="717">
        <v>0.28999999999999998</v>
      </c>
      <c r="H21" s="717">
        <v>0.35</v>
      </c>
      <c r="I21" s="717">
        <v>0.56999999999999995</v>
      </c>
      <c r="J21" s="1029">
        <f t="shared" ref="J21:J29" si="0">(D21-E21)/E21</f>
        <v>-0.2608695652173913</v>
      </c>
      <c r="K21" s="1028"/>
      <c r="M21" s="534"/>
      <c r="N21" s="534"/>
      <c r="U21" s="534"/>
      <c r="V21" s="534"/>
    </row>
    <row r="22" spans="2:22" ht="16.2">
      <c r="B22" s="705" t="s">
        <v>1040</v>
      </c>
      <c r="C22" s="623" t="s">
        <v>620</v>
      </c>
      <c r="D22" s="1021">
        <v>0.19</v>
      </c>
      <c r="E22" s="717">
        <v>0.27</v>
      </c>
      <c r="F22" s="717">
        <v>0.27</v>
      </c>
      <c r="G22" s="717">
        <v>0.23</v>
      </c>
      <c r="H22" s="717">
        <v>0.27</v>
      </c>
      <c r="I22" s="717">
        <v>0.4</v>
      </c>
      <c r="J22" s="1029">
        <f t="shared" si="0"/>
        <v>-0.29629629629629634</v>
      </c>
      <c r="K22" s="1028"/>
      <c r="M22" s="534"/>
      <c r="N22" s="534"/>
      <c r="U22" s="534"/>
      <c r="V22" s="534"/>
    </row>
    <row r="23" spans="2:22" ht="32.4">
      <c r="B23" s="613" t="s">
        <v>1041</v>
      </c>
      <c r="C23" s="623" t="s">
        <v>620</v>
      </c>
      <c r="D23" s="1021">
        <v>0.36</v>
      </c>
      <c r="E23" s="717">
        <v>0.47</v>
      </c>
      <c r="F23" s="717">
        <v>0.59</v>
      </c>
      <c r="G23" s="717">
        <v>0.55000000000000004</v>
      </c>
      <c r="H23" s="717">
        <v>0.79</v>
      </c>
      <c r="I23" s="717">
        <v>0.97</v>
      </c>
      <c r="J23" s="1029">
        <f>(D23-E23)/E23</f>
        <v>-0.23404255319148934</v>
      </c>
      <c r="K23" s="1029">
        <f>(D23-H23)/(0.25-H23)</f>
        <v>0.79629629629629628</v>
      </c>
      <c r="N23" s="534" t="str">
        <f>B23</f>
        <v>Total Recordable Injury and Illness Rate (TRIIR)
employees + contractors</v>
      </c>
      <c r="O23" s="3">
        <f>I23</f>
        <v>0.97</v>
      </c>
      <c r="P23" s="3">
        <f>H23</f>
        <v>0.79</v>
      </c>
      <c r="Q23" s="3">
        <f>G23</f>
        <v>0.55000000000000004</v>
      </c>
      <c r="R23" s="3">
        <f>F23</f>
        <v>0.59</v>
      </c>
      <c r="S23" s="3">
        <f>E23</f>
        <v>0.47</v>
      </c>
      <c r="T23" s="3">
        <f>D23</f>
        <v>0.36</v>
      </c>
      <c r="U23" s="534"/>
      <c r="V23" s="534"/>
    </row>
    <row r="24" spans="2:22" ht="32.4">
      <c r="B24" s="613" t="s">
        <v>1042</v>
      </c>
      <c r="C24" s="623" t="s">
        <v>894</v>
      </c>
      <c r="D24" s="1021">
        <v>50</v>
      </c>
      <c r="E24" s="717">
        <v>71</v>
      </c>
      <c r="F24" s="717">
        <v>98</v>
      </c>
      <c r="G24" s="717">
        <v>89</v>
      </c>
      <c r="H24" s="717">
        <v>144</v>
      </c>
      <c r="I24" s="717">
        <v>160</v>
      </c>
      <c r="J24" s="1029">
        <f t="shared" si="0"/>
        <v>-0.29577464788732394</v>
      </c>
      <c r="K24" s="1029"/>
      <c r="M24" s="534"/>
      <c r="N24" s="534"/>
      <c r="U24" s="534"/>
      <c r="V24" s="534"/>
    </row>
    <row r="25" spans="2:22" ht="16.2">
      <c r="B25" s="705" t="s">
        <v>1043</v>
      </c>
      <c r="C25" s="623" t="s">
        <v>620</v>
      </c>
      <c r="D25" s="1021">
        <v>0.34</v>
      </c>
      <c r="E25" s="717">
        <v>0.48</v>
      </c>
      <c r="F25" s="717">
        <v>0.61</v>
      </c>
      <c r="G25" s="717">
        <v>0.56999999999999995</v>
      </c>
      <c r="H25" s="717">
        <v>0.79</v>
      </c>
      <c r="I25" s="717">
        <v>1.01</v>
      </c>
      <c r="J25" s="1029">
        <f t="shared" si="0"/>
        <v>-0.29166666666666657</v>
      </c>
      <c r="K25" s="1028"/>
      <c r="M25" s="534"/>
      <c r="N25" s="534"/>
      <c r="U25" s="534"/>
      <c r="V25" s="534"/>
    </row>
    <row r="26" spans="2:22" ht="16.2">
      <c r="B26" s="705" t="s">
        <v>1044</v>
      </c>
      <c r="C26" s="623" t="s">
        <v>620</v>
      </c>
      <c r="D26" s="1021">
        <v>0.48</v>
      </c>
      <c r="E26" s="717">
        <v>0.41</v>
      </c>
      <c r="F26" s="717">
        <v>0.49</v>
      </c>
      <c r="G26" s="717">
        <v>0.45</v>
      </c>
      <c r="H26" s="717">
        <v>0.8</v>
      </c>
      <c r="I26" s="717">
        <v>0.53</v>
      </c>
      <c r="J26" s="1029">
        <f t="shared" si="0"/>
        <v>0.17073170731707318</v>
      </c>
      <c r="K26" s="1028"/>
      <c r="M26" s="534"/>
      <c r="N26" s="534"/>
      <c r="U26" s="534"/>
      <c r="V26" s="534"/>
    </row>
    <row r="27" spans="2:22" ht="16.2">
      <c r="B27" s="613" t="s">
        <v>650</v>
      </c>
      <c r="C27" s="613" t="s">
        <v>622</v>
      </c>
      <c r="D27" s="1022">
        <v>0.877</v>
      </c>
      <c r="E27" s="718">
        <v>1.0149999999999999</v>
      </c>
      <c r="F27" s="718">
        <v>1.3220000000000001</v>
      </c>
      <c r="G27" s="718">
        <v>0.77</v>
      </c>
      <c r="H27" s="718">
        <v>1.1819999999999999</v>
      </c>
      <c r="I27" s="718">
        <v>1.5349999999999999</v>
      </c>
      <c r="J27" s="1029">
        <f t="shared" si="0"/>
        <v>-0.13596059113300485</v>
      </c>
      <c r="K27" s="1029">
        <f>(D27-H27)/(0.4-H27)</f>
        <v>0.39002557544757027</v>
      </c>
      <c r="M27" s="534"/>
      <c r="N27" s="534" t="str">
        <f>B27</f>
        <v>ICCA - Process Safety Event Severity Rate (PSESR)</v>
      </c>
      <c r="O27" s="1065">
        <f>I27</f>
        <v>1.5349999999999999</v>
      </c>
      <c r="P27" s="1065">
        <f>H27</f>
        <v>1.1819999999999999</v>
      </c>
      <c r="Q27" s="1065">
        <f>G27</f>
        <v>0.77</v>
      </c>
      <c r="R27" s="1065">
        <f>F27</f>
        <v>1.3220000000000001</v>
      </c>
      <c r="S27" s="1065">
        <f>E27</f>
        <v>1.0149999999999999</v>
      </c>
      <c r="T27" s="1065">
        <f>D27</f>
        <v>0.877</v>
      </c>
      <c r="U27" s="534"/>
      <c r="V27" s="534"/>
    </row>
    <row r="28" spans="2:22" ht="16.2">
      <c r="B28" s="623" t="s">
        <v>1045</v>
      </c>
      <c r="C28" s="623" t="s">
        <v>1046</v>
      </c>
      <c r="D28" s="1023">
        <v>3</v>
      </c>
      <c r="E28" s="719">
        <f>E29*E30</f>
        <v>8.9727776479999992</v>
      </c>
      <c r="F28" s="719">
        <f>F29*F30</f>
        <v>11.004886842000001</v>
      </c>
      <c r="G28" s="719">
        <f>G29*G30</f>
        <v>5.0102105450000005</v>
      </c>
      <c r="H28" s="719">
        <f>H29*H30</f>
        <v>3.9997423400000001</v>
      </c>
      <c r="I28" s="719">
        <f>I29*I30</f>
        <v>3.0076201609999997</v>
      </c>
      <c r="J28" s="1029">
        <f t="shared" si="0"/>
        <v>-0.66565537254022011</v>
      </c>
      <c r="K28" s="1029"/>
      <c r="M28" s="534"/>
      <c r="N28" s="534"/>
      <c r="U28" s="534"/>
      <c r="V28" s="534"/>
    </row>
    <row r="29" spans="2:22" ht="16.2">
      <c r="B29" s="623" t="s">
        <v>617</v>
      </c>
      <c r="C29" s="602" t="s">
        <v>618</v>
      </c>
      <c r="D29" s="1024">
        <v>0.108</v>
      </c>
      <c r="E29" s="720">
        <v>0.29599999999999999</v>
      </c>
      <c r="F29" s="720">
        <v>0.33400000000000002</v>
      </c>
      <c r="G29" s="720">
        <v>0.155</v>
      </c>
      <c r="H29" s="720">
        <v>0.11</v>
      </c>
      <c r="I29" s="720">
        <v>9.0999999999999998E-2</v>
      </c>
      <c r="J29" s="1029">
        <f t="shared" si="0"/>
        <v>-0.6351351351351352</v>
      </c>
      <c r="K29" s="1027"/>
      <c r="M29" s="534"/>
      <c r="N29" s="534"/>
    </row>
    <row r="30" spans="2:22" ht="16.2">
      <c r="B30" s="622" t="s">
        <v>1047</v>
      </c>
      <c r="C30" s="706" t="s">
        <v>1048</v>
      </c>
      <c r="D30" s="1025">
        <v>27.458358</v>
      </c>
      <c r="E30" s="721">
        <v>30.313438000000001</v>
      </c>
      <c r="F30" s="721">
        <v>32.948763</v>
      </c>
      <c r="G30" s="721">
        <v>32.323939000000003</v>
      </c>
      <c r="H30" s="721">
        <v>36.361294000000001</v>
      </c>
      <c r="I30" s="721">
        <v>33.050770999999997</v>
      </c>
      <c r="J30" s="1029">
        <f t="shared" ref="J30" si="1">(D30-E30)/E30</f>
        <v>-9.4185291684829711E-2</v>
      </c>
      <c r="K30" s="1027"/>
      <c r="M30" s="534"/>
      <c r="N30" s="534"/>
    </row>
    <row r="31" spans="2:22" ht="16.2">
      <c r="B31" s="622" t="s">
        <v>1049</v>
      </c>
      <c r="C31" s="706" t="s">
        <v>894</v>
      </c>
      <c r="D31" s="1026">
        <v>0</v>
      </c>
      <c r="E31" s="722">
        <v>0</v>
      </c>
      <c r="F31" s="722">
        <v>0</v>
      </c>
      <c r="G31" s="722">
        <v>0</v>
      </c>
      <c r="H31" s="722">
        <v>0</v>
      </c>
      <c r="I31" s="722">
        <v>0</v>
      </c>
      <c r="J31" s="1029"/>
      <c r="K31" s="1027"/>
    </row>
    <row r="32" spans="2:22" ht="16.2">
      <c r="B32" s="622" t="s">
        <v>1050</v>
      </c>
      <c r="C32" s="706" t="s">
        <v>894</v>
      </c>
      <c r="D32" s="1026">
        <v>0</v>
      </c>
      <c r="E32" s="722">
        <v>0</v>
      </c>
      <c r="F32" s="722">
        <v>0</v>
      </c>
      <c r="G32" s="722">
        <v>0</v>
      </c>
      <c r="H32" s="722">
        <v>0</v>
      </c>
      <c r="I32" s="722">
        <v>0</v>
      </c>
      <c r="J32" s="1029"/>
      <c r="K32" s="1027"/>
    </row>
    <row r="33" spans="2:11" ht="32.4">
      <c r="B33" s="705" t="s">
        <v>1051</v>
      </c>
      <c r="C33" s="706" t="s">
        <v>894</v>
      </c>
      <c r="D33" s="1026">
        <v>0</v>
      </c>
      <c r="E33" s="722">
        <v>0</v>
      </c>
      <c r="F33" s="722">
        <v>0</v>
      </c>
      <c r="G33" s="722">
        <v>0</v>
      </c>
      <c r="H33" s="722">
        <v>0</v>
      </c>
      <c r="I33" s="723">
        <v>0</v>
      </c>
      <c r="J33" s="1029"/>
      <c r="K33" s="1027"/>
    </row>
    <row r="34" spans="2:11" ht="16.2">
      <c r="B34" s="622" t="s">
        <v>1052</v>
      </c>
      <c r="C34" s="706" t="s">
        <v>894</v>
      </c>
      <c r="D34" s="1026">
        <v>0</v>
      </c>
      <c r="E34" s="722">
        <v>0</v>
      </c>
      <c r="F34" s="722" t="s">
        <v>1021</v>
      </c>
      <c r="G34" s="722" t="s">
        <v>1021</v>
      </c>
      <c r="H34" s="722" t="s">
        <v>1021</v>
      </c>
      <c r="I34" s="722" t="s">
        <v>1021</v>
      </c>
      <c r="J34" s="1029"/>
      <c r="K34" s="1027"/>
    </row>
    <row r="35" spans="2:11">
      <c r="E35" s="521"/>
      <c r="F35" s="521"/>
      <c r="G35" s="521"/>
      <c r="H35" s="521"/>
      <c r="I35" s="521"/>
      <c r="J35" s="521"/>
      <c r="K35" s="521"/>
    </row>
    <row r="37" spans="2:11" ht="16.2">
      <c r="C37" s="734"/>
      <c r="E37" s="734"/>
      <c r="G37" s="734"/>
      <c r="I37" s="734"/>
      <c r="K37" s="734"/>
    </row>
    <row r="43" spans="2:11" ht="16.2">
      <c r="B43" s="1055"/>
    </row>
  </sheetData>
  <sheetProtection algorithmName="SHA-512" hashValue="UJWWp4Zhl+K+qJwuekkGDKK9qNN4ChJC/PTNGFnM+lqzJIfisrKxadTodOGUH5pCtXeMmvbM2+3eUarpreN+og==" saltValue="AgfU4NLAynNWXuuHtR2SVw==" spinCount="100000" sheet="1" objects="1" scenarios="1"/>
  <mergeCells count="11">
    <mergeCell ref="C15:F15"/>
    <mergeCell ref="C16:F16"/>
    <mergeCell ref="C17:F17"/>
    <mergeCell ref="B2:J2"/>
    <mergeCell ref="F5:G5"/>
    <mergeCell ref="L5:M5"/>
    <mergeCell ref="H5:I5"/>
    <mergeCell ref="J5:K5"/>
    <mergeCell ref="B5:B6"/>
    <mergeCell ref="C5:C6"/>
    <mergeCell ref="D5:E5"/>
  </mergeCells>
  <pageMargins left="0.70866141732283472" right="0.70866141732283472" top="0.74803149606299213" bottom="0.74803149606299213" header="0.31496062992125984" footer="0.31496062992125984"/>
  <pageSetup paperSize="9" scale="37" orientation="landscape"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DC94-2ACC-4A81-A254-C7521705475F}">
  <sheetPr codeName="Sheet9">
    <tabColor theme="7"/>
    <pageSetUpPr fitToPage="1"/>
  </sheetPr>
  <dimension ref="A2:V40"/>
  <sheetViews>
    <sheetView zoomScale="80" zoomScaleNormal="80" workbookViewId="0"/>
  </sheetViews>
  <sheetFormatPr defaultColWidth="8.88671875" defaultRowHeight="13.8"/>
  <cols>
    <col min="1" max="1" width="3.5546875" style="2" customWidth="1"/>
    <col min="2" max="2" width="64.44140625" style="2" bestFit="1" customWidth="1"/>
    <col min="3" max="3" width="25.109375" style="2" customWidth="1"/>
    <col min="4" max="4" width="7.88671875" style="2" customWidth="1"/>
    <col min="5" max="5" width="59.5546875" style="2" customWidth="1"/>
    <col min="6" max="6" width="23.33203125" style="2" bestFit="1" customWidth="1"/>
    <col min="7" max="7" width="5.44140625" style="2" customWidth="1"/>
    <col min="8" max="8" width="59.5546875" style="2" bestFit="1" customWidth="1"/>
    <col min="9" max="9" width="23.33203125" style="2" bestFit="1" customWidth="1"/>
    <col min="10" max="10" width="4.88671875" style="2" customWidth="1"/>
    <col min="11" max="11" width="59.5546875" style="2" bestFit="1" customWidth="1"/>
    <col min="12" max="12" width="23.33203125" style="2" bestFit="1" customWidth="1"/>
    <col min="13" max="13" width="5" style="2" customWidth="1"/>
    <col min="14" max="14" width="63.88671875" style="2" bestFit="1" customWidth="1"/>
    <col min="15" max="15" width="23.33203125" style="2" customWidth="1"/>
    <col min="16" max="16384" width="8.88671875" style="2"/>
  </cols>
  <sheetData>
    <row r="2" spans="2:22" ht="48.9" customHeight="1">
      <c r="B2" s="1485" t="s">
        <v>1053</v>
      </c>
      <c r="C2" s="1485"/>
      <c r="D2" s="1444"/>
      <c r="E2" s="1444"/>
      <c r="F2" s="1444"/>
      <c r="G2" s="1444"/>
      <c r="H2" s="8"/>
    </row>
    <row r="4" spans="2:22" ht="54.9" customHeight="1">
      <c r="B4" s="1488" t="s">
        <v>1054</v>
      </c>
      <c r="C4" s="1488"/>
      <c r="D4" s="1488"/>
      <c r="E4" s="1488"/>
      <c r="F4" s="1488"/>
      <c r="G4" s="1488"/>
      <c r="H4" s="1488"/>
      <c r="I4" s="1488"/>
      <c r="J4" s="1488"/>
    </row>
    <row r="6" spans="2:22" ht="22.2">
      <c r="B6" s="1486" t="s">
        <v>1055</v>
      </c>
      <c r="C6" s="1486"/>
      <c r="E6" s="1486" t="s">
        <v>1056</v>
      </c>
      <c r="F6" s="1486"/>
      <c r="G6" s="13"/>
      <c r="H6" s="1486" t="s">
        <v>1057</v>
      </c>
      <c r="I6" s="1486"/>
      <c r="K6" s="1486" t="s">
        <v>1058</v>
      </c>
      <c r="L6" s="1486"/>
      <c r="N6" s="1486" t="s">
        <v>1059</v>
      </c>
      <c r="O6" s="1486"/>
    </row>
    <row r="7" spans="2:22" ht="16.2">
      <c r="B7" s="725" t="s">
        <v>1060</v>
      </c>
      <c r="C7" s="726" t="s">
        <v>1061</v>
      </c>
      <c r="E7" s="725" t="s">
        <v>1060</v>
      </c>
      <c r="F7" s="726" t="s">
        <v>1061</v>
      </c>
      <c r="H7" s="725" t="s">
        <v>1062</v>
      </c>
      <c r="I7" s="726" t="s">
        <v>1061</v>
      </c>
      <c r="K7" s="725" t="s">
        <v>1062</v>
      </c>
      <c r="L7" s="726" t="s">
        <v>1061</v>
      </c>
      <c r="N7" s="725" t="s">
        <v>1062</v>
      </c>
      <c r="O7" s="726" t="s">
        <v>1061</v>
      </c>
    </row>
    <row r="8" spans="2:22" ht="16.2">
      <c r="B8" s="727" t="s">
        <v>1063</v>
      </c>
      <c r="C8" s="1033">
        <v>2</v>
      </c>
      <c r="E8" s="727" t="s">
        <v>1063</v>
      </c>
      <c r="F8" s="1030">
        <v>14</v>
      </c>
      <c r="H8" s="729" t="s">
        <v>1063</v>
      </c>
      <c r="I8" s="728">
        <v>12</v>
      </c>
      <c r="K8" s="729" t="s">
        <v>1063</v>
      </c>
      <c r="L8" s="728">
        <v>18</v>
      </c>
      <c r="N8" s="729" t="s">
        <v>1063</v>
      </c>
      <c r="O8" s="728">
        <v>13</v>
      </c>
    </row>
    <row r="9" spans="2:22" ht="16.2">
      <c r="B9" s="727" t="s">
        <v>1064</v>
      </c>
      <c r="C9" s="1033">
        <v>10</v>
      </c>
      <c r="E9" s="727" t="s">
        <v>1064</v>
      </c>
      <c r="F9" s="1030">
        <v>6</v>
      </c>
      <c r="H9" s="729" t="s">
        <v>1065</v>
      </c>
      <c r="I9" s="728">
        <v>0</v>
      </c>
      <c r="K9" s="729" t="s">
        <v>1065</v>
      </c>
      <c r="L9" s="728">
        <v>4</v>
      </c>
      <c r="N9" s="729" t="s">
        <v>1065</v>
      </c>
      <c r="O9" s="728">
        <v>2</v>
      </c>
    </row>
    <row r="10" spans="2:22" ht="21.75" customHeight="1">
      <c r="B10" s="727" t="s">
        <v>1066</v>
      </c>
      <c r="C10" s="1033">
        <v>44</v>
      </c>
      <c r="E10" s="727" t="s">
        <v>1066</v>
      </c>
      <c r="F10" s="1030">
        <v>47</v>
      </c>
      <c r="H10" s="729" t="s">
        <v>1067</v>
      </c>
      <c r="I10" s="728">
        <v>0</v>
      </c>
      <c r="K10" s="729" t="s">
        <v>1067</v>
      </c>
      <c r="L10" s="728">
        <v>1</v>
      </c>
      <c r="N10" s="729" t="s">
        <v>1068</v>
      </c>
      <c r="O10" s="728">
        <v>1</v>
      </c>
      <c r="Q10" s="1116"/>
      <c r="R10" s="1116"/>
      <c r="S10" s="1116"/>
      <c r="T10" s="1116"/>
      <c r="U10" s="1116"/>
      <c r="V10" s="1116"/>
    </row>
    <row r="11" spans="2:22" ht="16.2">
      <c r="B11" s="727" t="s">
        <v>1069</v>
      </c>
      <c r="C11" s="1033">
        <v>51</v>
      </c>
      <c r="E11" s="727" t="s">
        <v>1069</v>
      </c>
      <c r="F11" s="1030">
        <v>56</v>
      </c>
      <c r="H11" s="729" t="s">
        <v>1070</v>
      </c>
      <c r="I11" s="728">
        <v>0</v>
      </c>
      <c r="K11" s="729" t="s">
        <v>1070</v>
      </c>
      <c r="L11" s="728">
        <v>1</v>
      </c>
      <c r="N11" s="729" t="s">
        <v>1070</v>
      </c>
      <c r="O11" s="728">
        <v>1</v>
      </c>
      <c r="Q11" s="1116"/>
      <c r="R11" s="1116"/>
      <c r="S11" s="1116"/>
      <c r="T11" s="1116"/>
      <c r="U11" s="1116"/>
      <c r="V11" s="1116"/>
    </row>
    <row r="12" spans="2:22" ht="16.2">
      <c r="B12" s="727" t="s">
        <v>1071</v>
      </c>
      <c r="C12" s="1033">
        <v>1</v>
      </c>
      <c r="E12" s="727" t="s">
        <v>1071</v>
      </c>
      <c r="F12" s="1030">
        <v>5</v>
      </c>
      <c r="H12" s="729" t="s">
        <v>1064</v>
      </c>
      <c r="I12" s="728">
        <v>10</v>
      </c>
      <c r="K12" s="729" t="s">
        <v>1064</v>
      </c>
      <c r="L12" s="728">
        <v>15</v>
      </c>
      <c r="N12" s="729" t="s">
        <v>1064</v>
      </c>
      <c r="O12" s="728">
        <v>11</v>
      </c>
      <c r="Q12" s="1116"/>
      <c r="R12" s="1116" t="s">
        <v>545</v>
      </c>
      <c r="S12" s="1116" t="s">
        <v>546</v>
      </c>
      <c r="T12" s="1116" t="s">
        <v>547</v>
      </c>
      <c r="U12" s="1116" t="s">
        <v>548</v>
      </c>
      <c r="V12" s="1116" t="s">
        <v>549</v>
      </c>
    </row>
    <row r="13" spans="2:22" ht="32.4">
      <c r="B13" s="727" t="s">
        <v>1072</v>
      </c>
      <c r="C13" s="1033">
        <v>14</v>
      </c>
      <c r="E13" s="727" t="s">
        <v>1072</v>
      </c>
      <c r="F13" s="1030">
        <v>11</v>
      </c>
      <c r="H13" s="729" t="s">
        <v>1066</v>
      </c>
      <c r="I13" s="728">
        <v>51</v>
      </c>
      <c r="K13" s="729" t="s">
        <v>1066</v>
      </c>
      <c r="L13" s="728">
        <v>44</v>
      </c>
      <c r="N13" s="729" t="s">
        <v>1073</v>
      </c>
      <c r="O13" s="728">
        <v>58</v>
      </c>
      <c r="Q13" s="1116"/>
      <c r="R13" s="1116">
        <f>C21</f>
        <v>138</v>
      </c>
      <c r="S13" s="1116">
        <f>F21</f>
        <v>153</v>
      </c>
      <c r="T13" s="1116">
        <f>I26</f>
        <v>158</v>
      </c>
      <c r="U13" s="1116">
        <f>L24</f>
        <v>129</v>
      </c>
      <c r="V13" s="1116">
        <f>O24</f>
        <v>123</v>
      </c>
    </row>
    <row r="14" spans="2:22" ht="16.2">
      <c r="B14" s="727" t="s">
        <v>1074</v>
      </c>
      <c r="C14" s="1033">
        <v>2</v>
      </c>
      <c r="E14" s="727" t="s">
        <v>1074</v>
      </c>
      <c r="F14" s="1030">
        <v>2</v>
      </c>
      <c r="H14" s="729" t="s">
        <v>1069</v>
      </c>
      <c r="I14" s="728">
        <v>56</v>
      </c>
      <c r="K14" s="729" t="s">
        <v>1069</v>
      </c>
      <c r="L14" s="728">
        <v>18</v>
      </c>
      <c r="N14" s="729" t="s">
        <v>1069</v>
      </c>
      <c r="O14" s="728">
        <v>7</v>
      </c>
    </row>
    <row r="15" spans="2:22" ht="32.4">
      <c r="B15" s="727" t="s">
        <v>1075</v>
      </c>
      <c r="C15" s="1033">
        <v>0</v>
      </c>
      <c r="E15" s="727" t="s">
        <v>1075</v>
      </c>
      <c r="F15" s="1030">
        <v>1</v>
      </c>
      <c r="H15" s="729" t="s">
        <v>1071</v>
      </c>
      <c r="I15" s="728">
        <v>7</v>
      </c>
      <c r="K15" s="729" t="s">
        <v>1071</v>
      </c>
      <c r="L15" s="728">
        <v>3</v>
      </c>
      <c r="N15" s="729" t="s">
        <v>1076</v>
      </c>
      <c r="O15" s="728">
        <v>6</v>
      </c>
    </row>
    <row r="16" spans="2:22" ht="32.4">
      <c r="B16" s="727" t="s">
        <v>1077</v>
      </c>
      <c r="C16" s="1033">
        <v>3</v>
      </c>
      <c r="E16" s="727" t="s">
        <v>1077</v>
      </c>
      <c r="F16" s="1030">
        <v>4</v>
      </c>
      <c r="H16" s="729" t="s">
        <v>1072</v>
      </c>
      <c r="I16" s="728">
        <v>17</v>
      </c>
      <c r="K16" s="729" t="s">
        <v>1072</v>
      </c>
      <c r="L16" s="728">
        <v>12</v>
      </c>
      <c r="N16" s="729" t="s">
        <v>1072</v>
      </c>
      <c r="O16" s="728">
        <v>7</v>
      </c>
    </row>
    <row r="17" spans="1:15" ht="16.2">
      <c r="B17" s="727" t="s">
        <v>1078</v>
      </c>
      <c r="C17" s="1033">
        <v>3</v>
      </c>
      <c r="E17" s="727" t="s">
        <v>1078</v>
      </c>
      <c r="F17" s="1030">
        <v>6</v>
      </c>
      <c r="H17" s="729" t="s">
        <v>1079</v>
      </c>
      <c r="I17" s="728">
        <v>0</v>
      </c>
      <c r="K17" s="729" t="s">
        <v>1079</v>
      </c>
      <c r="L17" s="728">
        <v>1</v>
      </c>
      <c r="N17" s="729" t="s">
        <v>1080</v>
      </c>
      <c r="O17" s="728">
        <v>5</v>
      </c>
    </row>
    <row r="18" spans="1:15" ht="16.2">
      <c r="B18" s="729" t="s">
        <v>1081</v>
      </c>
      <c r="C18" s="1033">
        <v>1</v>
      </c>
      <c r="E18" s="729" t="s">
        <v>1081</v>
      </c>
      <c r="F18" s="1030">
        <v>1</v>
      </c>
      <c r="H18" s="729" t="s">
        <v>1082</v>
      </c>
      <c r="I18" s="728">
        <v>2</v>
      </c>
      <c r="K18" s="729" t="s">
        <v>1082</v>
      </c>
      <c r="L18" s="728">
        <v>5</v>
      </c>
      <c r="N18" s="729" t="s">
        <v>1082</v>
      </c>
      <c r="O18" s="728">
        <v>8</v>
      </c>
    </row>
    <row r="19" spans="1:15" ht="32.4">
      <c r="B19" s="729" t="s">
        <v>1083</v>
      </c>
      <c r="C19" s="1033">
        <v>5</v>
      </c>
      <c r="E19" s="729"/>
      <c r="F19" s="1030"/>
      <c r="H19" s="729"/>
      <c r="I19" s="728"/>
      <c r="K19" s="729"/>
      <c r="L19" s="728"/>
      <c r="N19" s="729"/>
      <c r="O19" s="728"/>
    </row>
    <row r="20" spans="1:15" ht="16.2">
      <c r="B20" s="729" t="s">
        <v>1084</v>
      </c>
      <c r="C20" s="1033">
        <v>2</v>
      </c>
      <c r="E20" s="729"/>
      <c r="F20" s="1030"/>
      <c r="H20" s="729"/>
      <c r="I20" s="728"/>
      <c r="K20" s="729"/>
      <c r="L20" s="728"/>
      <c r="N20" s="729"/>
      <c r="O20" s="728"/>
    </row>
    <row r="21" spans="1:15" ht="16.2">
      <c r="B21" s="730" t="s">
        <v>709</v>
      </c>
      <c r="C21" s="1034">
        <f>SUM(C8:C20)</f>
        <v>138</v>
      </c>
      <c r="E21" s="730" t="s">
        <v>709</v>
      </c>
      <c r="F21" s="1031">
        <f>SUM(F8:F18)</f>
        <v>153</v>
      </c>
      <c r="H21" s="729" t="s">
        <v>1085</v>
      </c>
      <c r="I21" s="728">
        <v>1</v>
      </c>
      <c r="K21" s="729" t="s">
        <v>1085</v>
      </c>
      <c r="L21" s="728">
        <v>1</v>
      </c>
      <c r="N21" s="729" t="s">
        <v>1086</v>
      </c>
      <c r="O21" s="728">
        <v>1</v>
      </c>
    </row>
    <row r="22" spans="1:15" ht="37.5" customHeight="1">
      <c r="B22" s="1489"/>
      <c r="C22" s="1489"/>
      <c r="E22" s="1489" t="s">
        <v>1087</v>
      </c>
      <c r="F22" s="1489"/>
      <c r="H22" s="729" t="s">
        <v>1088</v>
      </c>
      <c r="I22" s="728">
        <v>0</v>
      </c>
      <c r="K22" s="729" t="s">
        <v>1088</v>
      </c>
      <c r="L22" s="728">
        <v>1</v>
      </c>
      <c r="N22" s="729" t="s">
        <v>1081</v>
      </c>
      <c r="O22" s="728">
        <v>1</v>
      </c>
    </row>
    <row r="23" spans="1:15" ht="16.2">
      <c r="H23" s="729" t="s">
        <v>1089</v>
      </c>
      <c r="I23" s="728">
        <v>0</v>
      </c>
      <c r="K23" s="729" t="s">
        <v>1089</v>
      </c>
      <c r="L23" s="728">
        <v>5</v>
      </c>
      <c r="N23" s="729" t="s">
        <v>1089</v>
      </c>
      <c r="O23" s="728">
        <v>2</v>
      </c>
    </row>
    <row r="24" spans="1:15" ht="16.2">
      <c r="H24" s="729" t="s">
        <v>1068</v>
      </c>
      <c r="I24" s="728">
        <v>1</v>
      </c>
      <c r="K24" s="730" t="s">
        <v>709</v>
      </c>
      <c r="L24" s="731">
        <f>SUM(L8:L23)</f>
        <v>129</v>
      </c>
      <c r="N24" s="730" t="s">
        <v>709</v>
      </c>
      <c r="O24" s="731">
        <f>SUM(O8:O23)</f>
        <v>123</v>
      </c>
    </row>
    <row r="25" spans="1:15" ht="16.2">
      <c r="H25" s="729" t="s">
        <v>1086</v>
      </c>
      <c r="I25" s="728">
        <v>1</v>
      </c>
    </row>
    <row r="26" spans="1:15" ht="16.2">
      <c r="H26" s="730" t="s">
        <v>709</v>
      </c>
      <c r="I26" s="731">
        <f>SUM(I8:I25)</f>
        <v>158</v>
      </c>
    </row>
    <row r="29" spans="1:15" ht="16.2">
      <c r="B29" s="1490" t="s">
        <v>1090</v>
      </c>
      <c r="C29" s="1491"/>
      <c r="E29" s="1487" t="s">
        <v>1091</v>
      </c>
      <c r="F29" s="1487"/>
      <c r="G29" s="72"/>
      <c r="I29" s="72"/>
      <c r="J29" s="72"/>
    </row>
    <row r="30" spans="1:15" ht="48.6">
      <c r="A30" s="12"/>
      <c r="B30" s="1057" t="s">
        <v>1092</v>
      </c>
      <c r="C30" s="1058" t="s">
        <v>1061</v>
      </c>
      <c r="E30" s="725" t="s">
        <v>1092</v>
      </c>
      <c r="F30" s="726" t="s">
        <v>1061</v>
      </c>
    </row>
    <row r="31" spans="1:15" ht="16.2">
      <c r="B31" s="1059" t="s">
        <v>1093</v>
      </c>
      <c r="C31" s="1060">
        <v>14</v>
      </c>
      <c r="E31" s="727" t="s">
        <v>1093</v>
      </c>
      <c r="F31" s="1032">
        <v>4</v>
      </c>
    </row>
    <row r="32" spans="1:15" ht="16.2">
      <c r="B32" s="1061" t="s">
        <v>1094</v>
      </c>
      <c r="C32" s="1062">
        <v>7</v>
      </c>
      <c r="E32" s="727" t="s">
        <v>1094</v>
      </c>
      <c r="F32" s="1032">
        <v>3</v>
      </c>
    </row>
    <row r="33" spans="2:6" ht="16.2">
      <c r="B33" s="1061" t="s">
        <v>1095</v>
      </c>
      <c r="C33" s="1062">
        <v>39</v>
      </c>
      <c r="E33" s="727" t="s">
        <v>1096</v>
      </c>
      <c r="F33" s="1032">
        <v>21</v>
      </c>
    </row>
    <row r="34" spans="2:6" ht="16.2">
      <c r="B34" s="1061" t="s">
        <v>1097</v>
      </c>
      <c r="C34" s="1062">
        <v>46</v>
      </c>
      <c r="E34" s="727" t="s">
        <v>1098</v>
      </c>
      <c r="F34" s="1032">
        <v>34</v>
      </c>
    </row>
    <row r="35" spans="2:6" ht="16.2">
      <c r="B35" s="1061" t="s">
        <v>1099</v>
      </c>
      <c r="C35" s="1062">
        <v>11</v>
      </c>
      <c r="D35" s="12"/>
      <c r="E35" s="727" t="s">
        <v>1099</v>
      </c>
      <c r="F35" s="1032">
        <v>28</v>
      </c>
    </row>
    <row r="36" spans="2:6" ht="16.2">
      <c r="B36" s="1061" t="s">
        <v>1100</v>
      </c>
      <c r="C36" s="1062">
        <v>4</v>
      </c>
      <c r="E36" s="727" t="s">
        <v>1101</v>
      </c>
      <c r="F36" s="1032">
        <v>16</v>
      </c>
    </row>
    <row r="37" spans="2:6" ht="16.2">
      <c r="B37" s="1061" t="s">
        <v>1102</v>
      </c>
      <c r="C37" s="1062">
        <v>8</v>
      </c>
      <c r="E37" s="727" t="s">
        <v>1103</v>
      </c>
      <c r="F37" s="1032">
        <v>21</v>
      </c>
    </row>
    <row r="38" spans="2:6" ht="16.2">
      <c r="B38" s="1061" t="s">
        <v>1104</v>
      </c>
      <c r="C38" s="1062">
        <v>8</v>
      </c>
      <c r="E38" s="727" t="s">
        <v>1105</v>
      </c>
      <c r="F38" s="1032">
        <v>6</v>
      </c>
    </row>
    <row r="39" spans="2:6" ht="16.2">
      <c r="B39" s="1061" t="s">
        <v>1077</v>
      </c>
      <c r="C39" s="1062">
        <v>5</v>
      </c>
    </row>
    <row r="40" spans="2:6" ht="16.2">
      <c r="B40" s="1061" t="s">
        <v>1106</v>
      </c>
      <c r="C40" s="1062">
        <v>65</v>
      </c>
    </row>
  </sheetData>
  <sheetProtection algorithmName="SHA-512" hashValue="tIUZ5r+rkJJTjVIuEAfgyb6C211/PqOThFoaOxuR5sphmMCRYKfTx1FETkSr2R1cTw08//jz3FCuOu4wn9sgpQ==" saltValue="ZUct43Pcj3qkTmlWV3yP3w==" spinCount="100000" sheet="1" objects="1" scenarios="1"/>
  <mergeCells count="11">
    <mergeCell ref="N6:O6"/>
    <mergeCell ref="E6:F6"/>
    <mergeCell ref="E29:F29"/>
    <mergeCell ref="H6:I6"/>
    <mergeCell ref="B2:G2"/>
    <mergeCell ref="B4:J4"/>
    <mergeCell ref="K6:L6"/>
    <mergeCell ref="E22:F22"/>
    <mergeCell ref="B6:C6"/>
    <mergeCell ref="B22:C22"/>
    <mergeCell ref="B29:C29"/>
  </mergeCells>
  <phoneticPr fontId="3" type="noConversion"/>
  <pageMargins left="0.70866141732283472" right="0.70866141732283472" top="0.74803149606299213" bottom="0.74803149606299213" header="0.31496062992125984" footer="0.31496062992125984"/>
  <pageSetup paperSize="9" scale="3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26BF-61C3-4740-836A-46B4BBA11D05}">
  <sheetPr codeName="Sheet7">
    <tabColor theme="7"/>
    <pageSetUpPr fitToPage="1"/>
  </sheetPr>
  <dimension ref="B2:J25"/>
  <sheetViews>
    <sheetView zoomScale="80" zoomScaleNormal="80" workbookViewId="0"/>
  </sheetViews>
  <sheetFormatPr defaultColWidth="8.88671875" defaultRowHeight="13.8"/>
  <cols>
    <col min="1" max="1" width="2.5546875" style="2" customWidth="1"/>
    <col min="2" max="2" width="40.88671875" style="2" customWidth="1"/>
    <col min="3" max="3" width="38.5546875" style="2" customWidth="1"/>
    <col min="4" max="4" width="26.88671875" style="2" customWidth="1"/>
    <col min="5" max="5" width="13" style="2" customWidth="1"/>
    <col min="6" max="7" width="13.109375" style="2" customWidth="1"/>
    <col min="8" max="8" width="12.44140625" style="2" customWidth="1"/>
    <col min="9" max="9" width="11.88671875" style="2" customWidth="1"/>
    <col min="10" max="10" width="24.109375" style="2" customWidth="1"/>
    <col min="11" max="16384" width="8.88671875" style="2"/>
  </cols>
  <sheetData>
    <row r="2" spans="2:10" ht="50.1" customHeight="1">
      <c r="B2" s="1492" t="s">
        <v>1107</v>
      </c>
      <c r="C2" s="1493"/>
      <c r="D2" s="1493"/>
      <c r="E2" s="1493"/>
      <c r="F2" s="1493"/>
      <c r="G2" s="1493"/>
      <c r="H2" s="1493"/>
    </row>
    <row r="3" spans="2:10" ht="22.2">
      <c r="B3" s="71"/>
    </row>
    <row r="4" spans="2:10">
      <c r="B4" s="1494" t="s">
        <v>1108</v>
      </c>
      <c r="C4" s="1494"/>
      <c r="D4" s="1494"/>
      <c r="E4" s="1494"/>
      <c r="F4" s="1494"/>
      <c r="G4" s="1494"/>
      <c r="H4" s="1494"/>
      <c r="I4" s="1494"/>
      <c r="J4" s="656"/>
    </row>
    <row r="5" spans="2:10">
      <c r="B5" s="632"/>
      <c r="C5" s="632"/>
      <c r="D5" s="632"/>
      <c r="E5" s="632"/>
      <c r="F5" s="632"/>
      <c r="G5" s="632"/>
      <c r="H5" s="632"/>
      <c r="I5" s="632"/>
      <c r="J5" s="632"/>
    </row>
    <row r="6" spans="2:10" s="64" customFormat="1" ht="25.2">
      <c r="B6" s="949" t="s">
        <v>1109</v>
      </c>
      <c r="C6" s="950" t="s">
        <v>1110</v>
      </c>
      <c r="D6" s="949" t="s">
        <v>1111</v>
      </c>
      <c r="E6" s="914" t="s">
        <v>545</v>
      </c>
      <c r="F6" s="938" t="s">
        <v>546</v>
      </c>
      <c r="G6" s="938" t="s">
        <v>547</v>
      </c>
      <c r="H6" s="938" t="s">
        <v>548</v>
      </c>
      <c r="I6" s="938" t="s">
        <v>549</v>
      </c>
      <c r="J6" s="945" t="s">
        <v>847</v>
      </c>
    </row>
    <row r="7" spans="2:10" ht="16.2">
      <c r="B7" s="852" t="s">
        <v>1112</v>
      </c>
      <c r="C7" s="848" t="s">
        <v>1113</v>
      </c>
      <c r="D7" s="845" t="s">
        <v>1114</v>
      </c>
      <c r="E7" s="1040">
        <v>440</v>
      </c>
      <c r="F7" s="765">
        <v>594</v>
      </c>
      <c r="G7" s="1035">
        <v>168</v>
      </c>
      <c r="H7" s="1036">
        <v>1374</v>
      </c>
      <c r="I7" s="851">
        <v>940</v>
      </c>
      <c r="J7" s="1043">
        <f>(E7-F7)/F7</f>
        <v>-0.25925925925925924</v>
      </c>
    </row>
    <row r="8" spans="2:10" ht="16.2">
      <c r="B8" s="852" t="s">
        <v>1115</v>
      </c>
      <c r="C8" s="848" t="s">
        <v>1116</v>
      </c>
      <c r="D8" s="845" t="s">
        <v>1114</v>
      </c>
      <c r="E8" s="1041">
        <v>573</v>
      </c>
      <c r="F8" s="1037">
        <v>479</v>
      </c>
      <c r="G8" s="724">
        <v>283</v>
      </c>
      <c r="H8" s="724">
        <v>98</v>
      </c>
      <c r="I8" s="724">
        <v>573</v>
      </c>
      <c r="J8" s="1043">
        <f>(E8-F8)/F8</f>
        <v>0.19624217118997914</v>
      </c>
    </row>
    <row r="9" spans="2:10" ht="16.2">
      <c r="B9" s="732" t="s">
        <v>709</v>
      </c>
      <c r="C9" s="849"/>
      <c r="D9" s="846" t="s">
        <v>1114</v>
      </c>
      <c r="E9" s="1042">
        <v>1013</v>
      </c>
      <c r="F9" s="855">
        <f>SUM(F7:F8)</f>
        <v>1073</v>
      </c>
      <c r="G9" s="855">
        <f>SUM(G7:G8)</f>
        <v>451</v>
      </c>
      <c r="H9" s="855">
        <f>SUM(H7:H8)</f>
        <v>1472</v>
      </c>
      <c r="I9" s="855">
        <f>SUM(I7:I8)</f>
        <v>1513</v>
      </c>
      <c r="J9" s="1044">
        <f>(E9-F9)/F9</f>
        <v>-5.591798695246971E-2</v>
      </c>
    </row>
    <row r="10" spans="2:10" ht="16.2">
      <c r="B10" s="733"/>
      <c r="C10" s="850"/>
      <c r="D10" s="847"/>
      <c r="E10" s="854"/>
      <c r="F10" s="1038"/>
      <c r="G10" s="1038"/>
      <c r="H10" s="1038"/>
      <c r="I10" s="856"/>
      <c r="J10" s="734"/>
    </row>
    <row r="11" spans="2:10" ht="16.2">
      <c r="B11" s="853" t="s">
        <v>1117</v>
      </c>
      <c r="C11" s="1495" t="s">
        <v>1118</v>
      </c>
      <c r="D11" s="1498" t="s">
        <v>1119</v>
      </c>
      <c r="E11" s="1042">
        <v>2245.5</v>
      </c>
      <c r="F11" s="1039">
        <v>2063</v>
      </c>
      <c r="G11" s="1039">
        <v>1322</v>
      </c>
      <c r="H11" s="724">
        <v>431</v>
      </c>
      <c r="I11" s="857">
        <v>2682</v>
      </c>
      <c r="J11" s="1045">
        <f>(E11-F11)/F11</f>
        <v>8.8463402811439648E-2</v>
      </c>
    </row>
    <row r="12" spans="2:10" ht="16.2">
      <c r="B12" s="596" t="s">
        <v>910</v>
      </c>
      <c r="C12" s="1496"/>
      <c r="D12" s="1499"/>
      <c r="E12" s="1220">
        <v>503</v>
      </c>
      <c r="H12" s="103"/>
    </row>
    <row r="13" spans="2:10" ht="16.2">
      <c r="B13" s="596" t="s">
        <v>911</v>
      </c>
      <c r="C13" s="1496"/>
      <c r="D13" s="1499"/>
      <c r="E13" s="1220">
        <v>197</v>
      </c>
      <c r="H13" s="331"/>
    </row>
    <row r="14" spans="2:10" ht="16.2">
      <c r="B14" s="596" t="s">
        <v>912</v>
      </c>
      <c r="C14" s="1496"/>
      <c r="D14" s="1499"/>
      <c r="E14" s="1220">
        <v>419</v>
      </c>
    </row>
    <row r="15" spans="2:10" ht="16.2">
      <c r="B15" s="596" t="s">
        <v>913</v>
      </c>
      <c r="C15" s="1496"/>
      <c r="D15" s="1499"/>
      <c r="E15" s="1220">
        <v>639.5</v>
      </c>
    </row>
    <row r="16" spans="2:10" ht="16.2">
      <c r="B16" s="596" t="s">
        <v>914</v>
      </c>
      <c r="C16" s="1497"/>
      <c r="D16" s="1500"/>
      <c r="E16" s="1220">
        <v>487</v>
      </c>
    </row>
    <row r="21" spans="3:8">
      <c r="F21" s="331"/>
      <c r="G21" s="331"/>
    </row>
    <row r="22" spans="3:8">
      <c r="F22" s="331"/>
      <c r="G22" s="331"/>
      <c r="H22" s="332"/>
    </row>
    <row r="25" spans="3:8">
      <c r="C25" s="78"/>
      <c r="D25" s="78"/>
      <c r="E25" s="78"/>
    </row>
  </sheetData>
  <sheetProtection algorithmName="SHA-512" hashValue="t85+O+dfK+oIggyrsvaJD+noBhtGuAWxXmjuZH1c8GF5hoA95g2bvj2PnsQZhQwjZ1bMyKGSVdJV6LV2itjVzg==" saltValue="Q99lW7gnrThnc4tAIgmrww==" spinCount="100000" sheet="1" objects="1" scenarios="1"/>
  <mergeCells count="4">
    <mergeCell ref="B2:H2"/>
    <mergeCell ref="B4:I4"/>
    <mergeCell ref="C11:C16"/>
    <mergeCell ref="D11:D16"/>
  </mergeCells>
  <phoneticPr fontId="3" type="noConversion"/>
  <pageMargins left="0.70866141732283472" right="0.70866141732283472" top="0.74803149606299213" bottom="0.74803149606299213" header="0.31496062992125984" footer="0.31496062992125984"/>
  <pageSetup paperSize="9" scale="77" orientation="landscape" r:id="rId1"/>
  <rowBreaks count="1" manualBreakCount="1">
    <brk id="22" max="16383" man="1"/>
  </rowBreaks>
  <colBreaks count="1" manualBreakCount="1">
    <brk id="9"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4A38-7AA2-40C9-98C2-472AF4F23C3F}">
  <sheetPr>
    <tabColor theme="7"/>
    <pageSetUpPr fitToPage="1"/>
  </sheetPr>
  <dimension ref="B2:N23"/>
  <sheetViews>
    <sheetView zoomScale="80" zoomScaleNormal="80" workbookViewId="0"/>
  </sheetViews>
  <sheetFormatPr defaultColWidth="8.88671875" defaultRowHeight="13.8"/>
  <cols>
    <col min="1" max="1" width="2.44140625" style="2" customWidth="1"/>
    <col min="2" max="2" width="57.6640625" style="2" customWidth="1"/>
    <col min="3" max="3" width="16.88671875" style="2" customWidth="1"/>
    <col min="4" max="4" width="17" style="2" customWidth="1"/>
    <col min="5" max="5" width="17.5546875" style="2" customWidth="1"/>
    <col min="6" max="16384" width="8.88671875" style="2"/>
  </cols>
  <sheetData>
    <row r="2" spans="2:14" ht="72" customHeight="1">
      <c r="B2" s="1485" t="s">
        <v>1120</v>
      </c>
      <c r="C2" s="1444"/>
      <c r="D2" s="1444"/>
      <c r="E2" s="1444"/>
      <c r="F2" s="1444"/>
      <c r="G2" s="1444"/>
      <c r="H2" s="1444"/>
      <c r="I2" s="1444"/>
      <c r="J2" s="1444"/>
    </row>
    <row r="3" spans="2:14" ht="12.9" customHeight="1"/>
    <row r="4" spans="2:14" ht="84.9" customHeight="1">
      <c r="B4" s="1501" t="s">
        <v>1121</v>
      </c>
      <c r="C4" s="1501"/>
      <c r="D4" s="1501"/>
      <c r="E4" s="1501"/>
      <c r="F4" s="1501"/>
      <c r="G4" s="1501"/>
      <c r="H4" s="1501"/>
      <c r="I4" s="1501"/>
      <c r="J4" s="1501"/>
      <c r="K4" s="1501"/>
      <c r="L4" s="1501"/>
      <c r="M4" s="1501"/>
      <c r="N4" s="1501"/>
    </row>
    <row r="5" spans="2:14" ht="14.4">
      <c r="B5" s="1154" t="s">
        <v>1122</v>
      </c>
      <c r="C5" s="12"/>
      <c r="D5" s="12"/>
      <c r="E5" s="12"/>
      <c r="F5" s="12"/>
      <c r="G5" s="12"/>
      <c r="H5" s="12"/>
      <c r="I5" s="12"/>
      <c r="J5" s="12"/>
    </row>
    <row r="6" spans="2:14">
      <c r="B6" s="12"/>
      <c r="C6" s="12"/>
      <c r="D6" s="12"/>
      <c r="E6" s="12"/>
      <c r="F6" s="12"/>
      <c r="G6" s="12"/>
      <c r="H6" s="12"/>
      <c r="I6" s="12"/>
      <c r="J6" s="12"/>
    </row>
    <row r="9" spans="2:14" ht="66.599999999999994" customHeight="1">
      <c r="B9" s="949" t="s">
        <v>1123</v>
      </c>
      <c r="C9" s="989" t="s">
        <v>1124</v>
      </c>
      <c r="D9" s="989" t="s">
        <v>1125</v>
      </c>
      <c r="E9" s="989" t="s">
        <v>1126</v>
      </c>
    </row>
    <row r="10" spans="2:14" ht="16.2">
      <c r="B10" s="704" t="s">
        <v>1127</v>
      </c>
      <c r="C10" s="1064">
        <v>0.39</v>
      </c>
      <c r="D10" s="1046">
        <v>0.38</v>
      </c>
      <c r="E10" s="1046">
        <v>0.25</v>
      </c>
    </row>
    <row r="11" spans="2:14" ht="48.6">
      <c r="B11" s="735" t="s">
        <v>1128</v>
      </c>
      <c r="C11" s="1064">
        <v>0.02</v>
      </c>
      <c r="D11" s="1047">
        <v>0.03</v>
      </c>
      <c r="E11" s="1047">
        <v>1.4999999999999999E-2</v>
      </c>
    </row>
    <row r="12" spans="2:14" ht="32.4">
      <c r="B12" s="735" t="s">
        <v>1129</v>
      </c>
      <c r="C12" s="1064">
        <v>0.02</v>
      </c>
      <c r="D12" s="1047">
        <v>7.0000000000000007E-2</v>
      </c>
      <c r="E12" s="1047">
        <v>2E-3</v>
      </c>
    </row>
    <row r="13" spans="2:14" ht="48.6">
      <c r="B13" s="735" t="s">
        <v>1130</v>
      </c>
      <c r="C13" s="1064">
        <v>0.56999999999999995</v>
      </c>
      <c r="D13" s="1046">
        <v>0.52</v>
      </c>
      <c r="E13" s="1046">
        <v>0.73</v>
      </c>
    </row>
    <row r="14" spans="2:14" ht="16.2">
      <c r="B14" s="734"/>
      <c r="C14" s="1048"/>
      <c r="D14" s="1048"/>
      <c r="E14" s="1048"/>
    </row>
    <row r="15" spans="2:14" ht="69">
      <c r="B15" s="950" t="s">
        <v>1131</v>
      </c>
      <c r="C15" s="989" t="s">
        <v>1132</v>
      </c>
      <c r="D15" s="989" t="s">
        <v>1133</v>
      </c>
      <c r="E15" s="989" t="s">
        <v>1134</v>
      </c>
    </row>
    <row r="16" spans="2:14" ht="16.2">
      <c r="B16" s="704" t="s">
        <v>1135</v>
      </c>
      <c r="C16" s="1063">
        <v>8</v>
      </c>
      <c r="D16" s="1049">
        <v>14</v>
      </c>
      <c r="E16" s="1049">
        <v>6</v>
      </c>
    </row>
    <row r="17" spans="2:5" ht="16.2">
      <c r="B17" s="735" t="s">
        <v>1136</v>
      </c>
      <c r="C17" s="1063">
        <v>5</v>
      </c>
      <c r="D17" s="1049">
        <v>14</v>
      </c>
      <c r="E17" s="1049">
        <v>6</v>
      </c>
    </row>
    <row r="18" spans="2:5" ht="16.2">
      <c r="B18" s="735" t="s">
        <v>1137</v>
      </c>
      <c r="C18" s="1063">
        <v>12</v>
      </c>
      <c r="D18" s="1049">
        <v>13</v>
      </c>
      <c r="E18" s="1049">
        <v>11</v>
      </c>
    </row>
    <row r="19" spans="2:5" ht="16.2">
      <c r="B19" s="735" t="s">
        <v>1138</v>
      </c>
      <c r="C19" s="1063">
        <v>5</v>
      </c>
      <c r="D19" s="1049">
        <v>6</v>
      </c>
      <c r="E19" s="1049">
        <v>0.73</v>
      </c>
    </row>
    <row r="20" spans="2:5" ht="16.2">
      <c r="B20" s="735" t="s">
        <v>1139</v>
      </c>
      <c r="C20" s="1063">
        <v>0</v>
      </c>
      <c r="D20" s="1049">
        <v>0</v>
      </c>
      <c r="E20" s="1049">
        <v>0</v>
      </c>
    </row>
    <row r="22" spans="2:5" ht="41.4">
      <c r="B22" s="950" t="s">
        <v>1140</v>
      </c>
      <c r="C22" s="989" t="s">
        <v>1141</v>
      </c>
    </row>
    <row r="23" spans="2:5" ht="16.2">
      <c r="B23" s="735" t="s">
        <v>1142</v>
      </c>
      <c r="C23" s="1177">
        <v>0.03</v>
      </c>
    </row>
  </sheetData>
  <sheetProtection algorithmName="SHA-512" hashValue="CwcDL/X0TScm6fCWJu5WnxtyhRw/sRSmZrW/6S57332S8HRig1hkE1F1ujnWjcyIUELPDZYsCJhIvqTcLOCxhg==" saltValue="cEA1WaBy3i5plWc/FOYGRQ==" spinCount="100000" sheet="1" objects="1" scenarios="1"/>
  <mergeCells count="2">
    <mergeCell ref="B2:J2"/>
    <mergeCell ref="B4:N4"/>
  </mergeCells>
  <phoneticPr fontId="3" type="noConversion"/>
  <hyperlinks>
    <hyperlink ref="B5" r:id="rId1" xr:uid="{83969072-E206-4881-B79A-8C2A4C3ED546}"/>
  </hyperlinks>
  <pageMargins left="0.70866141732283472" right="0.70866141732283472" top="0.74803149606299213" bottom="0.74803149606299213" header="0.31496062992125984" footer="0.31496062992125984"/>
  <pageSetup paperSize="9" scale="79" orientation="landscape" r:id="rId2"/>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B229-B1F2-4BB1-82DB-D4595D3174BB}">
  <sheetPr codeName="Sheet10">
    <pageSetUpPr fitToPage="1"/>
  </sheetPr>
  <dimension ref="A2:Y148"/>
  <sheetViews>
    <sheetView workbookViewId="0"/>
  </sheetViews>
  <sheetFormatPr defaultColWidth="8.88671875" defaultRowHeight="13.8" outlineLevelCol="1"/>
  <cols>
    <col min="1" max="1" width="21.109375" style="64" customWidth="1"/>
    <col min="2" max="2" width="89.109375" style="64" customWidth="1"/>
    <col min="3" max="3" width="124.109375" style="97" hidden="1" customWidth="1" outlineLevel="1"/>
    <col min="4" max="4" width="30.109375" style="64" customWidth="1" collapsed="1"/>
    <col min="5" max="5" width="18" style="64" customWidth="1"/>
    <col min="6" max="18" width="18.88671875" style="64" customWidth="1"/>
    <col min="19" max="16384" width="8.88671875" style="64"/>
  </cols>
  <sheetData>
    <row r="2" spans="1:24" ht="35.1" customHeight="1">
      <c r="A2" s="363"/>
      <c r="B2" s="1502" t="s">
        <v>32</v>
      </c>
      <c r="C2" s="1502"/>
      <c r="D2" s="1502"/>
      <c r="E2" s="1502"/>
      <c r="F2" s="1502"/>
      <c r="G2" s="1502"/>
      <c r="H2" s="1502"/>
      <c r="I2" s="1502"/>
      <c r="J2" s="1502"/>
      <c r="K2" s="1502"/>
      <c r="L2" s="1502"/>
      <c r="M2" s="1502"/>
      <c r="N2" s="1502"/>
      <c r="O2" s="8"/>
      <c r="P2" s="106"/>
      <c r="Q2" s="106"/>
      <c r="R2" s="106"/>
      <c r="S2" s="106"/>
      <c r="T2" s="106"/>
      <c r="U2" s="107"/>
      <c r="V2" s="107"/>
      <c r="W2" s="107"/>
      <c r="X2" s="107"/>
    </row>
    <row r="3" spans="1:24" ht="19.8">
      <c r="B3" s="108"/>
      <c r="C3" s="109"/>
      <c r="D3" s="108"/>
      <c r="E3" s="108"/>
      <c r="F3" s="108"/>
      <c r="G3" s="110"/>
      <c r="H3" s="110"/>
      <c r="I3" s="110"/>
      <c r="J3" s="110"/>
      <c r="K3" s="110"/>
      <c r="L3" s="110"/>
      <c r="M3" s="110"/>
      <c r="N3" s="110"/>
      <c r="O3" s="110"/>
      <c r="P3" s="110"/>
      <c r="Q3" s="110"/>
      <c r="R3" s="110"/>
      <c r="S3" s="110"/>
      <c r="T3" s="110"/>
      <c r="U3" s="107"/>
      <c r="V3" s="107"/>
      <c r="W3" s="107"/>
      <c r="X3" s="107"/>
    </row>
    <row r="4" spans="1:24" ht="73.5" customHeight="1">
      <c r="B4" s="1503" t="s">
        <v>1143</v>
      </c>
      <c r="C4" s="1504"/>
      <c r="D4" s="1504"/>
      <c r="E4" s="1504"/>
      <c r="F4" s="1504"/>
      <c r="G4" s="1504"/>
      <c r="H4" s="1504"/>
      <c r="I4" s="1504"/>
      <c r="J4" s="1504"/>
      <c r="K4" s="1504"/>
      <c r="L4" s="1504"/>
      <c r="M4" s="107"/>
      <c r="N4" s="362"/>
      <c r="O4" s="107"/>
      <c r="P4" s="107"/>
      <c r="Q4" s="107"/>
      <c r="R4" s="107"/>
      <c r="S4" s="107"/>
      <c r="T4" s="107"/>
      <c r="U4" s="107"/>
      <c r="V4" s="107"/>
      <c r="W4" s="107"/>
      <c r="X4" s="107"/>
    </row>
    <row r="5" spans="1:24">
      <c r="B5" s="23"/>
      <c r="C5" s="104"/>
      <c r="D5" s="23"/>
      <c r="E5" s="23"/>
      <c r="F5" s="23"/>
      <c r="G5" s="24"/>
      <c r="H5" s="24"/>
      <c r="I5" s="24"/>
      <c r="J5" s="107"/>
      <c r="K5" s="107"/>
      <c r="L5" s="107"/>
      <c r="M5" s="107"/>
      <c r="N5" s="107"/>
      <c r="O5" s="107"/>
      <c r="P5" s="111"/>
      <c r="Q5" s="107"/>
      <c r="R5" s="107"/>
      <c r="S5" s="107"/>
      <c r="T5" s="107"/>
      <c r="U5" s="107"/>
      <c r="V5" s="107"/>
      <c r="W5" s="107"/>
      <c r="X5" s="107"/>
    </row>
    <row r="6" spans="1:24" ht="24.6">
      <c r="B6" s="112" t="s">
        <v>658</v>
      </c>
      <c r="C6" s="113"/>
      <c r="D6" s="114"/>
      <c r="E6" s="114"/>
      <c r="F6" s="114"/>
      <c r="G6" s="1440"/>
      <c r="H6" s="1440"/>
      <c r="I6" s="1440"/>
      <c r="J6" s="115"/>
      <c r="K6" s="115"/>
      <c r="L6" s="115"/>
      <c r="M6" s="115"/>
      <c r="N6" s="115"/>
      <c r="O6" s="115"/>
      <c r="P6" s="115"/>
      <c r="Q6" s="115"/>
      <c r="R6" s="107"/>
      <c r="S6" s="107"/>
      <c r="T6" s="107"/>
      <c r="U6" s="107"/>
      <c r="V6" s="107"/>
      <c r="W6" s="107"/>
      <c r="X6" s="107"/>
    </row>
    <row r="7" spans="1:24">
      <c r="C7" s="116"/>
      <c r="D7" s="117"/>
      <c r="E7" s="117"/>
      <c r="F7" s="117"/>
      <c r="G7" s="118"/>
      <c r="H7" s="118"/>
      <c r="I7" s="118"/>
      <c r="J7" s="118"/>
      <c r="K7" s="118"/>
      <c r="L7" s="118"/>
      <c r="M7" s="119"/>
      <c r="N7" s="119"/>
      <c r="O7" s="119"/>
      <c r="P7" s="119"/>
      <c r="Q7" s="119"/>
      <c r="R7" s="119"/>
      <c r="S7" s="119"/>
      <c r="T7" s="119"/>
      <c r="U7" s="119"/>
      <c r="V7" s="119"/>
      <c r="W7" s="119"/>
      <c r="X7" s="119"/>
    </row>
    <row r="8" spans="1:24" ht="36">
      <c r="B8" s="1445" t="s">
        <v>543</v>
      </c>
      <c r="C8" s="1446" t="s">
        <v>659</v>
      </c>
      <c r="D8" s="1447" t="s">
        <v>544</v>
      </c>
      <c r="E8" s="1439" t="s">
        <v>546</v>
      </c>
      <c r="F8" s="1439"/>
      <c r="G8" s="1439"/>
      <c r="H8" s="1442" t="s">
        <v>547</v>
      </c>
      <c r="I8" s="1442"/>
      <c r="J8" s="1442"/>
      <c r="K8" s="1442" t="s">
        <v>548</v>
      </c>
      <c r="L8" s="1442"/>
      <c r="M8" s="1442"/>
      <c r="N8" s="232" t="s">
        <v>549</v>
      </c>
      <c r="O8" s="285" t="s">
        <v>847</v>
      </c>
      <c r="P8" s="285" t="s">
        <v>848</v>
      </c>
      <c r="Q8" s="285" t="s">
        <v>1037</v>
      </c>
      <c r="R8" s="107"/>
      <c r="S8" s="107"/>
      <c r="T8" s="107"/>
      <c r="U8" s="107"/>
      <c r="V8" s="107"/>
      <c r="W8" s="107"/>
      <c r="X8" s="107"/>
    </row>
    <row r="9" spans="1:24" ht="27.6">
      <c r="B9" s="1445"/>
      <c r="C9" s="1446"/>
      <c r="D9" s="1448"/>
      <c r="E9" s="231" t="s">
        <v>550</v>
      </c>
      <c r="F9" s="231" t="s">
        <v>660</v>
      </c>
      <c r="G9" s="231" t="s">
        <v>661</v>
      </c>
      <c r="H9" s="232" t="s">
        <v>550</v>
      </c>
      <c r="I9" s="232" t="s">
        <v>660</v>
      </c>
      <c r="J9" s="233" t="s">
        <v>661</v>
      </c>
      <c r="K9" s="232" t="s">
        <v>550</v>
      </c>
      <c r="L9" s="232" t="s">
        <v>660</v>
      </c>
      <c r="M9" s="233" t="s">
        <v>661</v>
      </c>
      <c r="N9" s="232" t="s">
        <v>550</v>
      </c>
      <c r="O9" s="286" t="s">
        <v>550</v>
      </c>
      <c r="P9" s="286" t="s">
        <v>550</v>
      </c>
      <c r="Q9" s="286" t="s">
        <v>550</v>
      </c>
      <c r="R9" s="107"/>
      <c r="S9" s="107"/>
      <c r="T9" s="107"/>
      <c r="U9" s="107"/>
      <c r="V9" s="107"/>
      <c r="W9" s="107"/>
      <c r="X9" s="107"/>
    </row>
    <row r="10" spans="1:24" ht="17.399999999999999" customHeight="1">
      <c r="B10" s="202" t="s">
        <v>472</v>
      </c>
      <c r="C10" s="155" t="s">
        <v>662</v>
      </c>
      <c r="D10" s="155" t="s">
        <v>663</v>
      </c>
      <c r="E10" s="243">
        <v>233300</v>
      </c>
      <c r="F10" s="243">
        <v>100461</v>
      </c>
      <c r="G10" s="243">
        <f>E10-F10</f>
        <v>132839</v>
      </c>
      <c r="H10" s="156">
        <v>239862</v>
      </c>
      <c r="I10" s="156">
        <v>103534</v>
      </c>
      <c r="J10" s="156">
        <f>H10-I10</f>
        <v>136328</v>
      </c>
      <c r="K10" s="156">
        <v>240473</v>
      </c>
      <c r="L10" s="156">
        <v>112915</v>
      </c>
      <c r="M10" s="156">
        <f>K10-L10</f>
        <v>127558</v>
      </c>
      <c r="N10" s="156">
        <v>238069</v>
      </c>
      <c r="O10" s="281">
        <f t="shared" ref="O10:O14" si="0">(E10-H10)/H10</f>
        <v>-2.7357397170039439E-2</v>
      </c>
      <c r="P10" s="281">
        <f>(E10-N10)/N10</f>
        <v>-2.0032007527229501E-2</v>
      </c>
      <c r="Q10" s="283"/>
      <c r="R10" s="107"/>
      <c r="S10" s="107"/>
      <c r="T10" s="107"/>
      <c r="U10" s="107"/>
      <c r="V10" s="107"/>
      <c r="W10" s="107"/>
      <c r="X10" s="107"/>
    </row>
    <row r="11" spans="1:24" ht="17.399999999999999" customHeight="1">
      <c r="B11" s="202" t="s">
        <v>475</v>
      </c>
      <c r="C11" s="155" t="s">
        <v>664</v>
      </c>
      <c r="D11" s="155" t="s">
        <v>663</v>
      </c>
      <c r="E11" s="243">
        <v>130386</v>
      </c>
      <c r="F11" s="243">
        <v>1024</v>
      </c>
      <c r="G11" s="243">
        <f>E11-F11</f>
        <v>129362</v>
      </c>
      <c r="H11" s="156">
        <v>170248</v>
      </c>
      <c r="I11" s="156">
        <v>1265</v>
      </c>
      <c r="J11" s="156">
        <f>H11-I11</f>
        <v>168983</v>
      </c>
      <c r="K11" s="156">
        <v>169111</v>
      </c>
      <c r="L11" s="156">
        <v>3969</v>
      </c>
      <c r="M11" s="156">
        <f>K11-L11</f>
        <v>165142</v>
      </c>
      <c r="N11" s="156">
        <v>179749</v>
      </c>
      <c r="O11" s="281">
        <f t="shared" si="0"/>
        <v>-0.2341407828579484</v>
      </c>
      <c r="P11" s="281">
        <f t="shared" ref="P11" si="1">(E11-N11)/N11</f>
        <v>-0.27462183377932564</v>
      </c>
      <c r="Q11" s="283"/>
      <c r="R11" s="107"/>
      <c r="S11" s="107"/>
      <c r="T11" s="107"/>
      <c r="U11" s="107"/>
      <c r="V11" s="107"/>
      <c r="W11" s="107"/>
      <c r="X11" s="107"/>
    </row>
    <row r="12" spans="1:24" ht="17.399999999999999" customHeight="1">
      <c r="B12" s="202" t="s">
        <v>554</v>
      </c>
      <c r="C12" s="155" t="s">
        <v>665</v>
      </c>
      <c r="D12" s="155" t="s">
        <v>663</v>
      </c>
      <c r="E12" s="243">
        <v>204848</v>
      </c>
      <c r="F12" s="243">
        <v>21696</v>
      </c>
      <c r="G12" s="243">
        <f>E12-F12</f>
        <v>183152</v>
      </c>
      <c r="H12" s="156">
        <v>225712</v>
      </c>
      <c r="I12" s="156">
        <v>24942</v>
      </c>
      <c r="J12" s="156">
        <f>H12-I12</f>
        <v>200770</v>
      </c>
      <c r="K12" s="156">
        <v>209158</v>
      </c>
      <c r="L12" s="156">
        <v>29743</v>
      </c>
      <c r="M12" s="156">
        <f>K12-L12</f>
        <v>179415</v>
      </c>
      <c r="N12" s="156">
        <v>231360</v>
      </c>
      <c r="O12" s="281">
        <f t="shared" si="0"/>
        <v>-9.2436379102573185E-2</v>
      </c>
      <c r="P12" s="281">
        <f>(E12-N12)/N12</f>
        <v>-0.11459197786998616</v>
      </c>
      <c r="Q12" s="283"/>
      <c r="R12" s="107"/>
      <c r="S12" s="107"/>
      <c r="T12" s="107"/>
      <c r="U12" s="107"/>
      <c r="V12" s="107"/>
      <c r="W12" s="107"/>
      <c r="X12" s="107"/>
    </row>
    <row r="13" spans="1:24" ht="17.399999999999999" customHeight="1">
      <c r="B13" s="180" t="s">
        <v>555</v>
      </c>
      <c r="C13" s="158" t="s">
        <v>1144</v>
      </c>
      <c r="D13" s="158" t="s">
        <v>667</v>
      </c>
      <c r="E13" s="243">
        <v>363686</v>
      </c>
      <c r="F13" s="243">
        <v>101485</v>
      </c>
      <c r="G13" s="243">
        <f>E13-F13</f>
        <v>262201</v>
      </c>
      <c r="H13" s="240">
        <v>410110</v>
      </c>
      <c r="I13" s="240">
        <f>I10+I11</f>
        <v>104799</v>
      </c>
      <c r="J13" s="240">
        <f>H13-I13</f>
        <v>305311</v>
      </c>
      <c r="K13" s="240">
        <v>409584</v>
      </c>
      <c r="L13" s="240">
        <v>116884</v>
      </c>
      <c r="M13" s="240">
        <f>K13-L13</f>
        <v>292700</v>
      </c>
      <c r="N13" s="240">
        <v>417818</v>
      </c>
      <c r="O13" s="386">
        <f>(E13-H13)/H13</f>
        <v>-0.1131988978566726</v>
      </c>
      <c r="P13" s="386">
        <f>(E13-N13)/N13</f>
        <v>-0.12955880311523199</v>
      </c>
      <c r="Q13" s="386">
        <f>(E13-N13)/(N13*(1-0.42)-N13)</f>
        <v>0.30847334075055244</v>
      </c>
      <c r="R13" s="107"/>
      <c r="S13" s="107"/>
      <c r="T13" s="107"/>
      <c r="U13" s="107"/>
      <c r="V13" s="107"/>
      <c r="W13" s="107"/>
      <c r="X13" s="107"/>
    </row>
    <row r="14" spans="1:24" ht="17.399999999999999" customHeight="1">
      <c r="B14" s="202" t="s">
        <v>557</v>
      </c>
      <c r="C14" s="155" t="s">
        <v>1145</v>
      </c>
      <c r="D14" s="155" t="s">
        <v>663</v>
      </c>
      <c r="E14" s="243">
        <v>438148</v>
      </c>
      <c r="F14" s="243">
        <v>122157</v>
      </c>
      <c r="G14" s="243">
        <f>E14-F14</f>
        <v>315991</v>
      </c>
      <c r="H14" s="156">
        <v>465574</v>
      </c>
      <c r="I14" s="156">
        <v>128475</v>
      </c>
      <c r="J14" s="156">
        <f>H14-I14</f>
        <v>337099</v>
      </c>
      <c r="K14" s="156">
        <v>449631</v>
      </c>
      <c r="L14" s="156">
        <v>142659</v>
      </c>
      <c r="M14" s="156">
        <f>K14-L14</f>
        <v>306972</v>
      </c>
      <c r="N14" s="156">
        <v>469429</v>
      </c>
      <c r="O14" s="281">
        <f t="shared" si="0"/>
        <v>-5.8907928707359086E-2</v>
      </c>
      <c r="P14" s="281">
        <f>(E14-N14)/N14</f>
        <v>-6.6636275134258849E-2</v>
      </c>
      <c r="Q14" s="283"/>
      <c r="R14" s="107"/>
      <c r="S14" s="107"/>
      <c r="T14" s="107"/>
      <c r="U14" s="107"/>
      <c r="V14" s="107"/>
      <c r="W14" s="107"/>
      <c r="X14" s="107"/>
    </row>
    <row r="15" spans="1:24" ht="27.6">
      <c r="B15" s="180" t="s">
        <v>558</v>
      </c>
      <c r="C15" s="158" t="s">
        <v>669</v>
      </c>
      <c r="D15" s="158" t="s">
        <v>559</v>
      </c>
      <c r="E15" s="244">
        <v>3.4</v>
      </c>
      <c r="F15" s="244">
        <v>22.3</v>
      </c>
      <c r="G15" s="244">
        <v>2.5</v>
      </c>
      <c r="H15" s="241">
        <v>3.7</v>
      </c>
      <c r="I15" s="241">
        <v>19.899999999999999</v>
      </c>
      <c r="J15" s="242">
        <v>2.9</v>
      </c>
      <c r="K15" s="241">
        <v>3.9</v>
      </c>
      <c r="L15" s="241">
        <v>11.9</v>
      </c>
      <c r="M15" s="241">
        <v>3</v>
      </c>
      <c r="N15" s="241">
        <v>3.7</v>
      </c>
      <c r="O15" s="386">
        <f>(E15-H15)/H15</f>
        <v>-8.1081081081081155E-2</v>
      </c>
      <c r="P15" s="386">
        <f>(E15-N15)/N15</f>
        <v>-8.1081081081081155E-2</v>
      </c>
      <c r="Q15" s="287"/>
      <c r="R15" s="107"/>
      <c r="S15" s="107"/>
      <c r="T15" s="107"/>
      <c r="U15" s="107"/>
      <c r="V15" s="107"/>
      <c r="W15" s="107"/>
      <c r="X15" s="107"/>
    </row>
    <row r="16" spans="1:24">
      <c r="B16" s="120"/>
      <c r="C16" s="121"/>
      <c r="D16" s="122"/>
      <c r="E16" s="494"/>
      <c r="F16" s="494"/>
      <c r="G16" s="494"/>
      <c r="H16" s="123"/>
      <c r="I16" s="123"/>
      <c r="J16" s="123"/>
      <c r="K16" s="123"/>
      <c r="L16" s="123"/>
      <c r="M16" s="40"/>
      <c r="N16" s="107"/>
      <c r="O16" s="107"/>
      <c r="P16" s="107"/>
      <c r="Q16" s="107"/>
      <c r="R16" s="107"/>
      <c r="S16" s="107"/>
      <c r="T16" s="107"/>
      <c r="U16" s="107"/>
      <c r="V16" s="107"/>
      <c r="W16" s="107"/>
      <c r="X16" s="107"/>
    </row>
    <row r="17" spans="2:24" ht="36">
      <c r="B17" s="234" t="s">
        <v>671</v>
      </c>
      <c r="C17" s="159" t="s">
        <v>659</v>
      </c>
      <c r="D17" s="235" t="s">
        <v>544</v>
      </c>
      <c r="E17" s="236" t="s">
        <v>546</v>
      </c>
      <c r="F17" s="237" t="s">
        <v>547</v>
      </c>
      <c r="G17" s="237" t="s">
        <v>548</v>
      </c>
      <c r="H17" s="237" t="s">
        <v>549</v>
      </c>
      <c r="I17" s="284" t="str">
        <f>O8</f>
        <v>Performance against prior year</v>
      </c>
      <c r="J17" s="284" t="str">
        <f>P8</f>
        <v>Performance against 2019/20 baseline</v>
      </c>
      <c r="K17" s="284" t="str">
        <f>Q8</f>
        <v>Progress towards 2030 target</v>
      </c>
      <c r="M17" s="40"/>
      <c r="N17" s="107"/>
      <c r="O17" s="107"/>
      <c r="P17" s="107"/>
      <c r="Q17" s="107"/>
      <c r="R17" s="107"/>
      <c r="S17" s="107"/>
      <c r="T17" s="107"/>
      <c r="U17" s="107"/>
      <c r="V17" s="107"/>
      <c r="W17" s="107"/>
      <c r="X17" s="107"/>
    </row>
    <row r="18" spans="2:24" ht="15" customHeight="1">
      <c r="B18" s="160" t="s">
        <v>673</v>
      </c>
      <c r="C18" s="160" t="s">
        <v>674</v>
      </c>
      <c r="D18" s="161" t="s">
        <v>675</v>
      </c>
      <c r="E18" s="245">
        <v>2495475</v>
      </c>
      <c r="F18" s="162">
        <v>2978197</v>
      </c>
      <c r="G18" s="162">
        <v>2812518</v>
      </c>
      <c r="H18" s="162">
        <v>3433660</v>
      </c>
      <c r="I18" s="281">
        <f>(E18-F18)/F18</f>
        <v>-0.16208531537705531</v>
      </c>
      <c r="J18" s="281">
        <f>(E18-H18)/H18</f>
        <v>-0.27323177018108957</v>
      </c>
      <c r="K18" s="281">
        <f>(E18-H18)/((1-0.42)*H18-H18)</f>
        <v>0.6505518337644991</v>
      </c>
      <c r="M18" s="40"/>
      <c r="N18" s="107"/>
      <c r="O18" s="107"/>
      <c r="P18" s="107"/>
      <c r="Q18" s="107"/>
      <c r="R18" s="107"/>
      <c r="S18" s="107"/>
      <c r="T18" s="107"/>
      <c r="U18" s="107"/>
      <c r="V18" s="107"/>
      <c r="W18" s="107"/>
      <c r="X18" s="107"/>
    </row>
    <row r="19" spans="2:24" ht="15" customHeight="1">
      <c r="B19" s="160" t="s">
        <v>676</v>
      </c>
      <c r="C19" s="160" t="s">
        <v>677</v>
      </c>
      <c r="D19" s="161" t="s">
        <v>675</v>
      </c>
      <c r="E19" s="245">
        <v>177329</v>
      </c>
      <c r="F19" s="162">
        <v>163641</v>
      </c>
      <c r="G19" s="162">
        <v>242456</v>
      </c>
      <c r="H19" s="162">
        <v>367141</v>
      </c>
      <c r="I19" s="281">
        <f t="shared" ref="I19:I25" si="2">(E19-F19)/F19</f>
        <v>8.3646518904186604E-2</v>
      </c>
      <c r="J19" s="281">
        <f t="shared" ref="J19:J25" si="3">(E19-H19)/H19</f>
        <v>-0.5170002805461662</v>
      </c>
      <c r="K19" s="393"/>
      <c r="M19" s="40"/>
      <c r="N19" s="107"/>
      <c r="O19" s="107"/>
      <c r="P19" s="107"/>
      <c r="Q19" s="107"/>
      <c r="R19" s="107"/>
      <c r="S19" s="107"/>
      <c r="T19" s="107"/>
      <c r="U19" s="107"/>
      <c r="V19" s="107"/>
      <c r="W19" s="107"/>
      <c r="X19" s="107"/>
    </row>
    <row r="20" spans="2:24" ht="15" customHeight="1">
      <c r="B20" s="160" t="s">
        <v>678</v>
      </c>
      <c r="C20" s="160" t="s">
        <v>679</v>
      </c>
      <c r="D20" s="161" t="s">
        <v>675</v>
      </c>
      <c r="E20" s="245">
        <v>41018</v>
      </c>
      <c r="F20" s="162">
        <v>43505</v>
      </c>
      <c r="G20" s="162">
        <v>36695</v>
      </c>
      <c r="H20" s="162">
        <v>38199</v>
      </c>
      <c r="I20" s="281">
        <f t="shared" si="2"/>
        <v>-5.7165843006550969E-2</v>
      </c>
      <c r="J20" s="281">
        <f t="shared" si="3"/>
        <v>7.379774339642399E-2</v>
      </c>
      <c r="K20" s="393"/>
      <c r="M20" s="40"/>
      <c r="N20" s="107"/>
      <c r="O20" s="344"/>
      <c r="P20" s="107"/>
      <c r="Q20" s="107"/>
      <c r="R20" s="107"/>
      <c r="S20" s="107"/>
      <c r="T20" s="107"/>
      <c r="U20" s="107"/>
      <c r="V20" s="107"/>
      <c r="W20" s="107"/>
      <c r="X20" s="107"/>
    </row>
    <row r="21" spans="2:24" ht="15" customHeight="1">
      <c r="B21" s="160" t="s">
        <v>680</v>
      </c>
      <c r="C21" s="160" t="s">
        <v>681</v>
      </c>
      <c r="D21" s="161" t="s">
        <v>675</v>
      </c>
      <c r="E21" s="245">
        <v>81999</v>
      </c>
      <c r="F21" s="162">
        <v>158625</v>
      </c>
      <c r="G21" s="162">
        <v>94348</v>
      </c>
      <c r="H21" s="162">
        <v>97424</v>
      </c>
      <c r="I21" s="281">
        <f t="shared" si="2"/>
        <v>-0.48306382978723406</v>
      </c>
      <c r="J21" s="281">
        <f t="shared" si="3"/>
        <v>-0.15832854327475776</v>
      </c>
      <c r="K21" s="393"/>
      <c r="M21" s="40"/>
      <c r="N21" s="107"/>
      <c r="O21" s="107"/>
      <c r="P21" s="107"/>
      <c r="Q21" s="107"/>
      <c r="R21" s="107"/>
      <c r="S21" s="107"/>
      <c r="T21" s="107"/>
      <c r="U21" s="107"/>
      <c r="V21" s="107"/>
      <c r="W21" s="107"/>
      <c r="X21" s="107"/>
    </row>
    <row r="22" spans="2:24" ht="15" customHeight="1">
      <c r="B22" s="160" t="s">
        <v>682</v>
      </c>
      <c r="C22" s="160" t="s">
        <v>683</v>
      </c>
      <c r="D22" s="161" t="s">
        <v>675</v>
      </c>
      <c r="E22" s="245">
        <v>4004</v>
      </c>
      <c r="F22" s="162">
        <v>5220</v>
      </c>
      <c r="G22" s="162">
        <v>4549</v>
      </c>
      <c r="H22" s="162">
        <v>3439</v>
      </c>
      <c r="I22" s="281">
        <f t="shared" si="2"/>
        <v>-0.23295019157088123</v>
      </c>
      <c r="J22" s="281">
        <f t="shared" si="3"/>
        <v>0.16429194533294561</v>
      </c>
      <c r="K22" s="393"/>
      <c r="M22" s="40"/>
      <c r="N22" s="107"/>
      <c r="O22" s="107"/>
      <c r="P22" s="107"/>
      <c r="Q22" s="107"/>
      <c r="R22" s="107"/>
      <c r="S22" s="107"/>
      <c r="T22" s="107"/>
      <c r="U22" s="107"/>
      <c r="V22" s="107"/>
      <c r="W22" s="107"/>
      <c r="X22" s="107"/>
    </row>
    <row r="23" spans="2:24" ht="15" customHeight="1">
      <c r="B23" s="160" t="s">
        <v>684</v>
      </c>
      <c r="C23" s="160" t="s">
        <v>685</v>
      </c>
      <c r="D23" s="161" t="s">
        <v>675</v>
      </c>
      <c r="E23" s="245">
        <v>5077.3333333333303</v>
      </c>
      <c r="F23" s="162">
        <v>1336</v>
      </c>
      <c r="G23" s="162">
        <v>67</v>
      </c>
      <c r="H23" s="162">
        <v>9202</v>
      </c>
      <c r="I23" s="281">
        <f t="shared" si="2"/>
        <v>2.8003992015968042</v>
      </c>
      <c r="J23" s="281">
        <f t="shared" si="3"/>
        <v>-0.44823589074838838</v>
      </c>
      <c r="K23" s="393"/>
      <c r="M23" s="40"/>
      <c r="N23" s="107"/>
      <c r="O23" s="107"/>
      <c r="P23" s="107"/>
      <c r="Q23" s="107"/>
      <c r="R23" s="107"/>
      <c r="S23" s="107"/>
      <c r="T23" s="107"/>
      <c r="U23" s="107"/>
      <c r="V23" s="107"/>
      <c r="W23" s="107"/>
      <c r="X23" s="107"/>
    </row>
    <row r="24" spans="2:24" ht="15" customHeight="1">
      <c r="B24" s="160" t="s">
        <v>686</v>
      </c>
      <c r="C24" s="160" t="s">
        <v>687</v>
      </c>
      <c r="D24" s="161" t="s">
        <v>675</v>
      </c>
      <c r="E24" s="245">
        <v>13627</v>
      </c>
      <c r="F24" s="162">
        <v>13517.48</v>
      </c>
      <c r="G24" s="162">
        <v>25763.02</v>
      </c>
      <c r="H24" s="162">
        <v>25763.02</v>
      </c>
      <c r="I24" s="281">
        <f t="shared" si="2"/>
        <v>8.1021018710588401E-3</v>
      </c>
      <c r="J24" s="281">
        <f t="shared" si="3"/>
        <v>-0.47106356320027698</v>
      </c>
      <c r="K24" s="393"/>
      <c r="M24" s="40"/>
      <c r="N24" s="107"/>
      <c r="O24" s="107"/>
      <c r="P24" s="107"/>
      <c r="Q24" s="107"/>
      <c r="R24" s="107"/>
      <c r="S24" s="107"/>
      <c r="T24" s="107"/>
      <c r="U24" s="107"/>
      <c r="V24" s="107"/>
      <c r="W24" s="107"/>
      <c r="X24" s="107"/>
    </row>
    <row r="25" spans="2:24" ht="15" customHeight="1">
      <c r="B25" s="160" t="s">
        <v>688</v>
      </c>
      <c r="C25" s="160" t="s">
        <v>689</v>
      </c>
      <c r="D25" s="161" t="s">
        <v>675</v>
      </c>
      <c r="E25" s="245">
        <v>523</v>
      </c>
      <c r="F25" s="162">
        <v>698</v>
      </c>
      <c r="G25" s="162">
        <v>602</v>
      </c>
      <c r="H25" s="162">
        <v>5094</v>
      </c>
      <c r="I25" s="281">
        <f t="shared" si="2"/>
        <v>-0.25071633237822349</v>
      </c>
      <c r="J25" s="281">
        <f t="shared" si="3"/>
        <v>-0.89733019238319589</v>
      </c>
      <c r="K25" s="393"/>
      <c r="M25" s="40"/>
      <c r="N25" s="107"/>
      <c r="O25" s="107"/>
      <c r="P25" s="107"/>
      <c r="Q25" s="107"/>
      <c r="R25" s="107"/>
      <c r="S25" s="107"/>
      <c r="T25" s="107"/>
      <c r="U25" s="107"/>
      <c r="V25" s="107"/>
      <c r="W25" s="107"/>
      <c r="X25" s="107"/>
    </row>
    <row r="26" spans="2:24" ht="15" customHeight="1">
      <c r="B26" s="160" t="s">
        <v>690</v>
      </c>
      <c r="C26" s="160" t="s">
        <v>691</v>
      </c>
      <c r="D26" s="161" t="s">
        <v>675</v>
      </c>
      <c r="E26" s="245">
        <v>0</v>
      </c>
      <c r="F26" s="162">
        <v>0</v>
      </c>
      <c r="G26" s="162">
        <v>0</v>
      </c>
      <c r="H26" s="162">
        <v>0</v>
      </c>
      <c r="I26" s="281"/>
      <c r="J26" s="281"/>
      <c r="K26" s="393"/>
      <c r="M26" s="40"/>
      <c r="N26" s="107"/>
      <c r="O26" s="107"/>
      <c r="P26" s="107"/>
      <c r="Q26" s="107"/>
      <c r="R26" s="107"/>
      <c r="S26" s="107"/>
      <c r="T26" s="107"/>
      <c r="U26" s="107"/>
      <c r="V26" s="107"/>
      <c r="W26" s="107"/>
      <c r="X26" s="107"/>
    </row>
    <row r="27" spans="2:24" ht="15" customHeight="1">
      <c r="B27" s="160" t="s">
        <v>692</v>
      </c>
      <c r="C27" s="160" t="s">
        <v>693</v>
      </c>
      <c r="D27" s="161" t="s">
        <v>675</v>
      </c>
      <c r="E27" s="245">
        <v>0</v>
      </c>
      <c r="F27" s="162">
        <v>0</v>
      </c>
      <c r="G27" s="162">
        <v>0</v>
      </c>
      <c r="H27" s="162">
        <v>0</v>
      </c>
      <c r="I27" s="281"/>
      <c r="J27" s="281"/>
      <c r="K27" s="393"/>
      <c r="M27" s="40"/>
      <c r="N27" s="107"/>
      <c r="O27" s="107"/>
      <c r="P27" s="107"/>
      <c r="Q27" s="107"/>
      <c r="R27" s="107"/>
      <c r="S27" s="107"/>
      <c r="T27" s="107"/>
      <c r="U27" s="107"/>
      <c r="V27" s="107"/>
      <c r="W27" s="107"/>
      <c r="X27" s="107"/>
    </row>
    <row r="28" spans="2:24" ht="15" customHeight="1">
      <c r="B28" s="160" t="s">
        <v>694</v>
      </c>
      <c r="C28" s="160" t="s">
        <v>695</v>
      </c>
      <c r="D28" s="161" t="s">
        <v>675</v>
      </c>
      <c r="E28" s="245">
        <v>0</v>
      </c>
      <c r="F28" s="162">
        <v>0</v>
      </c>
      <c r="G28" s="162">
        <v>0</v>
      </c>
      <c r="H28" s="162">
        <v>0</v>
      </c>
      <c r="I28" s="281"/>
      <c r="J28" s="281"/>
      <c r="K28" s="393"/>
      <c r="M28" s="40"/>
      <c r="N28" s="107"/>
      <c r="O28" s="107"/>
      <c r="P28" s="107"/>
      <c r="Q28" s="107"/>
      <c r="R28" s="107"/>
      <c r="S28" s="107"/>
      <c r="T28" s="107"/>
      <c r="U28" s="107"/>
      <c r="V28" s="107"/>
      <c r="W28" s="107"/>
      <c r="X28" s="107"/>
    </row>
    <row r="29" spans="2:24" ht="15" customHeight="1">
      <c r="B29" s="160" t="s">
        <v>696</v>
      </c>
      <c r="C29" s="160" t="s">
        <v>697</v>
      </c>
      <c r="D29" s="161" t="s">
        <v>675</v>
      </c>
      <c r="E29" s="245">
        <v>0</v>
      </c>
      <c r="F29" s="162">
        <v>0</v>
      </c>
      <c r="G29" s="162">
        <v>0</v>
      </c>
      <c r="H29" s="162">
        <v>0</v>
      </c>
      <c r="I29" s="281"/>
      <c r="J29" s="281"/>
      <c r="K29" s="393"/>
      <c r="M29" s="40"/>
      <c r="N29" s="107"/>
      <c r="O29" s="107"/>
      <c r="P29" s="107"/>
      <c r="Q29" s="107"/>
      <c r="R29" s="107"/>
      <c r="S29" s="107"/>
      <c r="T29" s="107"/>
      <c r="U29" s="107"/>
      <c r="V29" s="107"/>
      <c r="W29" s="107"/>
      <c r="X29" s="107"/>
    </row>
    <row r="30" spans="2:24" ht="15" customHeight="1">
      <c r="B30" s="160" t="s">
        <v>698</v>
      </c>
      <c r="C30" s="160" t="s">
        <v>699</v>
      </c>
      <c r="D30" s="161" t="s">
        <v>675</v>
      </c>
      <c r="E30" s="245">
        <v>0</v>
      </c>
      <c r="F30" s="162">
        <v>0</v>
      </c>
      <c r="G30" s="162">
        <v>0</v>
      </c>
      <c r="H30" s="162">
        <v>0</v>
      </c>
      <c r="I30" s="281"/>
      <c r="J30" s="281"/>
      <c r="K30" s="393"/>
      <c r="M30" s="40"/>
      <c r="N30" s="107"/>
      <c r="O30" s="107"/>
      <c r="P30" s="107"/>
      <c r="Q30" s="107"/>
      <c r="R30" s="107"/>
      <c r="S30" s="107"/>
      <c r="T30" s="107"/>
      <c r="U30" s="107"/>
      <c r="V30" s="107"/>
      <c r="W30" s="107"/>
      <c r="X30" s="107"/>
    </row>
    <row r="31" spans="2:24" ht="15" customHeight="1">
      <c r="B31" s="160" t="s">
        <v>700</v>
      </c>
      <c r="C31" s="160" t="s">
        <v>701</v>
      </c>
      <c r="D31" s="161" t="s">
        <v>675</v>
      </c>
      <c r="E31" s="245">
        <v>0</v>
      </c>
      <c r="F31" s="162">
        <v>0</v>
      </c>
      <c r="G31" s="162">
        <v>0</v>
      </c>
      <c r="H31" s="162">
        <v>0</v>
      </c>
      <c r="I31" s="281"/>
      <c r="J31" s="281"/>
      <c r="K31" s="393"/>
      <c r="M31" s="40"/>
      <c r="N31" s="107"/>
      <c r="O31" s="107"/>
      <c r="P31" s="107"/>
      <c r="Q31" s="107"/>
      <c r="R31" s="107"/>
      <c r="S31" s="107"/>
      <c r="T31" s="107"/>
      <c r="U31" s="107"/>
      <c r="V31" s="107"/>
      <c r="W31" s="107"/>
      <c r="X31" s="107"/>
    </row>
    <row r="32" spans="2:24" ht="15" customHeight="1">
      <c r="B32" s="160" t="s">
        <v>702</v>
      </c>
      <c r="C32" s="160" t="s">
        <v>703</v>
      </c>
      <c r="D32" s="161" t="s">
        <v>675</v>
      </c>
      <c r="E32" s="245">
        <v>125196</v>
      </c>
      <c r="F32" s="162">
        <v>118356</v>
      </c>
      <c r="G32" s="162">
        <v>119005</v>
      </c>
      <c r="H32" s="162">
        <v>129337</v>
      </c>
      <c r="I32" s="281">
        <f>(E32-F32)/F32</f>
        <v>5.779174693298185E-2</v>
      </c>
      <c r="J32" s="281">
        <f>(E32-H32)/H32</f>
        <v>-3.2017133534874009E-2</v>
      </c>
      <c r="K32" s="393"/>
      <c r="M32" s="40"/>
      <c r="N32" s="107"/>
      <c r="O32" s="107"/>
      <c r="P32" s="107"/>
      <c r="Q32" s="107"/>
      <c r="R32" s="107"/>
      <c r="S32" s="107"/>
      <c r="T32" s="107"/>
      <c r="U32" s="107"/>
      <c r="V32" s="107"/>
      <c r="W32" s="107"/>
      <c r="X32" s="107"/>
    </row>
    <row r="33" spans="2:24" ht="15">
      <c r="B33" s="163" t="s">
        <v>704</v>
      </c>
      <c r="C33" s="163"/>
      <c r="D33" s="163" t="s">
        <v>705</v>
      </c>
      <c r="E33" s="245">
        <f>SUM(E18:E32)</f>
        <v>2944248.3333333335</v>
      </c>
      <c r="F33" s="164">
        <f>SUM(F18:F32)</f>
        <v>3483095.48</v>
      </c>
      <c r="G33" s="164">
        <f>SUM(G18:G32)</f>
        <v>3336003.02</v>
      </c>
      <c r="H33" s="164">
        <f>SUM(H18:H32)</f>
        <v>4109259.02</v>
      </c>
      <c r="I33" s="281">
        <f>(E33-F33)/F33</f>
        <v>-0.15470352442553958</v>
      </c>
      <c r="J33" s="281">
        <f>(E33-H33)/H33</f>
        <v>-0.28350870095958725</v>
      </c>
      <c r="K33" s="393"/>
      <c r="M33" s="40"/>
      <c r="N33" s="107"/>
      <c r="O33" s="107"/>
      <c r="P33" s="107"/>
      <c r="Q33" s="107"/>
      <c r="R33" s="107"/>
      <c r="S33" s="107"/>
      <c r="T33" s="107"/>
      <c r="U33" s="107"/>
      <c r="V33" s="107"/>
      <c r="W33" s="107"/>
      <c r="X33" s="107"/>
    </row>
    <row r="34" spans="2:24">
      <c r="B34" s="124"/>
      <c r="C34" s="125"/>
      <c r="D34" s="126"/>
      <c r="E34" s="126"/>
      <c r="F34" s="126"/>
      <c r="G34" s="127"/>
      <c r="H34" s="127"/>
      <c r="I34" s="123"/>
      <c r="J34" s="123"/>
      <c r="K34" s="123"/>
      <c r="L34" s="123"/>
      <c r="M34" s="40"/>
      <c r="N34" s="107"/>
      <c r="O34" s="107"/>
      <c r="P34" s="107"/>
      <c r="Q34" s="107"/>
      <c r="R34" s="107"/>
      <c r="S34" s="107"/>
      <c r="T34" s="107"/>
      <c r="U34" s="107"/>
      <c r="V34" s="107"/>
      <c r="W34" s="107"/>
      <c r="X34" s="107"/>
    </row>
    <row r="35" spans="2:24" ht="17.399999999999999">
      <c r="B35" s="234" t="s">
        <v>706</v>
      </c>
      <c r="C35" s="165"/>
      <c r="D35" s="235" t="s">
        <v>544</v>
      </c>
      <c r="E35" s="273" t="str">
        <f>E17</f>
        <v>2022/23</v>
      </c>
      <c r="F35" s="274" t="str">
        <f>F17</f>
        <v>2021/22</v>
      </c>
      <c r="G35" s="274" t="str">
        <f>G17</f>
        <v>2020/21</v>
      </c>
      <c r="H35" s="274" t="str">
        <f>H17</f>
        <v>2019/20</v>
      </c>
      <c r="I35" s="127"/>
      <c r="K35" s="128"/>
      <c r="M35" s="128"/>
      <c r="N35" s="128" t="s">
        <v>1146</v>
      </c>
      <c r="O35" s="107"/>
      <c r="P35" s="107"/>
      <c r="Q35" s="107"/>
      <c r="R35" s="107"/>
      <c r="S35" s="107"/>
      <c r="T35" s="107"/>
      <c r="U35" s="107"/>
      <c r="V35" s="107"/>
      <c r="W35" s="107"/>
      <c r="X35" s="107"/>
    </row>
    <row r="36" spans="2:24" ht="15">
      <c r="B36" s="166" t="str">
        <f>B10</f>
        <v>Total Scope 1 GHG emissions</v>
      </c>
      <c r="C36" s="167" t="s">
        <v>550</v>
      </c>
      <c r="D36" s="161" t="s">
        <v>675</v>
      </c>
      <c r="E36" s="246">
        <f>E10</f>
        <v>233300</v>
      </c>
      <c r="F36" s="168">
        <f>H10</f>
        <v>239862</v>
      </c>
      <c r="G36" s="168">
        <f>K10</f>
        <v>240473</v>
      </c>
      <c r="H36" s="168">
        <f>N10</f>
        <v>238069</v>
      </c>
      <c r="K36" s="128"/>
      <c r="M36" s="128" t="s">
        <v>1147</v>
      </c>
      <c r="N36" s="387">
        <f>E36/$E$40</f>
        <v>7.0527397611580958E-2</v>
      </c>
      <c r="O36" s="107"/>
      <c r="P36" s="107"/>
      <c r="Q36" s="107"/>
      <c r="R36" s="107"/>
      <c r="S36" s="107"/>
      <c r="T36" s="107"/>
      <c r="U36" s="107"/>
      <c r="V36" s="107"/>
      <c r="W36" s="107"/>
      <c r="X36" s="107"/>
    </row>
    <row r="37" spans="2:24" ht="15">
      <c r="B37" s="166" t="str">
        <f>B11</f>
        <v>Total Scope 2 GHG emissions (market-based)</v>
      </c>
      <c r="C37" s="167" t="s">
        <v>550</v>
      </c>
      <c r="D37" s="161" t="s">
        <v>675</v>
      </c>
      <c r="E37" s="246">
        <f>E11</f>
        <v>130386</v>
      </c>
      <c r="F37" s="168">
        <f>H11</f>
        <v>170248</v>
      </c>
      <c r="G37" s="168">
        <f>K11</f>
        <v>169111</v>
      </c>
      <c r="H37" s="168">
        <f>N11</f>
        <v>179749</v>
      </c>
      <c r="K37" s="128"/>
      <c r="M37" s="128" t="s">
        <v>1148</v>
      </c>
      <c r="N37" s="387">
        <f>E37/$E$40</f>
        <v>3.941613915552334E-2</v>
      </c>
      <c r="O37" s="107"/>
      <c r="P37" s="107"/>
      <c r="Q37" s="107"/>
      <c r="R37" s="107"/>
      <c r="S37" s="107"/>
      <c r="T37" s="107"/>
      <c r="U37" s="107"/>
      <c r="V37" s="107"/>
      <c r="W37" s="107"/>
      <c r="X37" s="107"/>
    </row>
    <row r="38" spans="2:24" ht="19.5" customHeight="1">
      <c r="B38" s="166" t="str">
        <f>"Scope 3 - "&amp;B18</f>
        <v>Scope 3 - Total Scope 3 (Category 1) Purchased goods and services GHG emissions</v>
      </c>
      <c r="C38" s="160" t="s">
        <v>707</v>
      </c>
      <c r="D38" s="161" t="s">
        <v>675</v>
      </c>
      <c r="E38" s="246">
        <f>E18</f>
        <v>2495475</v>
      </c>
      <c r="F38" s="168">
        <f>F18</f>
        <v>2978197</v>
      </c>
      <c r="G38" s="168">
        <f>G18</f>
        <v>2812518</v>
      </c>
      <c r="H38" s="168">
        <f>H18</f>
        <v>3433660</v>
      </c>
      <c r="K38" s="128"/>
      <c r="M38" s="128" t="s">
        <v>1149</v>
      </c>
      <c r="N38" s="387">
        <f>E38/$E$40</f>
        <v>0.75439073105340759</v>
      </c>
      <c r="O38" s="107"/>
      <c r="P38" s="107"/>
      <c r="Q38" s="107"/>
      <c r="R38" s="107"/>
      <c r="S38" s="107"/>
      <c r="T38" s="107"/>
      <c r="U38" s="107"/>
      <c r="V38" s="107"/>
      <c r="W38" s="107"/>
      <c r="X38" s="107"/>
    </row>
    <row r="39" spans="2:24" ht="15">
      <c r="B39" s="166" t="str">
        <f>"Scope 3 - All other categories"</f>
        <v>Scope 3 - All other categories</v>
      </c>
      <c r="C39" s="167" t="s">
        <v>708</v>
      </c>
      <c r="D39" s="161" t="s">
        <v>675</v>
      </c>
      <c r="E39" s="246">
        <f>E33-E18</f>
        <v>448773.33333333349</v>
      </c>
      <c r="F39" s="168">
        <f>F33-F18</f>
        <v>504898.48</v>
      </c>
      <c r="G39" s="168">
        <f>G33-G18</f>
        <v>523485.02</v>
      </c>
      <c r="H39" s="168">
        <f>H33-H18</f>
        <v>675599.02</v>
      </c>
      <c r="K39" s="128"/>
      <c r="M39" s="128" t="s">
        <v>1150</v>
      </c>
      <c r="N39" s="387">
        <f>E39/$E$40</f>
        <v>0.13566573217948807</v>
      </c>
      <c r="O39" s="107"/>
      <c r="P39" s="107"/>
      <c r="Q39" s="107"/>
      <c r="R39" s="107"/>
      <c r="S39" s="107"/>
      <c r="T39" s="107"/>
      <c r="U39" s="107"/>
      <c r="V39" s="107"/>
      <c r="W39" s="107"/>
      <c r="X39" s="107"/>
    </row>
    <row r="40" spans="2:24" ht="15">
      <c r="B40" s="238" t="s">
        <v>709</v>
      </c>
      <c r="C40" s="238"/>
      <c r="D40" s="163" t="s">
        <v>705</v>
      </c>
      <c r="E40" s="246">
        <f>SUM(E36:E39)</f>
        <v>3307934.3333333335</v>
      </c>
      <c r="F40" s="239">
        <f t="shared" ref="F40:H40" si="4">SUM(F36:F39)</f>
        <v>3893205.48</v>
      </c>
      <c r="G40" s="239">
        <f t="shared" si="4"/>
        <v>3745587.02</v>
      </c>
      <c r="H40" s="239">
        <f t="shared" si="4"/>
        <v>4527077.0199999996</v>
      </c>
      <c r="K40" s="128"/>
      <c r="M40" s="128"/>
      <c r="N40" s="387">
        <f>E40/$E$40</f>
        <v>1</v>
      </c>
      <c r="O40" s="107"/>
      <c r="P40" s="107"/>
      <c r="Q40" s="107"/>
      <c r="R40" s="107"/>
      <c r="S40" s="107"/>
      <c r="T40" s="107"/>
      <c r="U40" s="107"/>
      <c r="V40" s="107"/>
      <c r="W40" s="107"/>
      <c r="X40" s="107"/>
    </row>
    <row r="41" spans="2:24">
      <c r="B41" s="126"/>
      <c r="C41" s="125"/>
      <c r="D41" s="126"/>
      <c r="E41" s="126"/>
      <c r="F41" s="126"/>
      <c r="G41" s="127"/>
      <c r="H41" s="127"/>
      <c r="I41" s="127"/>
      <c r="J41" s="128"/>
      <c r="K41" s="128"/>
      <c r="L41" s="128"/>
      <c r="M41" s="107"/>
      <c r="N41" s="107">
        <f>7.1+3.9+75.4+13.6</f>
        <v>100</v>
      </c>
      <c r="O41" s="107"/>
      <c r="P41" s="107"/>
      <c r="Q41" s="107"/>
      <c r="R41" s="107"/>
      <c r="S41" s="107"/>
      <c r="T41" s="107"/>
      <c r="U41" s="107"/>
      <c r="V41" s="107"/>
      <c r="W41" s="107"/>
      <c r="X41" s="107"/>
    </row>
    <row r="42" spans="2:24" ht="17.399999999999999">
      <c r="B42" s="234" t="s">
        <v>889</v>
      </c>
      <c r="C42" s="165"/>
      <c r="D42" s="235" t="s">
        <v>544</v>
      </c>
      <c r="E42" s="480" t="str">
        <f>E35</f>
        <v>2022/23</v>
      </c>
      <c r="F42" s="274" t="str">
        <f>F35</f>
        <v>2021/22</v>
      </c>
      <c r="G42" s="274" t="str">
        <f>G35</f>
        <v>2020/21</v>
      </c>
      <c r="H42" s="274" t="str">
        <f>H35</f>
        <v>2019/20</v>
      </c>
      <c r="I42" s="127"/>
      <c r="J42" s="128"/>
      <c r="K42" s="128"/>
      <c r="L42" s="128"/>
      <c r="M42" s="107"/>
      <c r="N42" s="107"/>
      <c r="O42" s="107"/>
      <c r="P42" s="107"/>
      <c r="Q42" s="107"/>
      <c r="R42" s="107"/>
      <c r="S42" s="107"/>
      <c r="T42" s="107"/>
      <c r="U42" s="107"/>
      <c r="V42" s="107"/>
      <c r="W42" s="107"/>
      <c r="X42" s="107"/>
    </row>
    <row r="43" spans="2:24" ht="19.5" customHeight="1">
      <c r="B43" s="166" t="s">
        <v>890</v>
      </c>
      <c r="C43" s="167" t="s">
        <v>1151</v>
      </c>
      <c r="D43" s="161" t="s">
        <v>891</v>
      </c>
      <c r="E43" s="246">
        <v>108126</v>
      </c>
      <c r="F43" s="168">
        <v>109536</v>
      </c>
      <c r="G43" s="168">
        <v>106223</v>
      </c>
      <c r="H43" s="168">
        <v>113152</v>
      </c>
      <c r="I43" s="127"/>
      <c r="J43" s="128"/>
      <c r="K43" s="128"/>
      <c r="L43" s="128"/>
      <c r="M43" s="107"/>
      <c r="N43" s="107"/>
      <c r="O43" s="107"/>
      <c r="P43" s="107"/>
      <c r="Q43" s="107"/>
      <c r="R43" s="107"/>
      <c r="S43" s="107"/>
      <c r="T43" s="107"/>
      <c r="U43" s="107"/>
      <c r="V43" s="107"/>
      <c r="W43" s="107"/>
      <c r="X43" s="107"/>
    </row>
    <row r="44" spans="2:24">
      <c r="B44" s="126"/>
      <c r="C44" s="125"/>
      <c r="D44" s="126"/>
      <c r="E44" s="126"/>
      <c r="F44" s="126"/>
      <c r="G44" s="126"/>
      <c r="H44" s="126"/>
      <c r="I44" s="126"/>
      <c r="J44" s="128"/>
      <c r="K44" s="128"/>
      <c r="L44" s="128"/>
      <c r="M44" s="107"/>
      <c r="N44" s="107"/>
      <c r="O44" s="107"/>
      <c r="P44" s="107"/>
      <c r="Q44" s="107"/>
      <c r="R44" s="107"/>
      <c r="S44" s="107"/>
      <c r="T44" s="107"/>
      <c r="U44" s="107"/>
      <c r="V44" s="107"/>
      <c r="W44" s="107"/>
      <c r="X44" s="107"/>
    </row>
    <row r="45" spans="2:24" ht="24.6">
      <c r="B45" s="129" t="s">
        <v>710</v>
      </c>
      <c r="C45" s="113"/>
      <c r="D45" s="114"/>
      <c r="E45" s="114"/>
      <c r="F45" s="114"/>
      <c r="G45" s="1440"/>
      <c r="H45" s="1440"/>
      <c r="I45" s="1440"/>
      <c r="J45" s="115"/>
      <c r="K45" s="115"/>
      <c r="L45" s="130"/>
      <c r="M45" s="130"/>
      <c r="N45" s="130"/>
      <c r="O45" s="130"/>
    </row>
    <row r="46" spans="2:24">
      <c r="B46" s="131"/>
      <c r="C46" s="132"/>
      <c r="D46" s="133"/>
      <c r="E46" s="134"/>
      <c r="F46" s="133"/>
      <c r="G46" s="133"/>
      <c r="H46" s="133"/>
    </row>
    <row r="47" spans="2:24" ht="36">
      <c r="B47" s="249" t="s">
        <v>506</v>
      </c>
      <c r="C47" s="250" t="s">
        <v>842</v>
      </c>
      <c r="D47" s="235" t="s">
        <v>544</v>
      </c>
      <c r="E47" s="251" t="s">
        <v>546</v>
      </c>
      <c r="F47" s="275" t="s">
        <v>547</v>
      </c>
      <c r="G47" s="276" t="s">
        <v>548</v>
      </c>
      <c r="H47" s="276" t="s">
        <v>549</v>
      </c>
      <c r="I47" s="279" t="str">
        <f>I17</f>
        <v>Performance against prior year</v>
      </c>
      <c r="J47" s="279" t="str">
        <f>J17</f>
        <v>Performance against 2019/20 baseline</v>
      </c>
      <c r="K47" s="279" t="str">
        <f>K17</f>
        <v>Progress towards 2030 target</v>
      </c>
    </row>
    <row r="48" spans="2:24" ht="17.399999999999999">
      <c r="B48" s="192" t="s">
        <v>711</v>
      </c>
      <c r="C48" s="170"/>
      <c r="D48" s="169"/>
      <c r="E48" s="171"/>
      <c r="F48" s="171"/>
      <c r="G48" s="171"/>
      <c r="H48" s="171"/>
      <c r="I48" s="281"/>
      <c r="J48" s="281"/>
      <c r="K48" s="393"/>
    </row>
    <row r="49" spans="2:12" ht="15.6">
      <c r="B49" s="172" t="s">
        <v>712</v>
      </c>
      <c r="C49" s="173" t="s">
        <v>713</v>
      </c>
      <c r="D49" s="174" t="s">
        <v>714</v>
      </c>
      <c r="E49" s="247">
        <v>1705818</v>
      </c>
      <c r="F49" s="175">
        <v>1815379</v>
      </c>
      <c r="G49" s="176">
        <v>1698159</v>
      </c>
      <c r="H49" s="176">
        <v>1849211</v>
      </c>
      <c r="I49" s="281">
        <f t="shared" ref="I49:I54" si="5">(E49-F49)/F49</f>
        <v>-6.0351584985834913E-2</v>
      </c>
      <c r="J49" s="281">
        <f>(E49-H49)/H49</f>
        <v>-7.7542800686346766E-2</v>
      </c>
      <c r="K49" s="393"/>
      <c r="L49" s="135"/>
    </row>
    <row r="50" spans="2:12" ht="15.6">
      <c r="B50" s="172" t="s">
        <v>715</v>
      </c>
      <c r="C50" s="173" t="s">
        <v>716</v>
      </c>
      <c r="D50" s="174" t="s">
        <v>714</v>
      </c>
      <c r="E50" s="248">
        <v>0</v>
      </c>
      <c r="F50" s="177">
        <v>0</v>
      </c>
      <c r="G50" s="178">
        <v>0</v>
      </c>
      <c r="H50" s="178">
        <v>0</v>
      </c>
      <c r="I50" s="281"/>
      <c r="J50" s="281"/>
      <c r="K50" s="393"/>
    </row>
    <row r="51" spans="2:12" ht="27.6">
      <c r="B51" s="172" t="s">
        <v>717</v>
      </c>
      <c r="C51" s="173" t="s">
        <v>718</v>
      </c>
      <c r="D51" s="174" t="s">
        <v>714</v>
      </c>
      <c r="E51" s="248">
        <v>95060</v>
      </c>
      <c r="F51" s="177">
        <v>95150</v>
      </c>
      <c r="G51" s="179">
        <v>78886</v>
      </c>
      <c r="H51" s="179">
        <v>72326</v>
      </c>
      <c r="I51" s="281">
        <f t="shared" si="5"/>
        <v>-9.4587493431424064E-4</v>
      </c>
      <c r="J51" s="281">
        <f t="shared" ref="J51:J54" si="6">(E51-H51)/H51</f>
        <v>0.31432679810856401</v>
      </c>
      <c r="K51" s="393"/>
    </row>
    <row r="52" spans="2:12" ht="18" customHeight="1">
      <c r="B52" s="180" t="s">
        <v>581</v>
      </c>
      <c r="C52" s="181" t="s">
        <v>720</v>
      </c>
      <c r="D52" s="182" t="s">
        <v>721</v>
      </c>
      <c r="E52" s="171">
        <f>SUM(E49:E51)</f>
        <v>1800878</v>
      </c>
      <c r="F52" s="183">
        <f>SUM(F49:F51)</f>
        <v>1910529</v>
      </c>
      <c r="G52" s="183">
        <f>SUM(G49:G51)</f>
        <v>1777045</v>
      </c>
      <c r="H52" s="183">
        <f>SUM(H49:H51)</f>
        <v>1921537</v>
      </c>
      <c r="I52" s="281">
        <f t="shared" si="5"/>
        <v>-5.7393004764648953E-2</v>
      </c>
      <c r="J52" s="281">
        <f t="shared" si="6"/>
        <v>-6.2792962092325044E-2</v>
      </c>
      <c r="K52" s="393"/>
    </row>
    <row r="53" spans="2:12" ht="17.399999999999999">
      <c r="B53" s="192" t="s">
        <v>722</v>
      </c>
      <c r="C53" s="170"/>
      <c r="D53" s="169"/>
      <c r="E53" s="171"/>
      <c r="F53" s="171"/>
      <c r="G53" s="171"/>
      <c r="H53" s="171"/>
      <c r="I53" s="281"/>
      <c r="J53" s="281"/>
      <c r="K53" s="393"/>
    </row>
    <row r="54" spans="2:12" ht="41.4">
      <c r="B54" s="186" t="s">
        <v>866</v>
      </c>
      <c r="C54" s="173" t="s">
        <v>1152</v>
      </c>
      <c r="D54" s="182" t="s">
        <v>721</v>
      </c>
      <c r="E54" s="247">
        <v>48993</v>
      </c>
      <c r="F54" s="185">
        <v>77174</v>
      </c>
      <c r="G54" s="185">
        <v>65976</v>
      </c>
      <c r="H54" s="185">
        <v>72194</v>
      </c>
      <c r="I54" s="281">
        <f t="shared" si="5"/>
        <v>-0.36516184207116387</v>
      </c>
      <c r="J54" s="281">
        <f t="shared" si="6"/>
        <v>-0.32137019696927721</v>
      </c>
      <c r="K54" s="393"/>
    </row>
    <row r="55" spans="2:12" ht="17.399999999999999">
      <c r="B55" s="192" t="s">
        <v>725</v>
      </c>
      <c r="C55" s="170"/>
      <c r="D55" s="169"/>
      <c r="E55" s="171"/>
      <c r="F55" s="171"/>
      <c r="G55" s="171"/>
      <c r="H55" s="171"/>
      <c r="I55" s="281"/>
      <c r="J55" s="281"/>
      <c r="K55" s="393"/>
    </row>
    <row r="56" spans="2:12" ht="20.100000000000001" customHeight="1">
      <c r="B56" s="180" t="s">
        <v>584</v>
      </c>
      <c r="C56" s="186" t="s">
        <v>727</v>
      </c>
      <c r="D56" s="180" t="s">
        <v>728</v>
      </c>
      <c r="E56" s="247">
        <f>(E52-E54)/1000</f>
        <v>1751.885</v>
      </c>
      <c r="F56" s="184">
        <f>(F52-F54)/1000</f>
        <v>1833.355</v>
      </c>
      <c r="G56" s="184">
        <f>(G52-G54)/1000</f>
        <v>1711.069</v>
      </c>
      <c r="H56" s="184">
        <f>(H52-H54)/1000</f>
        <v>1849.3430000000001</v>
      </c>
      <c r="I56" s="281">
        <f>(E56-F56)/F56</f>
        <v>-4.4437656645876018E-2</v>
      </c>
      <c r="J56" s="281">
        <f>(E56-H56)/H56</f>
        <v>-5.2698715165331735E-2</v>
      </c>
      <c r="K56" s="281">
        <f>(E56-H56)/((1-0.25)*H56-H56)</f>
        <v>0.21079486066132694</v>
      </c>
    </row>
    <row r="57" spans="2:12">
      <c r="B57" s="136"/>
      <c r="C57" s="137"/>
      <c r="D57" s="136"/>
      <c r="E57" s="138"/>
      <c r="F57" s="138"/>
      <c r="G57" s="139"/>
      <c r="H57" s="139"/>
      <c r="J57" s="140"/>
      <c r="K57" s="140"/>
    </row>
    <row r="58" spans="2:12" ht="151.80000000000001">
      <c r="B58" s="410" t="s">
        <v>586</v>
      </c>
      <c r="C58" s="410" t="s">
        <v>729</v>
      </c>
      <c r="D58" s="411" t="s">
        <v>730</v>
      </c>
      <c r="E58" s="409">
        <f>399174/1000</f>
        <v>399.17399999999998</v>
      </c>
      <c r="F58" s="409">
        <f>421595/1000</f>
        <v>421.59500000000003</v>
      </c>
      <c r="G58" s="409">
        <f>406037/1000</f>
        <v>406.03699999999998</v>
      </c>
      <c r="H58" s="139"/>
      <c r="J58" s="140"/>
      <c r="K58" s="140"/>
    </row>
    <row r="59" spans="2:12">
      <c r="B59" s="136"/>
      <c r="C59" s="137"/>
      <c r="D59" s="136"/>
      <c r="E59" s="526"/>
      <c r="F59" s="138"/>
      <c r="G59" s="138"/>
      <c r="H59" s="138"/>
      <c r="J59" s="140"/>
      <c r="K59" s="140"/>
    </row>
    <row r="60" spans="2:12" ht="17.399999999999999">
      <c r="B60" s="192" t="s">
        <v>868</v>
      </c>
      <c r="C60" s="170"/>
      <c r="D60" s="169"/>
      <c r="E60" s="171"/>
      <c r="F60" s="187"/>
      <c r="G60" s="171"/>
      <c r="H60" s="171"/>
      <c r="I60" s="324"/>
      <c r="J60" s="325"/>
      <c r="K60" s="325"/>
    </row>
    <row r="61" spans="2:12" ht="55.2">
      <c r="B61" s="188" t="s">
        <v>732</v>
      </c>
      <c r="C61" s="189" t="s">
        <v>1153</v>
      </c>
      <c r="D61" s="190" t="s">
        <v>734</v>
      </c>
      <c r="E61" s="392">
        <v>1355851</v>
      </c>
      <c r="F61" s="211">
        <v>1399565</v>
      </c>
      <c r="G61" s="211">
        <v>1506288</v>
      </c>
      <c r="H61" s="211">
        <v>1394087</v>
      </c>
      <c r="I61" s="324"/>
      <c r="J61" s="325"/>
      <c r="K61" s="325"/>
    </row>
    <row r="62" spans="2:12" ht="69">
      <c r="B62" s="180" t="s">
        <v>587</v>
      </c>
      <c r="C62" s="186" t="s">
        <v>735</v>
      </c>
      <c r="D62" s="180" t="s">
        <v>588</v>
      </c>
      <c r="E62" s="169">
        <v>242</v>
      </c>
      <c r="F62" s="180">
        <v>220</v>
      </c>
      <c r="G62" s="180">
        <v>112</v>
      </c>
      <c r="H62" s="180">
        <v>104</v>
      </c>
      <c r="I62" s="324"/>
      <c r="J62" s="326"/>
      <c r="K62" s="326"/>
    </row>
    <row r="63" spans="2:12">
      <c r="B63" s="180" t="s">
        <v>589</v>
      </c>
      <c r="C63" s="186" t="s">
        <v>737</v>
      </c>
      <c r="D63" s="180" t="s">
        <v>574</v>
      </c>
      <c r="E63" s="268">
        <v>0.75</v>
      </c>
      <c r="F63" s="191">
        <v>0.78</v>
      </c>
      <c r="G63" s="191">
        <v>0.8</v>
      </c>
      <c r="H63" s="191">
        <v>0.7</v>
      </c>
      <c r="J63" s="141"/>
      <c r="K63" s="141"/>
    </row>
    <row r="64" spans="2:12">
      <c r="B64" s="142"/>
      <c r="C64" s="143"/>
      <c r="D64" s="144"/>
      <c r="E64" s="144"/>
      <c r="F64" s="145"/>
      <c r="G64" s="145"/>
      <c r="H64" s="145"/>
      <c r="J64" s="141"/>
      <c r="K64" s="141"/>
    </row>
    <row r="65" spans="2:17" ht="36">
      <c r="B65" s="249" t="s">
        <v>196</v>
      </c>
      <c r="C65" s="250" t="s">
        <v>842</v>
      </c>
      <c r="D65" s="235" t="s">
        <v>544</v>
      </c>
      <c r="E65" s="251" t="s">
        <v>546</v>
      </c>
      <c r="F65" s="275" t="s">
        <v>547</v>
      </c>
      <c r="G65" s="276" t="s">
        <v>548</v>
      </c>
      <c r="H65" s="276" t="s">
        <v>549</v>
      </c>
      <c r="I65" s="279" t="str">
        <f>I47</f>
        <v>Performance against prior year</v>
      </c>
      <c r="J65" s="279" t="str">
        <f>J47</f>
        <v>Performance against 2019/20 baseline</v>
      </c>
      <c r="K65" s="279" t="str">
        <f>K47</f>
        <v>Progress towards 2030 target</v>
      </c>
    </row>
    <row r="66" spans="2:17" ht="17.399999999999999">
      <c r="B66" s="252" t="s">
        <v>738</v>
      </c>
      <c r="C66" s="254"/>
      <c r="D66" s="229"/>
      <c r="E66" s="247"/>
      <c r="F66" s="247"/>
      <c r="G66" s="247"/>
      <c r="H66" s="247"/>
      <c r="I66" s="282"/>
      <c r="J66" s="283"/>
      <c r="K66" s="283"/>
    </row>
    <row r="67" spans="2:17" ht="27.6">
      <c r="B67" s="173" t="s">
        <v>739</v>
      </c>
      <c r="C67" s="193" t="s">
        <v>740</v>
      </c>
      <c r="D67" s="194" t="s">
        <v>591</v>
      </c>
      <c r="E67" s="208">
        <v>38519.699999999997</v>
      </c>
      <c r="F67" s="195">
        <v>45151.199999999997</v>
      </c>
      <c r="G67" s="195">
        <v>41025</v>
      </c>
      <c r="H67" s="196">
        <v>40016.699999999997</v>
      </c>
      <c r="I67" s="281">
        <f>(E67-F67)/F67</f>
        <v>-0.1468731728060384</v>
      </c>
      <c r="J67" s="281">
        <f>(E67-H67)/H67</f>
        <v>-3.7409381583189023E-2</v>
      </c>
      <c r="K67" s="281"/>
    </row>
    <row r="68" spans="2:17" ht="27.6">
      <c r="B68" s="166" t="s">
        <v>741</v>
      </c>
      <c r="C68" s="193" t="s">
        <v>742</v>
      </c>
      <c r="D68" s="194" t="s">
        <v>591</v>
      </c>
      <c r="E68" s="208">
        <v>3340</v>
      </c>
      <c r="F68" s="197">
        <v>2639.7</v>
      </c>
      <c r="G68" s="197">
        <v>2622.3</v>
      </c>
      <c r="H68" s="196">
        <v>2469</v>
      </c>
      <c r="I68" s="281">
        <f t="shared" ref="I68:I72" si="7">(E68-F68)/F68</f>
        <v>0.26529529870818663</v>
      </c>
      <c r="J68" s="281">
        <f t="shared" ref="J68:J71" si="8">(E68-H68)/H68</f>
        <v>0.35277440259214254</v>
      </c>
      <c r="K68" s="393"/>
    </row>
    <row r="69" spans="2:17" ht="27.6">
      <c r="B69" s="166" t="s">
        <v>743</v>
      </c>
      <c r="C69" s="193" t="s">
        <v>744</v>
      </c>
      <c r="D69" s="194" t="s">
        <v>591</v>
      </c>
      <c r="E69" s="208">
        <v>7058.7</v>
      </c>
      <c r="F69" s="197">
        <v>8560.2999999999993</v>
      </c>
      <c r="G69" s="197">
        <v>7013</v>
      </c>
      <c r="H69" s="196">
        <v>7815</v>
      </c>
      <c r="I69" s="281">
        <f t="shared" si="7"/>
        <v>-0.1754144130462717</v>
      </c>
      <c r="J69" s="281">
        <f t="shared" si="8"/>
        <v>-9.6775431861804248E-2</v>
      </c>
      <c r="K69" s="393"/>
    </row>
    <row r="70" spans="2:17" ht="27.6">
      <c r="B70" s="166" t="s">
        <v>745</v>
      </c>
      <c r="C70" s="193" t="s">
        <v>746</v>
      </c>
      <c r="D70" s="194" t="s">
        <v>591</v>
      </c>
      <c r="E70" s="208">
        <v>13967</v>
      </c>
      <c r="F70" s="197">
        <v>15289.7</v>
      </c>
      <c r="G70" s="197">
        <v>11538</v>
      </c>
      <c r="H70" s="196">
        <v>13630</v>
      </c>
      <c r="I70" s="281">
        <f t="shared" si="7"/>
        <v>-8.6509218624302678E-2</v>
      </c>
      <c r="J70" s="281">
        <f t="shared" si="8"/>
        <v>2.4724871606749816E-2</v>
      </c>
      <c r="K70" s="393"/>
    </row>
    <row r="71" spans="2:17" ht="41.4">
      <c r="B71" s="198" t="s">
        <v>600</v>
      </c>
      <c r="C71" s="163" t="s">
        <v>1154</v>
      </c>
      <c r="D71" s="199" t="s">
        <v>591</v>
      </c>
      <c r="E71" s="211">
        <f>E67+E68</f>
        <v>41859.699999999997</v>
      </c>
      <c r="F71" s="200">
        <f t="shared" ref="F71:H71" si="9">F67+F68</f>
        <v>47790.899999999994</v>
      </c>
      <c r="G71" s="200">
        <f t="shared" si="9"/>
        <v>43647.3</v>
      </c>
      <c r="H71" s="184">
        <f t="shared" si="9"/>
        <v>42485.7</v>
      </c>
      <c r="I71" s="281">
        <f t="shared" si="7"/>
        <v>-0.12410730913207321</v>
      </c>
      <c r="J71" s="281">
        <f t="shared" si="8"/>
        <v>-1.4734369446660877E-2</v>
      </c>
      <c r="K71" s="281">
        <f>(E71-H71)/((1-0.5)*H71-H71)</f>
        <v>2.9468738893321755E-2</v>
      </c>
    </row>
    <row r="72" spans="2:17" ht="41.4">
      <c r="B72" s="198" t="s">
        <v>595</v>
      </c>
      <c r="C72" s="201" t="s">
        <v>748</v>
      </c>
      <c r="D72" s="199" t="s">
        <v>591</v>
      </c>
      <c r="E72" s="211">
        <f>SUM(E67:E70)</f>
        <v>62885.399999999994</v>
      </c>
      <c r="F72" s="176">
        <f>SUM(F67:F70)</f>
        <v>71640.899999999994</v>
      </c>
      <c r="G72" s="176">
        <f>SUM(G67:G70)</f>
        <v>62198.3</v>
      </c>
      <c r="H72" s="176">
        <f>SUM(H67:H70)</f>
        <v>63930.7</v>
      </c>
      <c r="I72" s="281">
        <f t="shared" si="7"/>
        <v>-0.12221370753298745</v>
      </c>
      <c r="J72" s="281">
        <f>(E72-H72)/H72</f>
        <v>-1.6350517044237008E-2</v>
      </c>
      <c r="K72" s="393"/>
    </row>
    <row r="73" spans="2:17" ht="17.399999999999999">
      <c r="B73" s="252" t="s">
        <v>749</v>
      </c>
      <c r="C73" s="230"/>
      <c r="D73" s="229"/>
      <c r="E73" s="247">
        <f>38520+3340+7059+13967</f>
        <v>62886</v>
      </c>
      <c r="F73" s="247"/>
      <c r="G73" s="247"/>
      <c r="H73" s="247"/>
    </row>
    <row r="74" spans="2:17" ht="41.4">
      <c r="B74" s="193" t="s">
        <v>750</v>
      </c>
      <c r="C74" s="193" t="s">
        <v>751</v>
      </c>
      <c r="D74" s="194" t="s">
        <v>591</v>
      </c>
      <c r="E74" s="269">
        <v>848</v>
      </c>
      <c r="F74" s="196">
        <v>1744</v>
      </c>
      <c r="G74" s="196">
        <v>885</v>
      </c>
      <c r="H74" s="196">
        <v>1497.1</v>
      </c>
      <c r="M74" s="388" t="s">
        <v>1155</v>
      </c>
      <c r="N74" s="388"/>
      <c r="O74" s="388"/>
      <c r="P74" s="388"/>
      <c r="Q74" s="388"/>
    </row>
    <row r="75" spans="2:17" ht="27.6">
      <c r="B75" s="193" t="s">
        <v>752</v>
      </c>
      <c r="C75" s="193" t="s">
        <v>753</v>
      </c>
      <c r="D75" s="194" t="s">
        <v>591</v>
      </c>
      <c r="E75" s="269">
        <v>3871</v>
      </c>
      <c r="F75" s="196">
        <v>6885</v>
      </c>
      <c r="G75" s="196">
        <v>5365</v>
      </c>
      <c r="H75" s="196">
        <v>4991.7</v>
      </c>
      <c r="J75" s="323"/>
      <c r="M75" s="388"/>
      <c r="N75" s="389" t="s">
        <v>546</v>
      </c>
      <c r="O75" s="390" t="s">
        <v>547</v>
      </c>
      <c r="P75" s="389" t="s">
        <v>548</v>
      </c>
      <c r="Q75" s="389" t="s">
        <v>549</v>
      </c>
    </row>
    <row r="76" spans="2:17" ht="27.6">
      <c r="B76" s="193" t="s">
        <v>754</v>
      </c>
      <c r="C76" s="193" t="s">
        <v>755</v>
      </c>
      <c r="D76" s="194" t="s">
        <v>591</v>
      </c>
      <c r="E76" s="269">
        <v>2038</v>
      </c>
      <c r="F76" s="196">
        <v>2785</v>
      </c>
      <c r="G76" s="196">
        <v>1549</v>
      </c>
      <c r="H76" s="196">
        <v>1444.1</v>
      </c>
      <c r="M76" s="388" t="s">
        <v>1156</v>
      </c>
      <c r="N76" s="391">
        <f>E85+E86</f>
        <v>1057</v>
      </c>
      <c r="O76" s="391">
        <f>F85+F86</f>
        <v>1020</v>
      </c>
      <c r="P76" s="391">
        <f>G85+G86</f>
        <v>1031</v>
      </c>
      <c r="Q76" s="391">
        <f>H85+H86</f>
        <v>720</v>
      </c>
    </row>
    <row r="77" spans="2:17" ht="15.6">
      <c r="B77" s="201" t="s">
        <v>1157</v>
      </c>
      <c r="C77" s="201" t="s">
        <v>757</v>
      </c>
      <c r="D77" s="199" t="s">
        <v>591</v>
      </c>
      <c r="E77" s="247">
        <f>E74+E75+E76</f>
        <v>6757</v>
      </c>
      <c r="F77" s="184">
        <f>F74+F75+F76</f>
        <v>11414</v>
      </c>
      <c r="G77" s="184">
        <f>G74+G75+G76</f>
        <v>7799</v>
      </c>
      <c r="H77" s="184">
        <f>H74+H75+H76</f>
        <v>7932.9</v>
      </c>
      <c r="M77" s="388" t="s">
        <v>1158</v>
      </c>
      <c r="N77" s="391">
        <f>E87+E88</f>
        <v>36873</v>
      </c>
      <c r="O77" s="391">
        <f>F87+F88</f>
        <v>38277</v>
      </c>
      <c r="P77" s="391">
        <f>G87+G88</f>
        <v>23390</v>
      </c>
      <c r="Q77" s="391">
        <f>H87+H88</f>
        <v>19452</v>
      </c>
    </row>
    <row r="78" spans="2:17" ht="41.4">
      <c r="B78" s="193" t="s">
        <v>758</v>
      </c>
      <c r="C78" s="193" t="s">
        <v>759</v>
      </c>
      <c r="D78" s="194" t="s">
        <v>591</v>
      </c>
      <c r="E78" s="269">
        <v>227</v>
      </c>
      <c r="F78" s="196">
        <v>297.2</v>
      </c>
      <c r="G78" s="196">
        <v>137.80000000000001</v>
      </c>
      <c r="H78" s="196">
        <v>200.4</v>
      </c>
      <c r="M78" s="388" t="s">
        <v>1159</v>
      </c>
      <c r="N78" s="391">
        <f t="shared" ref="N78:Q79" si="10">E74+E78</f>
        <v>1075</v>
      </c>
      <c r="O78" s="391">
        <f t="shared" si="10"/>
        <v>2041.2</v>
      </c>
      <c r="P78" s="391">
        <f t="shared" si="10"/>
        <v>1022.8</v>
      </c>
      <c r="Q78" s="391">
        <f t="shared" si="10"/>
        <v>1697.5</v>
      </c>
    </row>
    <row r="79" spans="2:17" ht="27.6">
      <c r="B79" s="193" t="s">
        <v>875</v>
      </c>
      <c r="C79" s="193" t="s">
        <v>761</v>
      </c>
      <c r="D79" s="194" t="s">
        <v>591</v>
      </c>
      <c r="E79" s="269">
        <v>15662</v>
      </c>
      <c r="F79" s="196">
        <v>19276.2</v>
      </c>
      <c r="G79" s="196">
        <v>28214.400000000001</v>
      </c>
      <c r="H79" s="196">
        <v>33984.199999999997</v>
      </c>
      <c r="M79" s="388" t="s">
        <v>1160</v>
      </c>
      <c r="N79" s="391">
        <f t="shared" si="10"/>
        <v>19533</v>
      </c>
      <c r="O79" s="391">
        <f t="shared" si="10"/>
        <v>26161.200000000001</v>
      </c>
      <c r="P79" s="391">
        <f t="shared" si="10"/>
        <v>33579.4</v>
      </c>
      <c r="Q79" s="391">
        <f t="shared" si="10"/>
        <v>38975.899999999994</v>
      </c>
    </row>
    <row r="80" spans="2:17" ht="27.6">
      <c r="B80" s="193" t="s">
        <v>762</v>
      </c>
      <c r="C80" s="193" t="s">
        <v>763</v>
      </c>
      <c r="D80" s="194" t="s">
        <v>591</v>
      </c>
      <c r="E80" s="269">
        <v>2309</v>
      </c>
      <c r="F80" s="196">
        <v>1356.9</v>
      </c>
      <c r="G80" s="196">
        <v>1625.8</v>
      </c>
      <c r="H80" s="196">
        <v>1641.7</v>
      </c>
      <c r="M80" s="388" t="s">
        <v>1161</v>
      </c>
      <c r="N80" s="391">
        <f>E83</f>
        <v>4347</v>
      </c>
      <c r="O80" s="391">
        <f>F83</f>
        <v>4141.8999999999996</v>
      </c>
      <c r="P80" s="391">
        <f>G83</f>
        <v>3174.8</v>
      </c>
      <c r="Q80" s="391">
        <f>H83</f>
        <v>3085.8</v>
      </c>
    </row>
    <row r="81" spans="2:17">
      <c r="B81" s="201" t="s">
        <v>764</v>
      </c>
      <c r="C81" s="201" t="s">
        <v>765</v>
      </c>
      <c r="D81" s="199" t="s">
        <v>591</v>
      </c>
      <c r="E81" s="247">
        <f>E78+E79+E80</f>
        <v>18198</v>
      </c>
      <c r="F81" s="184">
        <f>F78+F79+F80</f>
        <v>20930.300000000003</v>
      </c>
      <c r="G81" s="184">
        <f>G78+G79+G80</f>
        <v>29978</v>
      </c>
      <c r="H81" s="184">
        <f>H78+H79+H80</f>
        <v>35826.299999999996</v>
      </c>
      <c r="M81" s="388" t="s">
        <v>1162</v>
      </c>
      <c r="N81" s="391">
        <f>E72</f>
        <v>62885.399999999994</v>
      </c>
      <c r="O81" s="391">
        <f>F72</f>
        <v>71640.899999999994</v>
      </c>
      <c r="P81" s="391">
        <f>G72</f>
        <v>62198.3</v>
      </c>
      <c r="Q81" s="391">
        <f>H72</f>
        <v>63930.7</v>
      </c>
    </row>
    <row r="82" spans="2:17" ht="30" customHeight="1">
      <c r="B82" s="201" t="s">
        <v>766</v>
      </c>
      <c r="C82" s="201" t="s">
        <v>767</v>
      </c>
      <c r="D82" s="199" t="s">
        <v>591</v>
      </c>
      <c r="E82" s="247">
        <f>E81+E77</f>
        <v>24955</v>
      </c>
      <c r="F82" s="184">
        <f>F81+F77</f>
        <v>32344.300000000003</v>
      </c>
      <c r="G82" s="184">
        <f>G81+G77</f>
        <v>37777</v>
      </c>
      <c r="H82" s="184">
        <f>H81+H77</f>
        <v>43759.199999999997</v>
      </c>
    </row>
    <row r="83" spans="2:17" ht="15.9" customHeight="1">
      <c r="B83" s="201" t="s">
        <v>876</v>
      </c>
      <c r="C83" s="201" t="s">
        <v>769</v>
      </c>
      <c r="D83" s="199" t="s">
        <v>591</v>
      </c>
      <c r="E83" s="247">
        <f>E80+E76</f>
        <v>4347</v>
      </c>
      <c r="F83" s="184">
        <f>F80+F76</f>
        <v>4141.8999999999996</v>
      </c>
      <c r="G83" s="184">
        <f>G80+G76</f>
        <v>3174.8</v>
      </c>
      <c r="H83" s="184">
        <f>H80+H76</f>
        <v>3085.8</v>
      </c>
      <c r="L83" s="135"/>
      <c r="M83" s="135"/>
      <c r="N83" s="135"/>
      <c r="O83" s="135"/>
    </row>
    <row r="84" spans="2:17" ht="17.399999999999999">
      <c r="B84" s="252" t="s">
        <v>770</v>
      </c>
      <c r="C84" s="230"/>
      <c r="D84" s="229"/>
      <c r="E84" s="247"/>
      <c r="F84" s="247"/>
      <c r="G84" s="247"/>
      <c r="H84" s="247"/>
    </row>
    <row r="85" spans="2:17" ht="55.2">
      <c r="B85" s="202" t="s">
        <v>877</v>
      </c>
      <c r="C85" s="161" t="s">
        <v>772</v>
      </c>
      <c r="D85" s="194" t="s">
        <v>591</v>
      </c>
      <c r="E85" s="270">
        <v>137</v>
      </c>
      <c r="F85" s="203">
        <v>127</v>
      </c>
      <c r="G85" s="203">
        <v>106</v>
      </c>
      <c r="H85" s="203">
        <v>127</v>
      </c>
    </row>
    <row r="86" spans="2:17" ht="55.2">
      <c r="B86" s="202" t="s">
        <v>878</v>
      </c>
      <c r="C86" s="161" t="s">
        <v>774</v>
      </c>
      <c r="D86" s="194" t="s">
        <v>591</v>
      </c>
      <c r="E86" s="270">
        <v>920</v>
      </c>
      <c r="F86" s="203">
        <v>893</v>
      </c>
      <c r="G86" s="203">
        <v>925</v>
      </c>
      <c r="H86" s="203">
        <v>593</v>
      </c>
    </row>
    <row r="87" spans="2:17" ht="41.4">
      <c r="B87" s="202" t="s">
        <v>775</v>
      </c>
      <c r="C87" s="161" t="s">
        <v>776</v>
      </c>
      <c r="D87" s="194" t="s">
        <v>591</v>
      </c>
      <c r="E87" s="270">
        <v>14130</v>
      </c>
      <c r="F87" s="203">
        <v>12309</v>
      </c>
      <c r="G87" s="196">
        <v>10646</v>
      </c>
      <c r="H87" s="196">
        <v>13385</v>
      </c>
    </row>
    <row r="88" spans="2:17" ht="41.4">
      <c r="B88" s="202" t="s">
        <v>777</v>
      </c>
      <c r="C88" s="161" t="s">
        <v>778</v>
      </c>
      <c r="D88" s="194" t="s">
        <v>591</v>
      </c>
      <c r="E88" s="270">
        <v>22743</v>
      </c>
      <c r="F88" s="203">
        <v>25968</v>
      </c>
      <c r="G88" s="203">
        <v>12744</v>
      </c>
      <c r="H88" s="203">
        <v>6067</v>
      </c>
    </row>
    <row r="89" spans="2:17" ht="55.2">
      <c r="B89" s="198" t="s">
        <v>779</v>
      </c>
      <c r="C89" s="201" t="s">
        <v>1163</v>
      </c>
      <c r="D89" s="199" t="s">
        <v>591</v>
      </c>
      <c r="E89" s="247">
        <f>E85+E86+E87+E88</f>
        <v>37930</v>
      </c>
      <c r="F89" s="184">
        <f>F85+F86+F87+F88</f>
        <v>39297</v>
      </c>
      <c r="G89" s="184">
        <f t="shared" ref="G89:H89" si="11">G85+G86+G87+G88</f>
        <v>24421</v>
      </c>
      <c r="H89" s="184">
        <f t="shared" si="11"/>
        <v>20172</v>
      </c>
      <c r="I89" s="135"/>
      <c r="J89" s="135"/>
      <c r="K89" s="96"/>
    </row>
    <row r="90" spans="2:17">
      <c r="B90" s="202" t="s">
        <v>879</v>
      </c>
      <c r="C90" s="193" t="s">
        <v>782</v>
      </c>
      <c r="D90" s="194" t="s">
        <v>574</v>
      </c>
      <c r="E90" s="271">
        <f>E85/E72</f>
        <v>2.1785660900622405E-3</v>
      </c>
      <c r="F90" s="204">
        <f>F85/F72</f>
        <v>1.7727303816674554E-3</v>
      </c>
      <c r="G90" s="204">
        <f>G85/G72</f>
        <v>1.7042266428503672E-3</v>
      </c>
      <c r="H90" s="204">
        <f>H85/H72</f>
        <v>1.9865260352225143E-3</v>
      </c>
      <c r="I90" s="141"/>
      <c r="J90" s="141"/>
      <c r="K90" s="96"/>
    </row>
    <row r="91" spans="2:17">
      <c r="B91" s="174" t="s">
        <v>880</v>
      </c>
      <c r="C91" s="193" t="s">
        <v>782</v>
      </c>
      <c r="D91" s="205" t="s">
        <v>574</v>
      </c>
      <c r="E91" s="271">
        <f>E86/E72</f>
        <v>1.4629786882169789E-2</v>
      </c>
      <c r="F91" s="204">
        <f>F86/F72</f>
        <v>1.2464946699441242E-2</v>
      </c>
      <c r="G91" s="204">
        <f>G86/G72</f>
        <v>1.4871789100345185E-2</v>
      </c>
      <c r="H91" s="204">
        <f>H86/H72</f>
        <v>9.2756688101334733E-3</v>
      </c>
    </row>
    <row r="92" spans="2:17">
      <c r="B92" s="174" t="s">
        <v>881</v>
      </c>
      <c r="C92" s="193" t="s">
        <v>782</v>
      </c>
      <c r="D92" s="205" t="s">
        <v>574</v>
      </c>
      <c r="E92" s="271">
        <f>E89/E72</f>
        <v>0.60316067004423923</v>
      </c>
      <c r="F92" s="204">
        <f>F89/F72</f>
        <v>0.54852744731012593</v>
      </c>
      <c r="G92" s="204">
        <f>G89/G72</f>
        <v>0.39263130985895112</v>
      </c>
      <c r="H92" s="204">
        <f>H89/H72</f>
        <v>0.31552915891739025</v>
      </c>
    </row>
    <row r="93" spans="2:17" ht="17.399999999999999">
      <c r="B93" s="252" t="s">
        <v>785</v>
      </c>
      <c r="C93" s="230"/>
      <c r="D93" s="229"/>
      <c r="E93" s="247"/>
      <c r="F93" s="247"/>
      <c r="G93" s="247"/>
      <c r="H93" s="247"/>
    </row>
    <row r="94" spans="2:17" ht="14.1" customHeight="1">
      <c r="B94" s="221" t="s">
        <v>602</v>
      </c>
      <c r="C94" s="207" t="s">
        <v>787</v>
      </c>
      <c r="D94" s="194" t="s">
        <v>591</v>
      </c>
      <c r="E94" s="269">
        <f>E68+E70</f>
        <v>17307</v>
      </c>
      <c r="F94" s="208">
        <f>F68+F70</f>
        <v>17929.400000000001</v>
      </c>
      <c r="G94" s="208">
        <f>G68+G70</f>
        <v>14160.3</v>
      </c>
      <c r="H94" s="208">
        <f>H68+H70</f>
        <v>16099</v>
      </c>
    </row>
    <row r="95" spans="2:17">
      <c r="B95" s="221" t="s">
        <v>882</v>
      </c>
      <c r="C95" s="193" t="s">
        <v>789</v>
      </c>
      <c r="D95" s="194" t="s">
        <v>591</v>
      </c>
      <c r="E95" s="272">
        <v>500</v>
      </c>
      <c r="F95" s="209">
        <v>531</v>
      </c>
      <c r="G95" s="209">
        <v>421</v>
      </c>
      <c r="H95" s="209">
        <v>221</v>
      </c>
    </row>
    <row r="96" spans="2:17">
      <c r="B96" s="221" t="s">
        <v>883</v>
      </c>
      <c r="C96" s="193" t="s">
        <v>791</v>
      </c>
      <c r="D96" s="194" t="s">
        <v>591</v>
      </c>
      <c r="E96" s="272">
        <v>12438</v>
      </c>
      <c r="F96" s="209">
        <v>11970</v>
      </c>
      <c r="G96" s="213">
        <v>10278</v>
      </c>
      <c r="H96" s="213">
        <v>11791</v>
      </c>
    </row>
    <row r="97" spans="2:24">
      <c r="B97" s="190" t="s">
        <v>601</v>
      </c>
      <c r="C97" s="193" t="s">
        <v>793</v>
      </c>
      <c r="D97" s="194" t="s">
        <v>591</v>
      </c>
      <c r="E97" s="247">
        <f>E94-E95-E96</f>
        <v>4369</v>
      </c>
      <c r="F97" s="211">
        <f t="shared" ref="F97:H97" si="12">F94-F95-F96</f>
        <v>5428.4000000000015</v>
      </c>
      <c r="G97" s="211">
        <f t="shared" si="12"/>
        <v>3461.2999999999993</v>
      </c>
      <c r="H97" s="211">
        <f t="shared" si="12"/>
        <v>4087</v>
      </c>
    </row>
    <row r="98" spans="2:24">
      <c r="B98" s="528"/>
      <c r="C98" s="146"/>
      <c r="D98" s="147"/>
      <c r="E98" s="148"/>
      <c r="F98" s="148"/>
      <c r="G98" s="148"/>
      <c r="H98" s="148"/>
    </row>
    <row r="99" spans="2:24" ht="19.8">
      <c r="B99" s="249" t="s">
        <v>794</v>
      </c>
      <c r="C99" s="250" t="s">
        <v>842</v>
      </c>
      <c r="D99" s="266" t="s">
        <v>544</v>
      </c>
      <c r="E99" s="251" t="s">
        <v>546</v>
      </c>
      <c r="F99" s="275" t="s">
        <v>547</v>
      </c>
      <c r="G99" s="276" t="s">
        <v>548</v>
      </c>
      <c r="H99" s="276" t="s">
        <v>549</v>
      </c>
    </row>
    <row r="100" spans="2:24" ht="43.8">
      <c r="B100" s="194" t="s">
        <v>795</v>
      </c>
      <c r="C100" s="167" t="s">
        <v>796</v>
      </c>
      <c r="D100" s="194" t="s">
        <v>591</v>
      </c>
      <c r="E100" s="267">
        <v>336</v>
      </c>
      <c r="F100" s="212">
        <v>358</v>
      </c>
      <c r="G100" s="212">
        <v>338</v>
      </c>
      <c r="H100" s="212">
        <v>320</v>
      </c>
    </row>
    <row r="101" spans="2:24" ht="45">
      <c r="B101" s="194" t="s">
        <v>797</v>
      </c>
      <c r="C101" s="167" t="s">
        <v>798</v>
      </c>
      <c r="D101" s="194" t="s">
        <v>591</v>
      </c>
      <c r="E101" s="267">
        <v>31</v>
      </c>
      <c r="F101" s="212">
        <v>73</v>
      </c>
      <c r="G101" s="212">
        <v>42</v>
      </c>
      <c r="H101" s="212">
        <v>16</v>
      </c>
    </row>
    <row r="102" spans="2:24" ht="55.2">
      <c r="B102" s="194" t="s">
        <v>607</v>
      </c>
      <c r="C102" s="167" t="s">
        <v>799</v>
      </c>
      <c r="D102" s="194" t="s">
        <v>591</v>
      </c>
      <c r="E102" s="267">
        <v>42</v>
      </c>
      <c r="F102" s="212">
        <v>50</v>
      </c>
      <c r="G102" s="212">
        <v>39</v>
      </c>
      <c r="H102" s="212">
        <v>47</v>
      </c>
    </row>
    <row r="103" spans="2:24" ht="15">
      <c r="B103" s="194" t="s">
        <v>800</v>
      </c>
      <c r="C103" s="167" t="s">
        <v>801</v>
      </c>
      <c r="D103" s="194" t="s">
        <v>574</v>
      </c>
      <c r="E103" s="268">
        <v>0.86</v>
      </c>
      <c r="F103" s="394">
        <v>0.85</v>
      </c>
      <c r="G103" s="395">
        <v>0.85</v>
      </c>
      <c r="H103" s="395">
        <v>0.82</v>
      </c>
    </row>
    <row r="104" spans="2:24" ht="15">
      <c r="B104" s="194" t="s">
        <v>802</v>
      </c>
      <c r="C104" s="167" t="s">
        <v>803</v>
      </c>
      <c r="D104" s="194" t="s">
        <v>574</v>
      </c>
      <c r="E104" s="268">
        <v>0.36</v>
      </c>
      <c r="F104" s="394">
        <v>0.34</v>
      </c>
      <c r="G104" s="395">
        <v>0.36</v>
      </c>
      <c r="H104" s="395">
        <v>0.32</v>
      </c>
    </row>
    <row r="105" spans="2:24">
      <c r="B105" s="194" t="s">
        <v>610</v>
      </c>
      <c r="C105" s="167" t="s">
        <v>804</v>
      </c>
      <c r="D105" s="194" t="s">
        <v>574</v>
      </c>
      <c r="E105" s="268">
        <v>0.56999999999999995</v>
      </c>
      <c r="F105" s="394">
        <v>0.56000000000000005</v>
      </c>
      <c r="G105" s="395">
        <v>0.54</v>
      </c>
      <c r="H105" s="395">
        <v>0.53</v>
      </c>
    </row>
    <row r="106" spans="2:24">
      <c r="B106" s="126"/>
      <c r="C106" s="149"/>
      <c r="D106" s="65"/>
      <c r="E106" s="150"/>
      <c r="F106" s="151"/>
      <c r="G106" s="151"/>
      <c r="H106" s="65"/>
    </row>
    <row r="107" spans="2:24" ht="24.6">
      <c r="B107" s="129" t="s">
        <v>805</v>
      </c>
      <c r="C107" s="113"/>
      <c r="D107" s="114"/>
      <c r="E107" s="114"/>
      <c r="F107" s="114"/>
      <c r="G107" s="1440"/>
      <c r="H107" s="1440"/>
      <c r="I107" s="1440"/>
      <c r="J107" s="1440"/>
      <c r="K107" s="1440"/>
      <c r="L107" s="1440"/>
      <c r="M107" s="1440"/>
      <c r="N107" s="1440"/>
      <c r="O107" s="1440"/>
    </row>
    <row r="108" spans="2:24">
      <c r="B108" s="126"/>
      <c r="C108" s="125"/>
      <c r="D108" s="126"/>
      <c r="E108" s="126"/>
      <c r="F108" s="126"/>
      <c r="G108" s="127"/>
      <c r="H108" s="127"/>
      <c r="I108" s="127"/>
      <c r="J108" s="128"/>
      <c r="K108" s="128"/>
      <c r="L108" s="128"/>
      <c r="M108" s="107"/>
      <c r="N108" s="107"/>
      <c r="O108" s="107"/>
      <c r="P108" s="107"/>
      <c r="Q108" s="107"/>
      <c r="R108" s="107"/>
      <c r="S108" s="107"/>
      <c r="T108" s="107"/>
      <c r="U108" s="107"/>
      <c r="V108" s="107"/>
      <c r="W108" s="107"/>
      <c r="X108" s="107"/>
    </row>
    <row r="109" spans="2:24" ht="24">
      <c r="B109" s="255" t="s">
        <v>560</v>
      </c>
      <c r="C109" s="253" t="s">
        <v>842</v>
      </c>
      <c r="D109" s="266" t="s">
        <v>544</v>
      </c>
      <c r="E109" s="1505" t="s">
        <v>546</v>
      </c>
      <c r="F109" s="1505"/>
      <c r="G109" s="1505"/>
      <c r="H109" s="1437" t="s">
        <v>547</v>
      </c>
      <c r="I109" s="1437"/>
      <c r="J109" s="1437"/>
      <c r="K109" s="1437" t="s">
        <v>548</v>
      </c>
      <c r="L109" s="1437"/>
      <c r="M109" s="1437"/>
      <c r="N109" s="257" t="s">
        <v>549</v>
      </c>
      <c r="O109" s="279" t="str">
        <f>I65</f>
        <v>Performance against prior year</v>
      </c>
      <c r="P109" s="107"/>
      <c r="T109" s="107"/>
      <c r="U109" s="107"/>
      <c r="V109" s="107"/>
      <c r="W109" s="107"/>
    </row>
    <row r="110" spans="2:24" ht="27.6">
      <c r="B110" s="205"/>
      <c r="C110" s="215"/>
      <c r="D110" s="216"/>
      <c r="E110" s="260" t="s">
        <v>550</v>
      </c>
      <c r="F110" s="260" t="s">
        <v>660</v>
      </c>
      <c r="G110" s="260" t="s">
        <v>661</v>
      </c>
      <c r="H110" s="214" t="s">
        <v>550</v>
      </c>
      <c r="I110" s="214" t="s">
        <v>660</v>
      </c>
      <c r="J110" s="217" t="s">
        <v>661</v>
      </c>
      <c r="K110" s="214" t="s">
        <v>550</v>
      </c>
      <c r="L110" s="214" t="s">
        <v>660</v>
      </c>
      <c r="M110" s="217" t="s">
        <v>661</v>
      </c>
      <c r="N110" s="214" t="s">
        <v>550</v>
      </c>
      <c r="O110" s="280" t="s">
        <v>550</v>
      </c>
      <c r="P110" s="107"/>
      <c r="T110" s="107"/>
      <c r="U110" s="107"/>
      <c r="V110" s="107"/>
      <c r="W110" s="107"/>
    </row>
    <row r="111" spans="2:24" ht="69">
      <c r="B111" s="216" t="s">
        <v>561</v>
      </c>
      <c r="C111" s="218" t="s">
        <v>806</v>
      </c>
      <c r="D111" s="219" t="s">
        <v>562</v>
      </c>
      <c r="E111" s="261">
        <f t="shared" ref="E111:N111" si="13">E127/1000</f>
        <v>1185612.237</v>
      </c>
      <c r="F111" s="261">
        <f t="shared" si="13"/>
        <v>337487.755</v>
      </c>
      <c r="G111" s="261">
        <f t="shared" si="13"/>
        <v>848124.48199999996</v>
      </c>
      <c r="H111" s="220">
        <f t="shared" si="13"/>
        <v>1241805.7790000001</v>
      </c>
      <c r="I111" s="220">
        <f t="shared" si="13"/>
        <v>373347.38799999998</v>
      </c>
      <c r="J111" s="220">
        <f t="shared" si="13"/>
        <v>868458.39099999995</v>
      </c>
      <c r="K111" s="220">
        <f t="shared" si="13"/>
        <v>1168337.6599999999</v>
      </c>
      <c r="L111" s="220">
        <f t="shared" si="13"/>
        <v>389386.26799999998</v>
      </c>
      <c r="M111" s="220">
        <f t="shared" si="13"/>
        <v>778951.39199999999</v>
      </c>
      <c r="N111" s="220">
        <f t="shared" si="13"/>
        <v>1202121.1410000001</v>
      </c>
      <c r="O111" s="281">
        <f>(E111-H111)/H111</f>
        <v>-4.5251474063240066E-2</v>
      </c>
      <c r="P111" s="107"/>
      <c r="T111" s="107"/>
      <c r="U111" s="107"/>
      <c r="V111" s="107"/>
      <c r="W111" s="107"/>
    </row>
    <row r="112" spans="2:24">
      <c r="B112" s="216" t="s">
        <v>563</v>
      </c>
      <c r="C112" s="524" t="s">
        <v>1164</v>
      </c>
      <c r="D112" s="221" t="s">
        <v>564</v>
      </c>
      <c r="E112" s="262">
        <v>10.96</v>
      </c>
      <c r="F112" s="263">
        <v>74.2</v>
      </c>
      <c r="G112" s="263">
        <v>8.1999999999999993</v>
      </c>
      <c r="H112" s="222">
        <v>11.3</v>
      </c>
      <c r="I112" s="222">
        <v>70.7</v>
      </c>
      <c r="J112" s="222">
        <v>8.3000000000000007</v>
      </c>
      <c r="K112" s="222">
        <v>10.98</v>
      </c>
      <c r="L112" s="222">
        <v>39.56</v>
      </c>
      <c r="M112" s="222">
        <v>8.06</v>
      </c>
      <c r="N112" s="222">
        <v>10.61</v>
      </c>
      <c r="O112" s="281">
        <f>(E112-H112)/H112</f>
        <v>-3.0088495575221225E-2</v>
      </c>
      <c r="P112" s="107"/>
      <c r="T112" s="107"/>
      <c r="U112" s="107"/>
      <c r="V112" s="107"/>
      <c r="W112" s="107"/>
    </row>
    <row r="113" spans="2:22">
      <c r="B113" s="152"/>
      <c r="C113" s="125"/>
      <c r="D113" s="126"/>
      <c r="E113" s="525"/>
      <c r="F113" s="126"/>
      <c r="G113" s="127"/>
      <c r="H113" s="127"/>
      <c r="I113" s="127"/>
      <c r="J113" s="128"/>
      <c r="K113" s="128"/>
      <c r="L113" s="128"/>
      <c r="M113" s="107"/>
      <c r="N113" s="107"/>
      <c r="O113" s="107"/>
      <c r="P113" s="107"/>
      <c r="T113" s="107"/>
      <c r="U113" s="107"/>
      <c r="V113" s="107"/>
    </row>
    <row r="114" spans="2:22">
      <c r="B114" s="126"/>
      <c r="C114" s="125"/>
      <c r="D114" s="126"/>
      <c r="E114" s="126"/>
      <c r="F114" s="126"/>
      <c r="G114" s="127"/>
      <c r="H114" s="127"/>
      <c r="I114" s="127"/>
      <c r="J114" s="128"/>
      <c r="K114" s="128"/>
      <c r="L114" s="128"/>
      <c r="M114" s="107"/>
      <c r="N114" s="107"/>
      <c r="O114" s="107"/>
      <c r="P114" s="107"/>
      <c r="T114" s="107"/>
      <c r="U114" s="107"/>
      <c r="V114" s="107"/>
    </row>
    <row r="115" spans="2:22" ht="19.8">
      <c r="B115" s="256" t="s">
        <v>808</v>
      </c>
      <c r="C115" s="253" t="s">
        <v>842</v>
      </c>
      <c r="D115" s="266" t="s">
        <v>544</v>
      </c>
      <c r="E115" s="1431" t="s">
        <v>546</v>
      </c>
      <c r="F115" s="1432"/>
      <c r="G115" s="1433"/>
      <c r="H115" s="1434" t="s">
        <v>547</v>
      </c>
      <c r="I115" s="1435"/>
      <c r="J115" s="1436"/>
      <c r="K115" s="1437" t="s">
        <v>548</v>
      </c>
      <c r="L115" s="1437"/>
      <c r="M115" s="1437"/>
      <c r="N115" s="257" t="s">
        <v>549</v>
      </c>
      <c r="O115" s="107"/>
      <c r="S115" s="107"/>
      <c r="T115" s="107"/>
      <c r="U115" s="107"/>
      <c r="V115" s="107"/>
    </row>
    <row r="116" spans="2:22" ht="27.9" customHeight="1">
      <c r="B116" s="223"/>
      <c r="C116" s="223"/>
      <c r="D116" s="223"/>
      <c r="E116" s="258" t="s">
        <v>550</v>
      </c>
      <c r="F116" s="258" t="s">
        <v>660</v>
      </c>
      <c r="G116" s="258" t="s">
        <v>661</v>
      </c>
      <c r="H116" s="224" t="s">
        <v>550</v>
      </c>
      <c r="I116" s="224" t="s">
        <v>660</v>
      </c>
      <c r="J116" s="225" t="s">
        <v>661</v>
      </c>
      <c r="K116" s="224" t="s">
        <v>550</v>
      </c>
      <c r="L116" s="224" t="s">
        <v>660</v>
      </c>
      <c r="M116" s="225" t="s">
        <v>661</v>
      </c>
      <c r="N116" s="224" t="s">
        <v>550</v>
      </c>
      <c r="O116" s="107"/>
      <c r="S116" s="107"/>
      <c r="T116" s="107"/>
      <c r="U116" s="107"/>
      <c r="V116" s="107"/>
    </row>
    <row r="117" spans="2:22" ht="27.9" customHeight="1">
      <c r="B117" s="194" t="s">
        <v>813</v>
      </c>
      <c r="C117" s="167" t="s">
        <v>1165</v>
      </c>
      <c r="D117" s="194" t="s">
        <v>815</v>
      </c>
      <c r="E117" s="259">
        <f t="shared" ref="E117:F119" si="14">E127*0.0036</f>
        <v>4268204.0532</v>
      </c>
      <c r="F117" s="259">
        <f t="shared" si="14"/>
        <v>1214955.9180000001</v>
      </c>
      <c r="G117" s="259">
        <f t="shared" ref="G117:G125" si="15">E117-F117</f>
        <v>3053248.1351999999</v>
      </c>
      <c r="H117" s="226">
        <f t="shared" ref="H117:N123" si="16">H127*0.0036</f>
        <v>4470500.8043999998</v>
      </c>
      <c r="I117" s="226">
        <f t="shared" si="16"/>
        <v>1344050.5967999999</v>
      </c>
      <c r="J117" s="226">
        <f t="shared" si="16"/>
        <v>3126450.2075999998</v>
      </c>
      <c r="K117" s="212">
        <f t="shared" si="16"/>
        <v>4206015.5760000004</v>
      </c>
      <c r="L117" s="226">
        <f t="shared" si="16"/>
        <v>1401790.5648000001</v>
      </c>
      <c r="M117" s="226">
        <f t="shared" si="16"/>
        <v>2804225.0112000001</v>
      </c>
      <c r="N117" s="212">
        <f t="shared" si="16"/>
        <v>4327636.1075999998</v>
      </c>
      <c r="O117" s="107"/>
      <c r="S117" s="107"/>
      <c r="T117" s="107"/>
      <c r="U117" s="107"/>
      <c r="V117" s="107"/>
    </row>
    <row r="118" spans="2:22" ht="27.9" customHeight="1">
      <c r="B118" s="194" t="s">
        <v>816</v>
      </c>
      <c r="C118" s="167" t="s">
        <v>817</v>
      </c>
      <c r="D118" s="194" t="s">
        <v>815</v>
      </c>
      <c r="E118" s="259">
        <f t="shared" si="14"/>
        <v>1743716.4912</v>
      </c>
      <c r="F118" s="259">
        <f t="shared" si="14"/>
        <v>470103.46919999999</v>
      </c>
      <c r="G118" s="259">
        <f t="shared" si="15"/>
        <v>1273613.0220000001</v>
      </c>
      <c r="H118" s="226">
        <f t="shared" si="16"/>
        <v>1821488.5799999998</v>
      </c>
      <c r="I118" s="226">
        <f t="shared" si="16"/>
        <v>497308.47119999997</v>
      </c>
      <c r="J118" s="226">
        <f t="shared" si="16"/>
        <v>1324180.1088</v>
      </c>
      <c r="K118" s="212">
        <f t="shared" si="16"/>
        <v>1733498.5031999999</v>
      </c>
      <c r="L118" s="226">
        <f t="shared" si="16"/>
        <v>540267.77159999998</v>
      </c>
      <c r="M118" s="226">
        <f t="shared" si="16"/>
        <v>1193230.7316000001</v>
      </c>
      <c r="N118" s="212">
        <f t="shared" si="16"/>
        <v>1822669.8947999999</v>
      </c>
      <c r="O118" s="107"/>
      <c r="S118" s="107"/>
      <c r="T118" s="107"/>
      <c r="U118" s="107"/>
      <c r="V118" s="107"/>
    </row>
    <row r="119" spans="2:22" ht="27.9" customHeight="1">
      <c r="B119" s="194" t="s">
        <v>818</v>
      </c>
      <c r="C119" s="167" t="s">
        <v>819</v>
      </c>
      <c r="D119" s="194" t="s">
        <v>815</v>
      </c>
      <c r="E119" s="259">
        <f t="shared" si="14"/>
        <v>2229315.804</v>
      </c>
      <c r="F119" s="259">
        <f t="shared" si="14"/>
        <v>779118.82920000004</v>
      </c>
      <c r="G119" s="259">
        <f t="shared" si="15"/>
        <v>1450196.9748</v>
      </c>
      <c r="H119" s="226">
        <f t="shared" si="16"/>
        <v>2303934.7752</v>
      </c>
      <c r="I119" s="226">
        <f t="shared" si="16"/>
        <v>882408.96360000002</v>
      </c>
      <c r="J119" s="226">
        <f t="shared" si="16"/>
        <v>1421525.8115999999</v>
      </c>
      <c r="K119" s="212">
        <f t="shared" si="16"/>
        <v>2164571.8560000001</v>
      </c>
      <c r="L119" s="226">
        <f t="shared" si="16"/>
        <v>912788.21880000003</v>
      </c>
      <c r="M119" s="226">
        <f t="shared" si="16"/>
        <v>1251783.6372</v>
      </c>
      <c r="N119" s="212">
        <f t="shared" si="16"/>
        <v>2201419.2347999997</v>
      </c>
      <c r="O119" s="107"/>
      <c r="S119" s="107"/>
      <c r="T119" s="107"/>
      <c r="U119" s="107"/>
      <c r="V119" s="107"/>
    </row>
    <row r="120" spans="2:22" ht="27.9" customHeight="1">
      <c r="B120" s="194" t="s">
        <v>820</v>
      </c>
      <c r="C120" s="167" t="s">
        <v>1166</v>
      </c>
      <c r="D120" s="194" t="s">
        <v>815</v>
      </c>
      <c r="E120" s="259">
        <f>986948044*0.0036</f>
        <v>3553012.9583999999</v>
      </c>
      <c r="F120" s="259">
        <f t="shared" ref="F120:F125" si="17">F130*0.0036</f>
        <v>851885.96039999998</v>
      </c>
      <c r="G120" s="259">
        <f t="shared" si="15"/>
        <v>2701126.9979999997</v>
      </c>
      <c r="H120" s="226">
        <f t="shared" si="16"/>
        <v>3883081.4208</v>
      </c>
      <c r="I120" s="226">
        <f t="shared" si="16"/>
        <v>953590.43519999995</v>
      </c>
      <c r="J120" s="226">
        <f t="shared" si="16"/>
        <v>2929490.9855999998</v>
      </c>
      <c r="K120" s="212">
        <f t="shared" si="16"/>
        <v>3704763.6252000001</v>
      </c>
      <c r="L120" s="226">
        <f t="shared" si="16"/>
        <v>986494.08959999995</v>
      </c>
      <c r="M120" s="226">
        <f t="shared" si="16"/>
        <v>2718269.5356000001</v>
      </c>
      <c r="N120" s="212">
        <f t="shared" si="16"/>
        <v>3857710.6727999998</v>
      </c>
      <c r="O120" s="107"/>
      <c r="S120" s="107"/>
      <c r="T120" s="107"/>
      <c r="U120" s="107"/>
      <c r="V120" s="107"/>
    </row>
    <row r="121" spans="2:22" ht="27.9" customHeight="1">
      <c r="B121" s="328" t="s">
        <v>822</v>
      </c>
      <c r="C121" s="167" t="s">
        <v>823</v>
      </c>
      <c r="D121" s="194" t="s">
        <v>815</v>
      </c>
      <c r="E121" s="259">
        <f>E131*0.0036</f>
        <v>2475308.5128000001</v>
      </c>
      <c r="F121" s="259">
        <f t="shared" si="17"/>
        <v>802475.77679999999</v>
      </c>
      <c r="G121" s="259">
        <f t="shared" si="15"/>
        <v>1672832.736</v>
      </c>
      <c r="H121" s="226">
        <f t="shared" si="16"/>
        <v>2605562.1683999998</v>
      </c>
      <c r="I121" s="226">
        <f t="shared" si="16"/>
        <v>904064.82120000001</v>
      </c>
      <c r="J121" s="226">
        <f t="shared" si="16"/>
        <v>1701497.3472</v>
      </c>
      <c r="K121" s="212">
        <f t="shared" si="16"/>
        <v>2460139.3043999998</v>
      </c>
      <c r="L121" s="226">
        <f t="shared" si="16"/>
        <v>936169.89480000001</v>
      </c>
      <c r="M121" s="226">
        <f t="shared" si="16"/>
        <v>1523969.4095999999</v>
      </c>
      <c r="N121" s="212">
        <f t="shared" si="16"/>
        <v>2480339.4839999997</v>
      </c>
      <c r="O121" s="107"/>
      <c r="S121" s="107"/>
      <c r="T121" s="107"/>
      <c r="U121" s="107"/>
      <c r="V121" s="107"/>
    </row>
    <row r="122" spans="2:22" ht="27.9" customHeight="1">
      <c r="B122" s="328" t="s">
        <v>824</v>
      </c>
      <c r="C122" s="167" t="s">
        <v>825</v>
      </c>
      <c r="D122" s="194" t="s">
        <v>815</v>
      </c>
      <c r="E122" s="259">
        <f>E132*0.0036</f>
        <v>931420.57679999992</v>
      </c>
      <c r="F122" s="259">
        <f t="shared" si="17"/>
        <v>23946.552</v>
      </c>
      <c r="G122" s="259">
        <f t="shared" si="15"/>
        <v>907474.0247999999</v>
      </c>
      <c r="H122" s="226">
        <f t="shared" si="16"/>
        <v>1127469.6576</v>
      </c>
      <c r="I122" s="226">
        <f t="shared" si="16"/>
        <v>20683.699199999999</v>
      </c>
      <c r="J122" s="226">
        <f t="shared" si="16"/>
        <v>1106785.9583999999</v>
      </c>
      <c r="K122" s="212">
        <f t="shared" si="16"/>
        <v>1117471.3056000001</v>
      </c>
      <c r="L122" s="226">
        <f t="shared" si="16"/>
        <v>27600.84</v>
      </c>
      <c r="M122" s="226">
        <f t="shared" si="16"/>
        <v>1089870.4656</v>
      </c>
      <c r="N122" s="212">
        <f t="shared" si="16"/>
        <v>1257125.4683999999</v>
      </c>
      <c r="O122" s="107"/>
      <c r="S122" s="107"/>
      <c r="T122" s="107"/>
      <c r="U122" s="107"/>
      <c r="V122" s="107"/>
    </row>
    <row r="123" spans="2:22" ht="27.9" customHeight="1">
      <c r="B123" s="329" t="s">
        <v>826</v>
      </c>
      <c r="C123" s="167" t="s">
        <v>827</v>
      </c>
      <c r="D123" s="194" t="s">
        <v>815</v>
      </c>
      <c r="E123" s="259">
        <f>E133*0.0036</f>
        <v>128724.8796</v>
      </c>
      <c r="F123" s="259">
        <f t="shared" si="17"/>
        <v>19250.449199999999</v>
      </c>
      <c r="G123" s="259">
        <f t="shared" si="15"/>
        <v>109474.4304</v>
      </c>
      <c r="H123" s="226">
        <f t="shared" si="16"/>
        <v>113543.96399999999</v>
      </c>
      <c r="I123" s="226">
        <f t="shared" si="16"/>
        <v>14086.619999999999</v>
      </c>
      <c r="J123" s="226">
        <f t="shared" si="16"/>
        <v>99457.343999999997</v>
      </c>
      <c r="K123" s="212">
        <f t="shared" si="16"/>
        <v>112445.03879999999</v>
      </c>
      <c r="L123" s="226">
        <f t="shared" si="16"/>
        <v>21111.778728000001</v>
      </c>
      <c r="M123" s="226">
        <f t="shared" si="16"/>
        <v>91333.26007199999</v>
      </c>
      <c r="N123" s="212">
        <f t="shared" si="16"/>
        <v>120245.72039999999</v>
      </c>
      <c r="O123" s="107"/>
      <c r="S123" s="107"/>
      <c r="T123" s="107"/>
      <c r="U123" s="107"/>
      <c r="V123" s="107"/>
    </row>
    <row r="124" spans="2:22" ht="27.9" customHeight="1">
      <c r="B124" s="329" t="s">
        <v>828</v>
      </c>
      <c r="C124" s="167" t="s">
        <v>829</v>
      </c>
      <c r="D124" s="194" t="s">
        <v>815</v>
      </c>
      <c r="E124" s="259">
        <f>E134*0.0036</f>
        <v>17558.9928</v>
      </c>
      <c r="F124" s="259">
        <f t="shared" si="17"/>
        <v>6213.1823999999997</v>
      </c>
      <c r="G124" s="259">
        <f t="shared" ref="G124:M124" si="18">G134*0.0036</f>
        <v>11345.8104</v>
      </c>
      <c r="H124" s="226">
        <f t="shared" si="18"/>
        <v>36505.631231999992</v>
      </c>
      <c r="I124" s="226">
        <f t="shared" si="18"/>
        <v>14755.2948</v>
      </c>
      <c r="J124" s="226">
        <f t="shared" si="18"/>
        <v>21750.336431999996</v>
      </c>
      <c r="K124" s="226">
        <f t="shared" si="18"/>
        <v>14707.9746</v>
      </c>
      <c r="L124" s="226">
        <f t="shared" si="18"/>
        <v>1611.576</v>
      </c>
      <c r="M124" s="226">
        <f t="shared" si="18"/>
        <v>13096.3986</v>
      </c>
      <c r="N124" s="226" t="s">
        <v>830</v>
      </c>
      <c r="O124" s="107"/>
      <c r="S124" s="107"/>
      <c r="T124" s="107"/>
      <c r="U124" s="107"/>
      <c r="V124" s="107"/>
    </row>
    <row r="125" spans="2:22" ht="27.9" customHeight="1">
      <c r="B125" s="227" t="s">
        <v>831</v>
      </c>
      <c r="C125" s="166" t="s">
        <v>832</v>
      </c>
      <c r="D125" s="194" t="s">
        <v>815</v>
      </c>
      <c r="E125" s="259">
        <f>E135*0.0036</f>
        <v>715191.09479999996</v>
      </c>
      <c r="F125" s="259">
        <f t="shared" si="17"/>
        <v>363069.95759999997</v>
      </c>
      <c r="G125" s="259">
        <f t="shared" si="15"/>
        <v>352121.1372</v>
      </c>
      <c r="H125" s="226">
        <f t="shared" ref="H125:N125" si="19">H135*0.0036</f>
        <v>587419.38359999994</v>
      </c>
      <c r="I125" s="226">
        <f t="shared" si="19"/>
        <v>390460.16159999999</v>
      </c>
      <c r="J125" s="226">
        <f t="shared" si="19"/>
        <v>196959.22200000001</v>
      </c>
      <c r="K125" s="212">
        <f t="shared" si="19"/>
        <v>501251.95439999999</v>
      </c>
      <c r="L125" s="226">
        <f t="shared" si="19"/>
        <v>415296.47519999999</v>
      </c>
      <c r="M125" s="226">
        <f t="shared" si="19"/>
        <v>85955.479200000002</v>
      </c>
      <c r="N125" s="212">
        <f t="shared" si="19"/>
        <v>469925.43479999999</v>
      </c>
      <c r="O125" s="107"/>
      <c r="S125" s="107"/>
      <c r="T125" s="107"/>
      <c r="U125" s="107"/>
      <c r="V125" s="107"/>
    </row>
    <row r="126" spans="2:22">
      <c r="R126" s="13"/>
    </row>
    <row r="127" spans="2:22" ht="69">
      <c r="B127" s="194" t="s">
        <v>813</v>
      </c>
      <c r="C127" s="167" t="s">
        <v>833</v>
      </c>
      <c r="D127" s="194" t="s">
        <v>576</v>
      </c>
      <c r="E127" s="259">
        <v>1185612237</v>
      </c>
      <c r="F127" s="259">
        <v>337487755</v>
      </c>
      <c r="G127" s="259">
        <f>E127-F127</f>
        <v>848124482</v>
      </c>
      <c r="H127" s="226">
        <v>1241805779</v>
      </c>
      <c r="I127" s="226">
        <v>373347388</v>
      </c>
      <c r="J127" s="226">
        <f t="shared" ref="J127:J135" si="20">H127-I127</f>
        <v>868458391</v>
      </c>
      <c r="K127" s="212">
        <v>1168337660</v>
      </c>
      <c r="L127" s="226">
        <v>389386268</v>
      </c>
      <c r="M127" s="226">
        <f t="shared" ref="M127:M135" si="21">K127-L127</f>
        <v>778951392</v>
      </c>
      <c r="N127" s="212">
        <v>1202121141</v>
      </c>
      <c r="O127" s="107"/>
      <c r="P127" s="529" t="s">
        <v>1167</v>
      </c>
      <c r="Q127" s="466">
        <f>E132/1000</f>
        <v>258727.93799999999</v>
      </c>
      <c r="R127" s="467">
        <f t="shared" ref="R127:R133" si="22">Q127/$Q$135</f>
        <v>0.21822306628383506</v>
      </c>
      <c r="S127" s="107"/>
      <c r="T127" s="107"/>
      <c r="U127" s="107"/>
      <c r="V127" s="107"/>
    </row>
    <row r="128" spans="2:22" ht="82.8">
      <c r="B128" s="194" t="s">
        <v>816</v>
      </c>
      <c r="C128" s="167" t="s">
        <v>834</v>
      </c>
      <c r="D128" s="194" t="s">
        <v>576</v>
      </c>
      <c r="E128" s="259">
        <v>484365692</v>
      </c>
      <c r="F128" s="259">
        <v>130584297</v>
      </c>
      <c r="G128" s="259">
        <f>E128-F128</f>
        <v>353781395</v>
      </c>
      <c r="H128" s="226">
        <v>505969050</v>
      </c>
      <c r="I128" s="226">
        <v>138141242</v>
      </c>
      <c r="J128" s="226">
        <f t="shared" si="20"/>
        <v>367827808</v>
      </c>
      <c r="K128" s="212">
        <v>481527362</v>
      </c>
      <c r="L128" s="226">
        <v>150074381</v>
      </c>
      <c r="M128" s="226">
        <f t="shared" si="21"/>
        <v>331452981</v>
      </c>
      <c r="N128" s="212">
        <v>506297193</v>
      </c>
      <c r="O128" s="107"/>
      <c r="P128" s="529" t="s">
        <v>1168</v>
      </c>
      <c r="Q128" s="466">
        <f>191804345/1000</f>
        <v>191804.345</v>
      </c>
      <c r="R128" s="467">
        <f t="shared" si="22"/>
        <v>0.16177662380033564</v>
      </c>
      <c r="S128" s="107"/>
      <c r="T128" s="107"/>
      <c r="U128" s="107"/>
      <c r="V128" s="107"/>
    </row>
    <row r="129" spans="2:25" ht="55.2">
      <c r="B129" s="194" t="s">
        <v>818</v>
      </c>
      <c r="C129" s="167" t="s">
        <v>835</v>
      </c>
      <c r="D129" s="194" t="s">
        <v>576</v>
      </c>
      <c r="E129" s="259">
        <v>619254390</v>
      </c>
      <c r="F129" s="259">
        <v>216421897</v>
      </c>
      <c r="G129" s="259">
        <f>E129-F129</f>
        <v>402832493</v>
      </c>
      <c r="H129" s="226">
        <v>639981882</v>
      </c>
      <c r="I129" s="226">
        <v>245113601</v>
      </c>
      <c r="J129" s="226">
        <f t="shared" si="20"/>
        <v>394868281</v>
      </c>
      <c r="K129" s="212">
        <v>601269960</v>
      </c>
      <c r="L129" s="226">
        <v>253552283</v>
      </c>
      <c r="M129" s="226">
        <f t="shared" si="21"/>
        <v>347717677</v>
      </c>
      <c r="N129" s="212">
        <v>611505343</v>
      </c>
      <c r="O129" s="107"/>
      <c r="P129" s="529" t="s">
        <v>1169</v>
      </c>
      <c r="Q129" s="466">
        <f>6859848/1000</f>
        <v>6859.848</v>
      </c>
      <c r="R129" s="467">
        <f t="shared" si="22"/>
        <v>5.7859119365803987E-3</v>
      </c>
      <c r="S129" s="107"/>
      <c r="T129" s="107"/>
      <c r="U129" s="107"/>
      <c r="V129" s="107"/>
    </row>
    <row r="130" spans="2:25" ht="114.75" customHeight="1">
      <c r="B130" s="194" t="s">
        <v>820</v>
      </c>
      <c r="C130" s="167" t="s">
        <v>836</v>
      </c>
      <c r="D130" s="194" t="s">
        <v>576</v>
      </c>
      <c r="E130" s="243">
        <v>986948044</v>
      </c>
      <c r="F130" s="259">
        <v>236634989</v>
      </c>
      <c r="G130" s="259">
        <f>986948044-F130</f>
        <v>750313055</v>
      </c>
      <c r="H130" s="226">
        <v>1078633728</v>
      </c>
      <c r="I130" s="226">
        <v>264886232</v>
      </c>
      <c r="J130" s="226">
        <f t="shared" si="20"/>
        <v>813747496</v>
      </c>
      <c r="K130" s="212">
        <v>1029101007</v>
      </c>
      <c r="L130" s="226">
        <v>274026136</v>
      </c>
      <c r="M130" s="226">
        <f t="shared" si="21"/>
        <v>755074871</v>
      </c>
      <c r="N130" s="212">
        <v>1071586298</v>
      </c>
      <c r="O130" s="107"/>
      <c r="P130" s="529" t="s">
        <v>1170</v>
      </c>
      <c r="Q130" s="466">
        <f>E129/1000</f>
        <v>619254.39</v>
      </c>
      <c r="R130" s="467">
        <f t="shared" si="22"/>
        <v>0.52230769061950255</v>
      </c>
      <c r="S130" s="107"/>
      <c r="T130" s="107"/>
      <c r="U130" s="107"/>
      <c r="V130" s="107"/>
    </row>
    <row r="131" spans="2:25" ht="55.2">
      <c r="B131" s="328" t="s">
        <v>822</v>
      </c>
      <c r="C131" s="167" t="s">
        <v>823</v>
      </c>
      <c r="D131" s="194" t="s">
        <v>576</v>
      </c>
      <c r="E131" s="259">
        <v>687585698</v>
      </c>
      <c r="F131" s="259">
        <v>222909938</v>
      </c>
      <c r="G131" s="259">
        <f>E131-F131</f>
        <v>464675760</v>
      </c>
      <c r="H131" s="226">
        <v>723767269</v>
      </c>
      <c r="I131" s="226">
        <v>251129117</v>
      </c>
      <c r="J131" s="226">
        <f t="shared" si="20"/>
        <v>472638152</v>
      </c>
      <c r="K131" s="212">
        <v>683372029</v>
      </c>
      <c r="L131" s="226">
        <v>260047193</v>
      </c>
      <c r="M131" s="226">
        <f t="shared" si="21"/>
        <v>423324836</v>
      </c>
      <c r="N131" s="212">
        <v>688983190</v>
      </c>
      <c r="O131" s="107"/>
      <c r="P131" s="529" t="s">
        <v>1171</v>
      </c>
      <c r="Q131" s="466">
        <f>(E131-E129)/1000</f>
        <v>68331.308000000005</v>
      </c>
      <c r="R131" s="467">
        <f t="shared" si="22"/>
        <v>5.7633774188488099E-2</v>
      </c>
      <c r="S131" s="107"/>
      <c r="T131" s="107"/>
      <c r="U131" s="107"/>
      <c r="V131" s="107"/>
    </row>
    <row r="132" spans="2:25" ht="27.6">
      <c r="B132" s="328" t="s">
        <v>824</v>
      </c>
      <c r="C132" s="167" t="s">
        <v>837</v>
      </c>
      <c r="D132" s="194" t="s">
        <v>576</v>
      </c>
      <c r="E132" s="259">
        <v>258727938</v>
      </c>
      <c r="F132" s="259">
        <v>6651820</v>
      </c>
      <c r="G132" s="259">
        <f>E132-F132</f>
        <v>252076118</v>
      </c>
      <c r="H132" s="226">
        <v>313186016</v>
      </c>
      <c r="I132" s="226">
        <v>5745472</v>
      </c>
      <c r="J132" s="226">
        <f t="shared" si="20"/>
        <v>307440544</v>
      </c>
      <c r="K132" s="212">
        <v>310408696</v>
      </c>
      <c r="L132" s="226">
        <v>7666900</v>
      </c>
      <c r="M132" s="226">
        <f t="shared" si="21"/>
        <v>302741796</v>
      </c>
      <c r="N132" s="212">
        <v>349201519</v>
      </c>
      <c r="O132" s="107"/>
      <c r="P132" s="529" t="s">
        <v>1172</v>
      </c>
      <c r="Q132" s="466">
        <f>E133/1000</f>
        <v>35756.911</v>
      </c>
      <c r="R132" s="467">
        <f t="shared" si="22"/>
        <v>3.0159026580493176E-2</v>
      </c>
      <c r="S132" s="107"/>
      <c r="T132" s="107"/>
      <c r="U132" s="107"/>
      <c r="V132" s="107"/>
    </row>
    <row r="133" spans="2:25" ht="41.4">
      <c r="B133" s="329" t="s">
        <v>826</v>
      </c>
      <c r="C133" s="167" t="s">
        <v>838</v>
      </c>
      <c r="D133" s="194" t="s">
        <v>576</v>
      </c>
      <c r="E133" s="259">
        <v>35756911</v>
      </c>
      <c r="F133" s="259">
        <v>5347347</v>
      </c>
      <c r="G133" s="259">
        <f>E133-F133</f>
        <v>30409564</v>
      </c>
      <c r="H133" s="226">
        <v>31539990</v>
      </c>
      <c r="I133" s="226">
        <v>3912950</v>
      </c>
      <c r="J133" s="226">
        <f t="shared" si="20"/>
        <v>27627040</v>
      </c>
      <c r="K133" s="212">
        <v>31234733</v>
      </c>
      <c r="L133" s="226">
        <v>5864382.9800000004</v>
      </c>
      <c r="M133" s="226">
        <f t="shared" si="21"/>
        <v>25370350.02</v>
      </c>
      <c r="N133" s="212">
        <v>33401589</v>
      </c>
      <c r="O133" s="107"/>
      <c r="P133" s="529" t="s">
        <v>1173</v>
      </c>
      <c r="Q133" s="466">
        <f>E134/1000</f>
        <v>4877.4979999999996</v>
      </c>
      <c r="R133" s="467">
        <f t="shared" si="22"/>
        <v>4.1139065907651335E-3</v>
      </c>
      <c r="S133" s="107"/>
      <c r="T133" s="107"/>
      <c r="U133" s="107"/>
      <c r="V133" s="107"/>
    </row>
    <row r="134" spans="2:25" ht="33.75" customHeight="1">
      <c r="B134" s="329" t="s">
        <v>828</v>
      </c>
      <c r="C134" s="167" t="s">
        <v>829</v>
      </c>
      <c r="D134" s="194" t="s">
        <v>576</v>
      </c>
      <c r="E134" s="259">
        <v>4877498</v>
      </c>
      <c r="F134" s="259">
        <v>1725884</v>
      </c>
      <c r="G134" s="259">
        <f>E134-F134</f>
        <v>3151614</v>
      </c>
      <c r="H134" s="226">
        <v>10140453.119999999</v>
      </c>
      <c r="I134" s="226">
        <v>4098693</v>
      </c>
      <c r="J134" s="226">
        <f>H134-I134</f>
        <v>6041760.1199999992</v>
      </c>
      <c r="K134" s="212">
        <v>4085548.5</v>
      </c>
      <c r="L134" s="226">
        <v>447660</v>
      </c>
      <c r="M134" s="226">
        <f>K134-L134</f>
        <v>3637888.5</v>
      </c>
      <c r="N134" s="330">
        <f>N130-N131-N132-N133</f>
        <v>0</v>
      </c>
      <c r="O134" s="107"/>
      <c r="P134" s="468"/>
      <c r="Q134" s="529"/>
      <c r="R134" s="469"/>
      <c r="S134" s="107"/>
      <c r="T134" s="107"/>
      <c r="U134" s="107"/>
      <c r="V134" s="107"/>
    </row>
    <row r="135" spans="2:25" ht="27.6">
      <c r="B135" s="227" t="s">
        <v>831</v>
      </c>
      <c r="C135" s="167" t="s">
        <v>832</v>
      </c>
      <c r="D135" s="194" t="s">
        <v>576</v>
      </c>
      <c r="E135" s="259">
        <v>198664193</v>
      </c>
      <c r="F135" s="259">
        <v>100852766</v>
      </c>
      <c r="G135" s="259">
        <f>E135-F135</f>
        <v>97811427</v>
      </c>
      <c r="H135" s="226">
        <v>163172051</v>
      </c>
      <c r="I135" s="226">
        <v>108461156</v>
      </c>
      <c r="J135" s="226">
        <f t="shared" si="20"/>
        <v>54710895</v>
      </c>
      <c r="K135" s="212">
        <v>139236654</v>
      </c>
      <c r="L135" s="226">
        <v>115360132</v>
      </c>
      <c r="M135" s="226">
        <f t="shared" si="21"/>
        <v>23876522</v>
      </c>
      <c r="N135" s="212">
        <v>130534843</v>
      </c>
      <c r="O135" s="107"/>
      <c r="P135" s="529" t="s">
        <v>1174</v>
      </c>
      <c r="Q135" s="530">
        <f>SUM(Q127:Q133)</f>
        <v>1185612.2379999999</v>
      </c>
      <c r="R135" s="469">
        <f>SUM(R127:R134)</f>
        <v>1</v>
      </c>
      <c r="S135" s="107"/>
      <c r="T135" s="107"/>
      <c r="U135" s="107"/>
      <c r="V135" s="107"/>
    </row>
    <row r="137" spans="2:25" ht="41.4">
      <c r="B137" s="227" t="s">
        <v>578</v>
      </c>
      <c r="C137" s="166" t="s">
        <v>839</v>
      </c>
      <c r="D137" s="194" t="s">
        <v>840</v>
      </c>
      <c r="E137" s="264">
        <f>E135/E128</f>
        <v>0.41015331242742104</v>
      </c>
      <c r="F137" s="264">
        <f>F135/F128</f>
        <v>0.77231924754321724</v>
      </c>
      <c r="G137" s="264">
        <f>G135/G128</f>
        <v>0.27647419672818013</v>
      </c>
      <c r="H137" s="228">
        <v>0.32269999999999999</v>
      </c>
      <c r="I137" s="228">
        <f>I135/I128</f>
        <v>0.78514681372272588</v>
      </c>
      <c r="J137" s="228">
        <f>J135/J128</f>
        <v>0.14874050794985028</v>
      </c>
      <c r="K137" s="228">
        <v>0.2893</v>
      </c>
      <c r="L137" s="228">
        <f>L135/L128</f>
        <v>0.76868637559131425</v>
      </c>
      <c r="M137" s="228">
        <f>M135/M128</f>
        <v>7.2035924757605369E-2</v>
      </c>
      <c r="N137" s="228">
        <v>0.25790000000000002</v>
      </c>
      <c r="O137" s="107"/>
      <c r="P137" s="107"/>
      <c r="R137" s="64">
        <f>21.8+16.2+0.6+52.2+5.8+3+0.4</f>
        <v>100.00000000000001</v>
      </c>
      <c r="S137" s="107"/>
      <c r="T137" s="107"/>
      <c r="U137" s="107"/>
      <c r="V137" s="107"/>
    </row>
    <row r="138" spans="2:25">
      <c r="B138" s="125"/>
      <c r="C138" s="125"/>
      <c r="D138" s="126"/>
      <c r="E138" s="126"/>
      <c r="F138" s="126"/>
      <c r="G138" s="126"/>
      <c r="H138" s="127"/>
      <c r="I138" s="127"/>
      <c r="J138" s="127"/>
      <c r="K138" s="128"/>
      <c r="L138" s="128"/>
      <c r="M138" s="128"/>
      <c r="N138" s="107"/>
      <c r="O138" s="107"/>
      <c r="P138" s="107"/>
      <c r="S138" s="107"/>
      <c r="T138" s="107"/>
      <c r="U138" s="107"/>
      <c r="V138" s="107"/>
      <c r="W138" s="107"/>
      <c r="X138" s="107"/>
      <c r="Y138" s="107"/>
    </row>
    <row r="139" spans="2:25" ht="19.8">
      <c r="B139" s="105"/>
      <c r="C139" s="105"/>
      <c r="D139" s="126"/>
      <c r="E139" s="153"/>
      <c r="F139" s="126"/>
      <c r="G139" s="126"/>
      <c r="H139" s="127"/>
      <c r="I139" s="127"/>
      <c r="J139" s="127"/>
      <c r="K139" s="128"/>
      <c r="L139" s="128"/>
      <c r="M139" s="128"/>
      <c r="N139" s="107"/>
      <c r="O139" s="107"/>
      <c r="P139" s="107"/>
      <c r="S139" s="107"/>
      <c r="T139" s="107"/>
      <c r="U139" s="107"/>
      <c r="V139" s="107"/>
      <c r="W139" s="107"/>
      <c r="X139" s="107"/>
      <c r="Y139" s="107"/>
    </row>
    <row r="140" spans="2:25" ht="19.8">
      <c r="B140" s="249" t="s">
        <v>841</v>
      </c>
      <c r="C140" s="250" t="s">
        <v>842</v>
      </c>
      <c r="D140" s="266" t="s">
        <v>544</v>
      </c>
      <c r="E140" s="251" t="s">
        <v>546</v>
      </c>
    </row>
    <row r="141" spans="2:25">
      <c r="B141" s="194" t="s">
        <v>843</v>
      </c>
      <c r="C141" s="167" t="s">
        <v>844</v>
      </c>
      <c r="D141" s="194" t="s">
        <v>845</v>
      </c>
      <c r="E141" s="265">
        <v>0</v>
      </c>
    </row>
    <row r="147" spans="8:14">
      <c r="H147" s="107"/>
    </row>
    <row r="148" spans="8:14">
      <c r="L148" s="107"/>
      <c r="N148" s="13"/>
    </row>
  </sheetData>
  <mergeCells count="18">
    <mergeCell ref="E115:G115"/>
    <mergeCell ref="H115:J115"/>
    <mergeCell ref="K115:M115"/>
    <mergeCell ref="G45:I45"/>
    <mergeCell ref="G107:I107"/>
    <mergeCell ref="J107:O107"/>
    <mergeCell ref="E109:G109"/>
    <mergeCell ref="H109:J109"/>
    <mergeCell ref="K109:M109"/>
    <mergeCell ref="B2:N2"/>
    <mergeCell ref="B4:L4"/>
    <mergeCell ref="G6:I6"/>
    <mergeCell ref="E8:G8"/>
    <mergeCell ref="H8:J8"/>
    <mergeCell ref="K8:M8"/>
    <mergeCell ref="B8:B9"/>
    <mergeCell ref="C8:C9"/>
    <mergeCell ref="D8:D9"/>
  </mergeCells>
  <pageMargins left="0.25" right="0.25" top="0.75" bottom="0.75" header="0.3" footer="0.3"/>
  <pageSetup paperSize="9" scale="3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A3C60-39F1-4774-8057-E92E60310DDA}">
  <sheetPr codeName="Sheet3">
    <tabColor theme="3"/>
    <pageSetUpPr fitToPage="1"/>
  </sheetPr>
  <dimension ref="A1:K23"/>
  <sheetViews>
    <sheetView zoomScale="90" zoomScaleNormal="90" workbookViewId="0"/>
  </sheetViews>
  <sheetFormatPr defaultColWidth="8.88671875" defaultRowHeight="13.8"/>
  <cols>
    <col min="1" max="1" width="5.88671875" style="2" customWidth="1"/>
    <col min="2" max="9" width="13.88671875" style="2" customWidth="1"/>
    <col min="10" max="10" width="74.5546875" style="2" customWidth="1"/>
    <col min="11" max="11" width="9.88671875" style="2" customWidth="1"/>
    <col min="12" max="13" width="8.88671875" style="2"/>
    <col min="14" max="14" width="37.5546875" style="2" customWidth="1"/>
    <col min="15" max="16384" width="8.88671875" style="2"/>
  </cols>
  <sheetData>
    <row r="1" spans="1:11" ht="3" customHeight="1">
      <c r="A1" s="739"/>
      <c r="B1" s="739"/>
      <c r="C1" s="739"/>
      <c r="D1" s="739"/>
      <c r="E1" s="739"/>
      <c r="F1" s="739"/>
      <c r="G1" s="739"/>
      <c r="H1" s="739"/>
      <c r="I1" s="739"/>
      <c r="J1" s="739"/>
      <c r="K1" s="739"/>
    </row>
    <row r="2" spans="1:11" ht="41.4" customHeight="1">
      <c r="A2" s="887"/>
      <c r="B2" s="1298" t="s">
        <v>0</v>
      </c>
      <c r="C2" s="1298"/>
      <c r="D2" s="1298"/>
      <c r="E2" s="1298"/>
      <c r="F2" s="1298"/>
      <c r="G2" s="1298"/>
      <c r="H2" s="1298"/>
      <c r="I2" s="1298"/>
      <c r="J2" s="1298"/>
      <c r="K2" s="887"/>
    </row>
    <row r="3" spans="1:11" ht="70.5" customHeight="1">
      <c r="A3" s="887"/>
      <c r="B3" s="1299" t="s">
        <v>1</v>
      </c>
      <c r="C3" s="1299"/>
      <c r="D3" s="1299"/>
      <c r="E3" s="1299"/>
      <c r="F3" s="1299"/>
      <c r="G3" s="1299"/>
      <c r="H3" s="1299"/>
      <c r="I3" s="1299"/>
      <c r="J3" s="1299"/>
      <c r="K3" s="887"/>
    </row>
    <row r="4" spans="1:11">
      <c r="A4" s="887"/>
      <c r="B4" s="4"/>
      <c r="C4" s="4"/>
      <c r="D4" s="4"/>
      <c r="E4" s="4"/>
      <c r="F4" s="4"/>
      <c r="G4" s="4"/>
      <c r="H4" s="4"/>
      <c r="I4" s="4"/>
      <c r="J4" s="4"/>
      <c r="K4" s="887"/>
    </row>
    <row r="5" spans="1:11" s="775" customFormat="1">
      <c r="A5" s="888"/>
      <c r="B5" s="773" t="s">
        <v>2</v>
      </c>
      <c r="C5" s="774"/>
      <c r="D5" s="774"/>
      <c r="E5" s="774"/>
      <c r="F5" s="774"/>
      <c r="G5" s="774"/>
      <c r="H5" s="774"/>
      <c r="I5" s="774"/>
      <c r="J5" s="774"/>
      <c r="K5" s="888"/>
    </row>
    <row r="6" spans="1:11" ht="29.1" customHeight="1">
      <c r="A6" s="887"/>
      <c r="B6" s="1296" t="s">
        <v>3</v>
      </c>
      <c r="C6" s="1296"/>
      <c r="D6" s="1296"/>
      <c r="E6" s="1296"/>
      <c r="F6" s="1296"/>
      <c r="G6" s="1296"/>
      <c r="H6" s="1296"/>
      <c r="I6" s="1296"/>
      <c r="J6" s="1296"/>
      <c r="K6" s="887"/>
    </row>
    <row r="7" spans="1:11">
      <c r="A7" s="887"/>
      <c r="B7" s="6"/>
      <c r="C7" s="6"/>
      <c r="D7" s="6"/>
      <c r="E7" s="6"/>
      <c r="F7" s="6"/>
      <c r="G7" s="6"/>
      <c r="H7" s="6"/>
      <c r="I7" s="6"/>
      <c r="J7" s="6"/>
      <c r="K7" s="887"/>
    </row>
    <row r="8" spans="1:11">
      <c r="A8" s="887"/>
      <c r="B8" s="773" t="s">
        <v>4</v>
      </c>
      <c r="C8" s="7"/>
      <c r="D8" s="7"/>
      <c r="E8" s="7"/>
      <c r="F8" s="7"/>
      <c r="G8" s="7"/>
      <c r="H8" s="7"/>
      <c r="I8" s="7"/>
      <c r="J8" s="7"/>
      <c r="K8" s="887"/>
    </row>
    <row r="9" spans="1:11" ht="17.399999999999999" customHeight="1">
      <c r="A9" s="887"/>
      <c r="B9" s="1296" t="s">
        <v>5</v>
      </c>
      <c r="C9" s="1296"/>
      <c r="D9" s="1296"/>
      <c r="E9" s="1296"/>
      <c r="F9" s="1296"/>
      <c r="G9" s="1296"/>
      <c r="H9" s="1296"/>
      <c r="I9" s="1296"/>
      <c r="J9" s="1296"/>
      <c r="K9" s="887"/>
    </row>
    <row r="10" spans="1:11">
      <c r="A10" s="887"/>
      <c r="B10" s="776" t="s">
        <v>6</v>
      </c>
      <c r="C10" s="7"/>
      <c r="D10" s="7"/>
      <c r="E10" s="7"/>
      <c r="F10" s="7"/>
      <c r="G10" s="7"/>
      <c r="H10" s="7"/>
      <c r="I10" s="7"/>
      <c r="J10" s="7"/>
      <c r="K10" s="887"/>
    </row>
    <row r="11" spans="1:11">
      <c r="A11" s="887"/>
      <c r="B11" s="5"/>
      <c r="C11" s="7"/>
      <c r="D11" s="7"/>
      <c r="E11" s="7"/>
      <c r="F11" s="7"/>
      <c r="G11" s="7"/>
      <c r="H11" s="7"/>
      <c r="I11" s="7"/>
      <c r="J11" s="7"/>
      <c r="K11" s="887"/>
    </row>
    <row r="12" spans="1:11" ht="69" customHeight="1">
      <c r="A12" s="887"/>
      <c r="B12" s="1296" t="s">
        <v>7</v>
      </c>
      <c r="C12" s="1296"/>
      <c r="D12" s="1296"/>
      <c r="E12" s="1296"/>
      <c r="F12" s="1296"/>
      <c r="G12" s="1296"/>
      <c r="H12" s="1296"/>
      <c r="I12" s="1296"/>
      <c r="J12" s="1296"/>
      <c r="K12" s="887"/>
    </row>
    <row r="13" spans="1:11" ht="14.4" customHeight="1">
      <c r="A13" s="887"/>
      <c r="B13" s="6"/>
      <c r="C13" s="6"/>
      <c r="D13" s="6"/>
      <c r="E13" s="6"/>
      <c r="F13" s="6"/>
      <c r="G13" s="6"/>
      <c r="H13" s="6"/>
      <c r="I13" s="6"/>
      <c r="J13" s="6"/>
      <c r="K13" s="887"/>
    </row>
    <row r="14" spans="1:11" ht="42.9" customHeight="1">
      <c r="A14" s="887"/>
      <c r="B14" s="1296" t="s">
        <v>8</v>
      </c>
      <c r="C14" s="1296"/>
      <c r="D14" s="1296"/>
      <c r="E14" s="1296"/>
      <c r="F14" s="1296"/>
      <c r="G14" s="1296"/>
      <c r="H14" s="1296"/>
      <c r="I14" s="1296"/>
      <c r="J14" s="1296"/>
      <c r="K14" s="887"/>
    </row>
    <row r="15" spans="1:11" ht="177" customHeight="1">
      <c r="A15" s="887"/>
      <c r="B15" s="1302" t="s">
        <v>9</v>
      </c>
      <c r="C15" s="1303"/>
      <c r="D15" s="1303"/>
      <c r="E15" s="1303"/>
      <c r="F15" s="1303"/>
      <c r="G15" s="1303"/>
      <c r="H15" s="1303"/>
      <c r="I15" s="1303"/>
      <c r="J15" s="1303"/>
      <c r="K15" s="887"/>
    </row>
    <row r="16" spans="1:11" ht="17.100000000000001" customHeight="1">
      <c r="A16" s="887"/>
      <c r="B16" s="1300"/>
      <c r="C16" s="1300"/>
      <c r="D16" s="1300"/>
      <c r="E16" s="1300"/>
      <c r="F16" s="1300"/>
      <c r="G16" s="1300"/>
      <c r="H16" s="1300"/>
      <c r="I16" s="1300"/>
      <c r="J16" s="1300"/>
      <c r="K16" s="887"/>
    </row>
    <row r="17" spans="1:11">
      <c r="A17" s="887"/>
      <c r="B17" s="773" t="s">
        <v>10</v>
      </c>
      <c r="C17" s="6"/>
      <c r="D17" s="6"/>
      <c r="E17" s="6"/>
      <c r="F17" s="6"/>
      <c r="G17" s="6"/>
      <c r="H17" s="6"/>
      <c r="I17" s="6"/>
      <c r="J17" s="6"/>
      <c r="K17" s="887"/>
    </row>
    <row r="18" spans="1:11" ht="42" customHeight="1">
      <c r="A18" s="887"/>
      <c r="B18" s="1296" t="s">
        <v>11</v>
      </c>
      <c r="C18" s="1296"/>
      <c r="D18" s="1296"/>
      <c r="E18" s="1296"/>
      <c r="F18" s="1296"/>
      <c r="G18" s="1296"/>
      <c r="H18" s="1296"/>
      <c r="I18" s="1296"/>
      <c r="J18" s="1296"/>
      <c r="K18" s="887"/>
    </row>
    <row r="19" spans="1:11" ht="19.5" customHeight="1">
      <c r="A19" s="887"/>
      <c r="B19" s="1301" t="s">
        <v>12</v>
      </c>
      <c r="C19" s="1301"/>
      <c r="D19" s="1301"/>
      <c r="E19" s="1301"/>
      <c r="F19" s="1301"/>
      <c r="G19" s="1301"/>
      <c r="H19" s="1301"/>
      <c r="I19" s="1301"/>
      <c r="J19" s="1301"/>
      <c r="K19" s="887"/>
    </row>
    <row r="20" spans="1:11" ht="18" customHeight="1">
      <c r="A20" s="887"/>
      <c r="B20" s="6"/>
      <c r="C20" s="6"/>
      <c r="D20" s="6"/>
      <c r="E20" s="6"/>
      <c r="F20" s="6"/>
      <c r="G20" s="6"/>
      <c r="H20" s="6"/>
      <c r="I20" s="6"/>
      <c r="J20" s="6"/>
      <c r="K20" s="887"/>
    </row>
    <row r="21" spans="1:11">
      <c r="A21" s="887"/>
      <c r="B21" s="1295" t="s">
        <v>13</v>
      </c>
      <c r="C21" s="1295"/>
      <c r="D21" s="1295"/>
      <c r="E21" s="1295"/>
      <c r="F21" s="1295"/>
      <c r="G21" s="1295"/>
      <c r="H21" s="1295"/>
      <c r="I21" s="1295"/>
      <c r="J21" s="1295"/>
      <c r="K21" s="887"/>
    </row>
    <row r="22" spans="1:11" ht="59.1" customHeight="1">
      <c r="A22" s="889"/>
      <c r="B22" s="1296" t="s">
        <v>14</v>
      </c>
      <c r="C22" s="1296"/>
      <c r="D22" s="1296"/>
      <c r="E22" s="1296"/>
      <c r="F22" s="1296"/>
      <c r="G22" s="1296"/>
      <c r="H22" s="1296"/>
      <c r="I22" s="1296"/>
      <c r="J22" s="1296"/>
      <c r="K22" s="889"/>
    </row>
    <row r="23" spans="1:11" ht="38.4" customHeight="1">
      <c r="A23" s="890"/>
      <c r="B23" s="1297"/>
      <c r="C23" s="1297"/>
      <c r="D23" s="1297"/>
      <c r="E23" s="1297"/>
      <c r="F23" s="1297"/>
      <c r="G23" s="1297"/>
      <c r="H23" s="1297"/>
      <c r="I23" s="1297"/>
      <c r="J23" s="1297"/>
      <c r="K23" s="890"/>
    </row>
  </sheetData>
  <sheetProtection algorithmName="SHA-512" hashValue="dXETFoxQlQ7KDl7rRGevinCsYU1BihkGPG7+v24pWheJTlCaUlYVQrcWG8mkpbOZQCOPRk2D24lyGLpPpgHupA==" saltValue="qpO7MQ40tyCsWd991+qqAA==" spinCount="100000" sheet="1" objects="1" scenarios="1"/>
  <mergeCells count="13">
    <mergeCell ref="B21:J21"/>
    <mergeCell ref="B22:J22"/>
    <mergeCell ref="B23:J23"/>
    <mergeCell ref="B2:J2"/>
    <mergeCell ref="B3:J3"/>
    <mergeCell ref="B6:J6"/>
    <mergeCell ref="B9:J9"/>
    <mergeCell ref="B12:J12"/>
    <mergeCell ref="B16:J16"/>
    <mergeCell ref="B18:J18"/>
    <mergeCell ref="B19:J19"/>
    <mergeCell ref="B14:J14"/>
    <mergeCell ref="B15:J15"/>
  </mergeCell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C42C0-729B-4E4A-A86E-48E914A1F7E5}">
  <dimension ref="A1:R182"/>
  <sheetViews>
    <sheetView workbookViewId="0"/>
  </sheetViews>
  <sheetFormatPr defaultColWidth="8.88671875" defaultRowHeight="13.8"/>
  <cols>
    <col min="1" max="1" width="21.44140625" style="2" customWidth="1"/>
    <col min="2" max="2" width="52.88671875" style="15" customWidth="1"/>
    <col min="3" max="3" width="83.44140625" style="15" customWidth="1"/>
    <col min="4" max="4" width="14.88671875" style="15" customWidth="1"/>
    <col min="5" max="5" width="15.44140625" style="15" customWidth="1"/>
    <col min="6" max="6" width="15.109375" style="15" customWidth="1"/>
    <col min="7" max="8" width="14.88671875" style="15" customWidth="1"/>
    <col min="9" max="9" width="16.88671875" style="15" customWidth="1"/>
    <col min="10" max="13" width="14.88671875" style="15" customWidth="1"/>
    <col min="14" max="14" width="13.109375" style="15" customWidth="1"/>
    <col min="15" max="15" width="9.109375" style="15" customWidth="1"/>
    <col min="16" max="18" width="9.109375" style="2" customWidth="1"/>
    <col min="19" max="16384" width="8.88671875" style="2"/>
  </cols>
  <sheetData>
    <row r="1" spans="1:18" ht="35.4">
      <c r="A1" s="66"/>
    </row>
    <row r="2" spans="1:18" ht="35.4">
      <c r="A2" s="66"/>
      <c r="B2" s="1574" t="s">
        <v>25</v>
      </c>
      <c r="C2" s="1574"/>
      <c r="D2" s="1574"/>
      <c r="E2" s="1574"/>
      <c r="F2" s="1574"/>
      <c r="G2" s="1574"/>
      <c r="H2" s="1574"/>
      <c r="I2" s="1574"/>
      <c r="J2" s="1574"/>
      <c r="K2" s="1574"/>
      <c r="L2" s="1574"/>
      <c r="M2" s="1574"/>
      <c r="N2" s="1574"/>
      <c r="O2" s="1574"/>
      <c r="P2" s="1574"/>
      <c r="Q2" s="1574"/>
      <c r="R2" s="1574"/>
    </row>
    <row r="4" spans="1:18" ht="22.5" customHeight="1">
      <c r="B4" s="1575" t="s">
        <v>1175</v>
      </c>
      <c r="C4" s="1575"/>
      <c r="D4" s="1575"/>
      <c r="E4" s="1575"/>
      <c r="F4" s="1575"/>
      <c r="G4" s="1575"/>
      <c r="H4" s="1575"/>
      <c r="I4" s="1575"/>
      <c r="J4" s="1575"/>
      <c r="K4" s="1575"/>
      <c r="L4" s="1575"/>
      <c r="M4" s="1575"/>
      <c r="N4" s="1575"/>
      <c r="O4" s="1575"/>
    </row>
    <row r="5" spans="1:18">
      <c r="B5" s="67"/>
      <c r="C5" s="67"/>
      <c r="D5" s="67"/>
      <c r="E5" s="67"/>
      <c r="F5" s="67"/>
      <c r="G5" s="67"/>
      <c r="H5" s="67"/>
      <c r="I5" s="67"/>
      <c r="J5" s="67"/>
      <c r="K5" s="67"/>
      <c r="L5" s="67"/>
      <c r="M5" s="67"/>
      <c r="N5" s="67"/>
      <c r="O5" s="67"/>
    </row>
    <row r="6" spans="1:18" ht="17.399999999999999" customHeight="1">
      <c r="B6" s="290" t="s">
        <v>1176</v>
      </c>
      <c r="C6" s="481" t="s">
        <v>1177</v>
      </c>
      <c r="D6" s="1576" t="s">
        <v>546</v>
      </c>
      <c r="E6" s="1576"/>
      <c r="F6" s="1576"/>
      <c r="G6" s="1576" t="s">
        <v>547</v>
      </c>
      <c r="H6" s="1576"/>
      <c r="I6" s="1576"/>
      <c r="J6" s="1576" t="s">
        <v>548</v>
      </c>
      <c r="K6" s="1576"/>
      <c r="L6" s="1577"/>
      <c r="M6" s="1578" t="s">
        <v>1178</v>
      </c>
      <c r="N6" s="1578" t="s">
        <v>1179</v>
      </c>
      <c r="O6" s="67"/>
      <c r="P6" s="67"/>
    </row>
    <row r="7" spans="1:18" ht="30.9" customHeight="1">
      <c r="A7" s="15"/>
      <c r="B7" s="291" t="s">
        <v>905</v>
      </c>
      <c r="C7" s="292" t="s">
        <v>1180</v>
      </c>
      <c r="D7" s="293" t="s">
        <v>906</v>
      </c>
      <c r="E7" s="293" t="s">
        <v>907</v>
      </c>
      <c r="F7" s="293" t="s">
        <v>709</v>
      </c>
      <c r="G7" s="293" t="s">
        <v>906</v>
      </c>
      <c r="H7" s="293" t="s">
        <v>907</v>
      </c>
      <c r="I7" s="293" t="s">
        <v>709</v>
      </c>
      <c r="J7" s="293" t="s">
        <v>906</v>
      </c>
      <c r="K7" s="293" t="s">
        <v>907</v>
      </c>
      <c r="L7" s="327" t="s">
        <v>709</v>
      </c>
      <c r="M7" s="1579"/>
      <c r="N7" s="1579"/>
      <c r="O7" s="98" t="s">
        <v>908</v>
      </c>
    </row>
    <row r="8" spans="1:18">
      <c r="B8" s="199" t="s">
        <v>909</v>
      </c>
      <c r="C8" s="485"/>
      <c r="D8" s="289"/>
      <c r="E8" s="289"/>
      <c r="F8" s="289"/>
      <c r="G8" s="289"/>
      <c r="H8" s="289"/>
      <c r="I8" s="289"/>
      <c r="J8" s="289"/>
      <c r="K8" s="289"/>
      <c r="L8" s="289"/>
      <c r="M8" s="350"/>
      <c r="N8" s="98"/>
      <c r="O8" s="98"/>
    </row>
    <row r="9" spans="1:18">
      <c r="B9" s="294" t="s">
        <v>910</v>
      </c>
      <c r="C9" s="1542" t="s">
        <v>1181</v>
      </c>
      <c r="D9" s="484">
        <v>1116</v>
      </c>
      <c r="E9" s="484">
        <v>2798</v>
      </c>
      <c r="F9" s="484">
        <f>SUM(D9:E9)</f>
        <v>3914</v>
      </c>
      <c r="G9" s="1530">
        <v>2333</v>
      </c>
      <c r="H9" s="1530">
        <v>4901</v>
      </c>
      <c r="I9" s="1530">
        <f>SUM(G9:H9)</f>
        <v>7234</v>
      </c>
      <c r="J9" s="1530">
        <v>2344</v>
      </c>
      <c r="K9" s="1530">
        <v>5229</v>
      </c>
      <c r="L9" s="1530">
        <f>J9+K9</f>
        <v>7573</v>
      </c>
      <c r="M9" s="349">
        <f t="shared" ref="M9:M14" si="0">D9/F9</f>
        <v>0.28513030148185997</v>
      </c>
      <c r="N9" s="1470"/>
      <c r="O9" s="1470"/>
      <c r="P9" s="2" t="str">
        <f>B9</f>
        <v xml:space="preserve">UK </v>
      </c>
      <c r="Q9" s="95">
        <f>F9+F16</f>
        <v>4079</v>
      </c>
    </row>
    <row r="10" spans="1:18">
      <c r="B10" s="294" t="s">
        <v>911</v>
      </c>
      <c r="C10" s="1542"/>
      <c r="D10" s="484">
        <v>1088</v>
      </c>
      <c r="E10" s="484">
        <v>1602</v>
      </c>
      <c r="F10" s="484">
        <f>SUM(D10:E10)</f>
        <v>2690</v>
      </c>
      <c r="G10" s="1530"/>
      <c r="H10" s="1530"/>
      <c r="I10" s="1530"/>
      <c r="J10" s="1530"/>
      <c r="K10" s="1530"/>
      <c r="L10" s="1530"/>
      <c r="M10" s="349">
        <f t="shared" si="0"/>
        <v>0.40446096654275093</v>
      </c>
      <c r="N10" s="1471"/>
      <c r="O10" s="1471"/>
      <c r="P10" s="2" t="str">
        <f>B10</f>
        <v>Rest of Europe</v>
      </c>
      <c r="Q10" s="95">
        <f>F10+F17</f>
        <v>2858</v>
      </c>
    </row>
    <row r="11" spans="1:18">
      <c r="B11" s="294" t="s">
        <v>912</v>
      </c>
      <c r="C11" s="1542"/>
      <c r="D11" s="484">
        <v>554</v>
      </c>
      <c r="E11" s="484">
        <v>1606</v>
      </c>
      <c r="F11" s="484">
        <f>SUM(D11:E11)</f>
        <v>2160</v>
      </c>
      <c r="G11" s="484">
        <v>685</v>
      </c>
      <c r="H11" s="484">
        <v>2076</v>
      </c>
      <c r="I11" s="484">
        <f>SUM(G11:H11)</f>
        <v>2761</v>
      </c>
      <c r="J11" s="484">
        <v>660</v>
      </c>
      <c r="K11" s="484">
        <v>2078</v>
      </c>
      <c r="L11" s="484">
        <f>J11+K11</f>
        <v>2738</v>
      </c>
      <c r="M11" s="349">
        <f t="shared" si="0"/>
        <v>0.25648148148148148</v>
      </c>
      <c r="N11" s="100"/>
      <c r="O11" s="100"/>
      <c r="P11" s="2" t="str">
        <f>B11</f>
        <v>North America</v>
      </c>
      <c r="Q11" s="95">
        <f>F11+F18</f>
        <v>2186</v>
      </c>
    </row>
    <row r="12" spans="1:18">
      <c r="B12" s="294" t="s">
        <v>913</v>
      </c>
      <c r="C12" s="1542"/>
      <c r="D12" s="484">
        <v>537</v>
      </c>
      <c r="E12" s="484">
        <v>1902</v>
      </c>
      <c r="F12" s="484">
        <f>SUM(D12:E12)</f>
        <v>2439</v>
      </c>
      <c r="G12" s="484">
        <v>510</v>
      </c>
      <c r="H12" s="484">
        <v>1965</v>
      </c>
      <c r="I12" s="484">
        <f>SUM(G12:H12)</f>
        <v>2475</v>
      </c>
      <c r="J12" s="484">
        <v>441</v>
      </c>
      <c r="K12" s="484">
        <v>1913</v>
      </c>
      <c r="L12" s="484">
        <f>J12+K12</f>
        <v>2354</v>
      </c>
      <c r="M12" s="349">
        <f t="shared" si="0"/>
        <v>0.22017220172201721</v>
      </c>
      <c r="N12" s="100"/>
      <c r="O12" s="100"/>
      <c r="P12" s="2" t="str">
        <f>B12</f>
        <v>Asia</v>
      </c>
      <c r="Q12" s="95">
        <f>F12+F19</f>
        <v>2459</v>
      </c>
    </row>
    <row r="13" spans="1:18">
      <c r="B13" s="294" t="s">
        <v>914</v>
      </c>
      <c r="C13" s="1542"/>
      <c r="D13" s="484">
        <v>280</v>
      </c>
      <c r="E13" s="484">
        <v>701</v>
      </c>
      <c r="F13" s="484">
        <f>SUM(D13:E13)</f>
        <v>981</v>
      </c>
      <c r="G13" s="484">
        <v>200</v>
      </c>
      <c r="H13" s="484">
        <v>410</v>
      </c>
      <c r="I13" s="484">
        <f>SUM(G13:H13)</f>
        <v>610</v>
      </c>
      <c r="J13" s="484">
        <v>198</v>
      </c>
      <c r="K13" s="484">
        <v>396</v>
      </c>
      <c r="L13" s="484">
        <f>J13+K13</f>
        <v>594</v>
      </c>
      <c r="M13" s="349">
        <f t="shared" si="0"/>
        <v>0.2854230377166157</v>
      </c>
      <c r="N13" s="100"/>
      <c r="O13" s="100"/>
      <c r="P13" s="2" t="str">
        <f>B13</f>
        <v>Rest of World</v>
      </c>
      <c r="Q13" s="95">
        <f>F13+F20</f>
        <v>1056</v>
      </c>
    </row>
    <row r="14" spans="1:18">
      <c r="B14" s="430" t="s">
        <v>915</v>
      </c>
      <c r="C14" s="1542"/>
      <c r="D14" s="484">
        <f t="shared" ref="D14:L14" si="1">SUM(D9:D13)</f>
        <v>3575</v>
      </c>
      <c r="E14" s="484">
        <f t="shared" si="1"/>
        <v>8609</v>
      </c>
      <c r="F14" s="484">
        <f t="shared" si="1"/>
        <v>12184</v>
      </c>
      <c r="G14" s="484">
        <f t="shared" si="1"/>
        <v>3728</v>
      </c>
      <c r="H14" s="484">
        <f t="shared" si="1"/>
        <v>9352</v>
      </c>
      <c r="I14" s="484">
        <f t="shared" si="1"/>
        <v>13080</v>
      </c>
      <c r="J14" s="484">
        <f t="shared" si="1"/>
        <v>3643</v>
      </c>
      <c r="K14" s="484">
        <f t="shared" si="1"/>
        <v>9616</v>
      </c>
      <c r="L14" s="484">
        <f t="shared" si="1"/>
        <v>13259</v>
      </c>
      <c r="M14" s="349">
        <f t="shared" si="0"/>
        <v>0.29341759684832569</v>
      </c>
      <c r="N14" s="101"/>
      <c r="O14" s="101"/>
      <c r="Q14" s="95"/>
    </row>
    <row r="15" spans="1:18">
      <c r="B15" s="334" t="s">
        <v>916</v>
      </c>
      <c r="C15" s="340"/>
      <c r="D15" s="341"/>
      <c r="E15" s="341"/>
      <c r="F15" s="341"/>
      <c r="G15" s="341"/>
      <c r="H15" s="341"/>
      <c r="I15" s="341"/>
      <c r="J15" s="341"/>
      <c r="K15" s="341"/>
      <c r="L15" s="341"/>
      <c r="M15" s="349"/>
      <c r="N15" s="98"/>
      <c r="O15" s="98"/>
    </row>
    <row r="16" spans="1:18" ht="14.4">
      <c r="B16" s="342" t="s">
        <v>910</v>
      </c>
      <c r="C16" s="1571" t="s">
        <v>1182</v>
      </c>
      <c r="D16" s="482">
        <v>64</v>
      </c>
      <c r="E16" s="482">
        <v>101</v>
      </c>
      <c r="F16" s="482">
        <f>SUM(D16:E16)</f>
        <v>165</v>
      </c>
      <c r="G16" s="1573">
        <v>102</v>
      </c>
      <c r="H16" s="1573">
        <v>104</v>
      </c>
      <c r="I16" s="1573">
        <f>SUM(G16:H16)</f>
        <v>206</v>
      </c>
      <c r="J16" s="1573">
        <v>103</v>
      </c>
      <c r="K16" s="1573">
        <v>154</v>
      </c>
      <c r="L16" s="1573">
        <f>J16+K16</f>
        <v>257</v>
      </c>
      <c r="M16" s="349">
        <f t="shared" ref="M16:M21" si="2">D16/F16</f>
        <v>0.38787878787878788</v>
      </c>
      <c r="N16" s="98"/>
      <c r="O16" s="98"/>
      <c r="P16" t="s">
        <v>917</v>
      </c>
      <c r="Q16" s="384">
        <v>0.54900000000000004</v>
      </c>
      <c r="R16" s="385">
        <v>0.55000000000000004</v>
      </c>
    </row>
    <row r="17" spans="1:18">
      <c r="B17" s="342" t="s">
        <v>911</v>
      </c>
      <c r="C17" s="1571"/>
      <c r="D17" s="482">
        <v>77</v>
      </c>
      <c r="E17" s="482">
        <v>91</v>
      </c>
      <c r="F17" s="482">
        <f>SUM(D17:E17)</f>
        <v>168</v>
      </c>
      <c r="G17" s="1573"/>
      <c r="H17" s="1573"/>
      <c r="I17" s="1573"/>
      <c r="J17" s="1573"/>
      <c r="K17" s="1573"/>
      <c r="L17" s="1573"/>
      <c r="M17" s="349">
        <f t="shared" si="2"/>
        <v>0.45833333333333331</v>
      </c>
      <c r="N17" s="99"/>
      <c r="O17" s="99"/>
      <c r="P17" s="2" t="s">
        <v>918</v>
      </c>
      <c r="Q17" s="384">
        <v>8.3000000000000004E-2</v>
      </c>
      <c r="R17" s="385">
        <v>0.08</v>
      </c>
    </row>
    <row r="18" spans="1:18">
      <c r="B18" s="342" t="s">
        <v>912</v>
      </c>
      <c r="C18" s="1571"/>
      <c r="D18" s="482">
        <v>13</v>
      </c>
      <c r="E18" s="482">
        <v>13</v>
      </c>
      <c r="F18" s="482">
        <f>SUM(D18:E18)</f>
        <v>26</v>
      </c>
      <c r="G18" s="482">
        <v>30</v>
      </c>
      <c r="H18" s="482">
        <v>44</v>
      </c>
      <c r="I18" s="482">
        <f>SUM(G18:H18)</f>
        <v>74</v>
      </c>
      <c r="J18" s="482">
        <v>4</v>
      </c>
      <c r="K18" s="482">
        <v>51</v>
      </c>
      <c r="L18" s="482">
        <f>J18+K18</f>
        <v>55</v>
      </c>
      <c r="M18" s="349">
        <f t="shared" si="2"/>
        <v>0.5</v>
      </c>
      <c r="N18" s="99"/>
      <c r="O18" s="99"/>
      <c r="P18" s="2" t="s">
        <v>919</v>
      </c>
      <c r="Q18" s="384">
        <v>0.111</v>
      </c>
      <c r="R18" s="385">
        <v>0.11</v>
      </c>
    </row>
    <row r="19" spans="1:18">
      <c r="B19" s="342" t="s">
        <v>913</v>
      </c>
      <c r="C19" s="1571"/>
      <c r="D19" s="482">
        <v>10</v>
      </c>
      <c r="E19" s="482">
        <v>10</v>
      </c>
      <c r="F19" s="482">
        <f>SUM(D19:E19)</f>
        <v>20</v>
      </c>
      <c r="G19" s="482">
        <v>10</v>
      </c>
      <c r="H19" s="482">
        <v>12</v>
      </c>
      <c r="I19" s="482">
        <f>SUM(G19:H19)</f>
        <v>22</v>
      </c>
      <c r="J19" s="482">
        <v>14</v>
      </c>
      <c r="K19" s="482">
        <v>13</v>
      </c>
      <c r="L19" s="482">
        <f>J19+K19</f>
        <v>27</v>
      </c>
      <c r="M19" s="349">
        <f t="shared" si="2"/>
        <v>0.5</v>
      </c>
      <c r="N19" s="99"/>
      <c r="O19" s="99"/>
      <c r="P19" s="2" t="s">
        <v>912</v>
      </c>
      <c r="Q19" s="384">
        <v>0.17299999999999999</v>
      </c>
      <c r="R19" s="385">
        <v>0.17</v>
      </c>
    </row>
    <row r="20" spans="1:18">
      <c r="B20" s="342" t="s">
        <v>914</v>
      </c>
      <c r="C20" s="1571"/>
      <c r="D20" s="482">
        <v>34</v>
      </c>
      <c r="E20" s="482">
        <v>41</v>
      </c>
      <c r="F20" s="482">
        <f>SUM(D20:E20)</f>
        <v>75</v>
      </c>
      <c r="G20" s="482">
        <v>28</v>
      </c>
      <c r="H20" s="482">
        <v>20</v>
      </c>
      <c r="I20" s="482">
        <f>SUM(G20:H20)</f>
        <v>48</v>
      </c>
      <c r="J20" s="482">
        <v>19</v>
      </c>
      <c r="K20" s="482">
        <v>24</v>
      </c>
      <c r="L20" s="482">
        <f>J20+K20</f>
        <v>43</v>
      </c>
      <c r="M20" s="349">
        <f t="shared" si="2"/>
        <v>0.45333333333333331</v>
      </c>
      <c r="N20" s="99"/>
      <c r="O20" s="99"/>
      <c r="P20" s="2" t="s">
        <v>914</v>
      </c>
      <c r="Q20" s="384">
        <v>8.4000000000000005E-2</v>
      </c>
      <c r="R20" s="385">
        <v>0.09</v>
      </c>
    </row>
    <row r="21" spans="1:18">
      <c r="B21" s="429" t="s">
        <v>915</v>
      </c>
      <c r="C21" s="1572"/>
      <c r="D21" s="419">
        <f t="shared" ref="D21:K21" si="3">SUM(D16:D20)</f>
        <v>198</v>
      </c>
      <c r="E21" s="419">
        <f t="shared" si="3"/>
        <v>256</v>
      </c>
      <c r="F21" s="419">
        <f t="shared" si="3"/>
        <v>454</v>
      </c>
      <c r="G21" s="419">
        <f t="shared" si="3"/>
        <v>170</v>
      </c>
      <c r="H21" s="419">
        <f t="shared" si="3"/>
        <v>180</v>
      </c>
      <c r="I21" s="419">
        <f t="shared" si="3"/>
        <v>350</v>
      </c>
      <c r="J21" s="419">
        <f t="shared" si="3"/>
        <v>140</v>
      </c>
      <c r="K21" s="419">
        <f t="shared" si="3"/>
        <v>242</v>
      </c>
      <c r="L21" s="419">
        <f>J21+K21</f>
        <v>382</v>
      </c>
      <c r="M21" s="420">
        <f t="shared" si="2"/>
        <v>0.43612334801762115</v>
      </c>
      <c r="N21" s="67"/>
      <c r="O21" s="67"/>
      <c r="Q21" s="384">
        <f>SUM(Q16:Q20)</f>
        <v>0.99999999999999989</v>
      </c>
      <c r="R21" s="348">
        <f>SUM(R16:R20)</f>
        <v>1</v>
      </c>
    </row>
    <row r="22" spans="1:18">
      <c r="B22" s="422" t="s">
        <v>920</v>
      </c>
      <c r="C22" s="423"/>
      <c r="D22" s="424"/>
      <c r="E22" s="424"/>
      <c r="F22" s="424"/>
      <c r="G22" s="424"/>
      <c r="H22" s="424"/>
      <c r="I22" s="424"/>
      <c r="J22" s="424"/>
      <c r="K22" s="424"/>
      <c r="L22" s="424"/>
      <c r="M22" s="424"/>
      <c r="N22" s="67"/>
      <c r="O22" s="67"/>
    </row>
    <row r="23" spans="1:18">
      <c r="B23" s="425" t="s">
        <v>910</v>
      </c>
      <c r="C23" s="1570" t="s">
        <v>1183</v>
      </c>
      <c r="D23" s="436">
        <f t="shared" ref="D23:L23" si="4">D9+D16</f>
        <v>1180</v>
      </c>
      <c r="E23" s="436">
        <f t="shared" si="4"/>
        <v>2899</v>
      </c>
      <c r="F23" s="436">
        <f t="shared" si="4"/>
        <v>4079</v>
      </c>
      <c r="G23" s="1566">
        <f t="shared" si="4"/>
        <v>2435</v>
      </c>
      <c r="H23" s="1566">
        <f t="shared" si="4"/>
        <v>5005</v>
      </c>
      <c r="I23" s="1566">
        <f t="shared" si="4"/>
        <v>7440</v>
      </c>
      <c r="J23" s="1566">
        <f t="shared" si="4"/>
        <v>2447</v>
      </c>
      <c r="K23" s="1566">
        <f t="shared" si="4"/>
        <v>5383</v>
      </c>
      <c r="L23" s="1566">
        <f t="shared" si="4"/>
        <v>7830</v>
      </c>
      <c r="M23" s="427">
        <f t="shared" ref="M23:M28" si="5">D23/F23</f>
        <v>0.28928658985045352</v>
      </c>
      <c r="N23" s="67"/>
      <c r="O23" s="67"/>
    </row>
    <row r="24" spans="1:18">
      <c r="B24" s="425" t="s">
        <v>911</v>
      </c>
      <c r="C24" s="1570"/>
      <c r="D24" s="436">
        <f t="shared" ref="D24:F27" si="6">D10+D17</f>
        <v>1165</v>
      </c>
      <c r="E24" s="436">
        <f t="shared" si="6"/>
        <v>1693</v>
      </c>
      <c r="F24" s="436">
        <f t="shared" si="6"/>
        <v>2858</v>
      </c>
      <c r="G24" s="1567"/>
      <c r="H24" s="1567"/>
      <c r="I24" s="1567"/>
      <c r="J24" s="1567"/>
      <c r="K24" s="1567"/>
      <c r="L24" s="1567"/>
      <c r="M24" s="427">
        <f t="shared" si="5"/>
        <v>0.40762771168649403</v>
      </c>
      <c r="N24" s="67"/>
      <c r="O24" s="67"/>
    </row>
    <row r="25" spans="1:18">
      <c r="B25" s="425" t="s">
        <v>912</v>
      </c>
      <c r="C25" s="1570"/>
      <c r="D25" s="436">
        <f t="shared" si="6"/>
        <v>567</v>
      </c>
      <c r="E25" s="436">
        <f t="shared" si="6"/>
        <v>1619</v>
      </c>
      <c r="F25" s="436">
        <f t="shared" si="6"/>
        <v>2186</v>
      </c>
      <c r="G25" s="436">
        <f t="shared" ref="G25:L27" si="7">G11+G18</f>
        <v>715</v>
      </c>
      <c r="H25" s="436">
        <f t="shared" si="7"/>
        <v>2120</v>
      </c>
      <c r="I25" s="436">
        <f t="shared" si="7"/>
        <v>2835</v>
      </c>
      <c r="J25" s="436">
        <f t="shared" si="7"/>
        <v>664</v>
      </c>
      <c r="K25" s="436">
        <f t="shared" si="7"/>
        <v>2129</v>
      </c>
      <c r="L25" s="436">
        <f t="shared" si="7"/>
        <v>2793</v>
      </c>
      <c r="M25" s="427">
        <f t="shared" si="5"/>
        <v>0.25937785910338518</v>
      </c>
      <c r="N25" s="67"/>
      <c r="O25" s="67"/>
    </row>
    <row r="26" spans="1:18">
      <c r="B26" s="425" t="s">
        <v>913</v>
      </c>
      <c r="C26" s="1570"/>
      <c r="D26" s="436">
        <f t="shared" si="6"/>
        <v>547</v>
      </c>
      <c r="E26" s="436">
        <f t="shared" si="6"/>
        <v>1912</v>
      </c>
      <c r="F26" s="436">
        <f t="shared" si="6"/>
        <v>2459</v>
      </c>
      <c r="G26" s="436">
        <f t="shared" si="7"/>
        <v>520</v>
      </c>
      <c r="H26" s="436">
        <f t="shared" si="7"/>
        <v>1977</v>
      </c>
      <c r="I26" s="436">
        <f t="shared" si="7"/>
        <v>2497</v>
      </c>
      <c r="J26" s="436">
        <f t="shared" si="7"/>
        <v>455</v>
      </c>
      <c r="K26" s="436">
        <f t="shared" si="7"/>
        <v>1926</v>
      </c>
      <c r="L26" s="436">
        <f t="shared" si="7"/>
        <v>2381</v>
      </c>
      <c r="M26" s="427">
        <f t="shared" si="5"/>
        <v>0.22244814965433102</v>
      </c>
      <c r="N26" s="67"/>
      <c r="O26" s="67"/>
    </row>
    <row r="27" spans="1:18">
      <c r="B27" s="425" t="s">
        <v>914</v>
      </c>
      <c r="C27" s="1570"/>
      <c r="D27" s="436">
        <f t="shared" si="6"/>
        <v>314</v>
      </c>
      <c r="E27" s="436">
        <f t="shared" si="6"/>
        <v>742</v>
      </c>
      <c r="F27" s="436">
        <f t="shared" si="6"/>
        <v>1056</v>
      </c>
      <c r="G27" s="436">
        <f t="shared" si="7"/>
        <v>228</v>
      </c>
      <c r="H27" s="436">
        <f t="shared" si="7"/>
        <v>430</v>
      </c>
      <c r="I27" s="436">
        <f t="shared" si="7"/>
        <v>658</v>
      </c>
      <c r="J27" s="436">
        <f t="shared" si="7"/>
        <v>217</v>
      </c>
      <c r="K27" s="436">
        <f t="shared" si="7"/>
        <v>420</v>
      </c>
      <c r="L27" s="436">
        <f t="shared" si="7"/>
        <v>637</v>
      </c>
      <c r="M27" s="427">
        <f t="shared" si="5"/>
        <v>0.29734848484848486</v>
      </c>
      <c r="N27" s="67"/>
      <c r="O27" s="67"/>
    </row>
    <row r="28" spans="1:18">
      <c r="B28" s="428" t="s">
        <v>915</v>
      </c>
      <c r="C28" s="1570"/>
      <c r="D28" s="426">
        <f>D14+D21</f>
        <v>3773</v>
      </c>
      <c r="E28" s="426">
        <f>E14+E21</f>
        <v>8865</v>
      </c>
      <c r="F28" s="426">
        <f>D28+E28</f>
        <v>12638</v>
      </c>
      <c r="G28" s="426">
        <f>G14+G21</f>
        <v>3898</v>
      </c>
      <c r="H28" s="426">
        <f>H14+H21</f>
        <v>9532</v>
      </c>
      <c r="I28" s="426">
        <f>G28+H28</f>
        <v>13430</v>
      </c>
      <c r="J28" s="426">
        <f>J14+J21</f>
        <v>3783</v>
      </c>
      <c r="K28" s="426">
        <f>K14+K21</f>
        <v>9858</v>
      </c>
      <c r="L28" s="426">
        <f>J28+K28</f>
        <v>13641</v>
      </c>
      <c r="M28" s="427">
        <f t="shared" si="5"/>
        <v>0.29854407342934008</v>
      </c>
      <c r="N28" s="67"/>
      <c r="O28" s="67"/>
    </row>
    <row r="29" spans="1:18">
      <c r="B29" s="346"/>
      <c r="C29" s="347"/>
      <c r="D29" s="565"/>
      <c r="E29" s="565"/>
      <c r="F29" s="565"/>
      <c r="G29" s="565"/>
      <c r="H29" s="565"/>
      <c r="I29" s="565"/>
      <c r="J29" s="565"/>
      <c r="K29" s="565"/>
      <c r="L29" s="565"/>
      <c r="M29" s="565"/>
      <c r="N29" s="1470"/>
      <c r="O29" s="67"/>
    </row>
    <row r="30" spans="1:18">
      <c r="B30" s="434" t="s">
        <v>922</v>
      </c>
      <c r="C30" s="435" t="s">
        <v>1184</v>
      </c>
      <c r="D30" s="436">
        <v>3</v>
      </c>
      <c r="E30" s="436">
        <v>6</v>
      </c>
      <c r="F30" s="436">
        <f t="shared" ref="F30:F35" si="8">D30+E30</f>
        <v>9</v>
      </c>
      <c r="G30" s="436">
        <v>3</v>
      </c>
      <c r="H30" s="436">
        <v>6</v>
      </c>
      <c r="I30" s="436">
        <f t="shared" ref="I30:I35" si="9">G30+H30</f>
        <v>9</v>
      </c>
      <c r="J30" s="436">
        <v>2</v>
      </c>
      <c r="K30" s="436">
        <v>5</v>
      </c>
      <c r="L30" s="436">
        <f t="shared" ref="L30:L35" si="10">J30+K30</f>
        <v>7</v>
      </c>
      <c r="M30" s="427">
        <f t="shared" ref="M30:M35" si="11">D30/F30</f>
        <v>0.33333333333333331</v>
      </c>
      <c r="N30" s="1471"/>
      <c r="O30" s="67"/>
    </row>
    <row r="31" spans="1:18">
      <c r="B31" s="434" t="s">
        <v>923</v>
      </c>
      <c r="C31" s="435" t="s">
        <v>1185</v>
      </c>
      <c r="D31" s="436">
        <v>3</v>
      </c>
      <c r="E31" s="436">
        <v>9</v>
      </c>
      <c r="F31" s="436">
        <f t="shared" si="8"/>
        <v>12</v>
      </c>
      <c r="G31" s="436">
        <v>2</v>
      </c>
      <c r="H31" s="436">
        <v>6</v>
      </c>
      <c r="I31" s="436">
        <f t="shared" si="9"/>
        <v>8</v>
      </c>
      <c r="J31" s="436">
        <v>4</v>
      </c>
      <c r="K31" s="436">
        <v>5</v>
      </c>
      <c r="L31" s="436">
        <f t="shared" si="10"/>
        <v>9</v>
      </c>
      <c r="M31" s="427">
        <f t="shared" si="11"/>
        <v>0.25</v>
      </c>
      <c r="O31" s="67"/>
    </row>
    <row r="32" spans="1:18" s="15" customFormat="1" ht="27.9" customHeight="1">
      <c r="A32" s="2"/>
      <c r="B32" s="432" t="s">
        <v>924</v>
      </c>
      <c r="C32" s="433" t="s">
        <v>1186</v>
      </c>
      <c r="D32" s="431">
        <v>13</v>
      </c>
      <c r="E32" s="431">
        <v>86</v>
      </c>
      <c r="F32" s="431">
        <f t="shared" si="8"/>
        <v>99</v>
      </c>
      <c r="G32" s="431">
        <v>17</v>
      </c>
      <c r="H32" s="431">
        <v>100</v>
      </c>
      <c r="I32" s="431">
        <f t="shared" si="9"/>
        <v>117</v>
      </c>
      <c r="J32" s="431">
        <v>16</v>
      </c>
      <c r="K32" s="431">
        <v>95</v>
      </c>
      <c r="L32" s="431">
        <f t="shared" si="10"/>
        <v>111</v>
      </c>
      <c r="M32" s="421">
        <f t="shared" si="11"/>
        <v>0.13131313131313133</v>
      </c>
      <c r="O32" s="67"/>
    </row>
    <row r="33" spans="1:15">
      <c r="B33" s="338" t="s">
        <v>925</v>
      </c>
      <c r="C33" s="339" t="s">
        <v>1187</v>
      </c>
      <c r="D33" s="337">
        <v>31</v>
      </c>
      <c r="E33" s="337">
        <v>52</v>
      </c>
      <c r="F33" s="337">
        <f t="shared" si="8"/>
        <v>83</v>
      </c>
      <c r="G33" s="337">
        <v>22</v>
      </c>
      <c r="H33" s="337">
        <v>38</v>
      </c>
      <c r="I33" s="337">
        <f t="shared" si="9"/>
        <v>60</v>
      </c>
      <c r="J33" s="337">
        <v>21</v>
      </c>
      <c r="K33" s="337">
        <v>41</v>
      </c>
      <c r="L33" s="337">
        <f t="shared" si="10"/>
        <v>62</v>
      </c>
      <c r="M33" s="349">
        <f t="shared" si="11"/>
        <v>0.37349397590361444</v>
      </c>
      <c r="O33" s="67"/>
    </row>
    <row r="34" spans="1:15" ht="52.8">
      <c r="B34" s="351" t="s">
        <v>1188</v>
      </c>
      <c r="C34" s="352" t="s">
        <v>1189</v>
      </c>
      <c r="D34" s="343">
        <v>478</v>
      </c>
      <c r="E34" s="343">
        <v>1223</v>
      </c>
      <c r="F34" s="343">
        <f t="shared" si="8"/>
        <v>1701</v>
      </c>
      <c r="G34" s="343">
        <v>487</v>
      </c>
      <c r="H34" s="343">
        <v>1302</v>
      </c>
      <c r="I34" s="343">
        <f t="shared" si="9"/>
        <v>1789</v>
      </c>
      <c r="J34" s="353"/>
      <c r="K34" s="353"/>
      <c r="L34" s="354">
        <f t="shared" si="10"/>
        <v>0</v>
      </c>
      <c r="M34" s="415">
        <f t="shared" si="11"/>
        <v>0.28101116990005881</v>
      </c>
      <c r="N34" s="416">
        <f>(M34-0.3)/(0.4-0.3)</f>
        <v>-0.18988830099941173</v>
      </c>
      <c r="O34" s="77"/>
    </row>
    <row r="35" spans="1:15">
      <c r="B35" s="335" t="s">
        <v>927</v>
      </c>
      <c r="C35" s="336"/>
      <c r="D35" s="337">
        <v>748</v>
      </c>
      <c r="E35" s="337">
        <v>1496</v>
      </c>
      <c r="F35" s="337">
        <f t="shared" si="8"/>
        <v>2244</v>
      </c>
      <c r="G35" s="337">
        <v>718</v>
      </c>
      <c r="H35" s="337">
        <v>1355</v>
      </c>
      <c r="I35" s="337">
        <f t="shared" si="9"/>
        <v>2073</v>
      </c>
      <c r="J35" s="337">
        <v>475</v>
      </c>
      <c r="K35" s="337">
        <v>1117</v>
      </c>
      <c r="L35" s="337">
        <f t="shared" si="10"/>
        <v>1592</v>
      </c>
      <c r="M35" s="349">
        <f t="shared" si="11"/>
        <v>0.33333333333333331</v>
      </c>
      <c r="O35" s="67"/>
    </row>
    <row r="36" spans="1:15">
      <c r="C36" s="70"/>
      <c r="D36" s="566"/>
      <c r="E36" s="566"/>
      <c r="F36" s="567"/>
      <c r="G36" s="568"/>
      <c r="H36" s="568"/>
      <c r="I36" s="568"/>
      <c r="J36" s="566"/>
      <c r="K36" s="566"/>
      <c r="L36" s="566"/>
      <c r="M36" s="67"/>
      <c r="O36" s="67"/>
    </row>
    <row r="37" spans="1:15">
      <c r="B37" s="319" t="s">
        <v>931</v>
      </c>
      <c r="C37" s="302"/>
      <c r="D37" s="297">
        <v>0</v>
      </c>
      <c r="E37" s="297">
        <v>0</v>
      </c>
      <c r="F37" s="297">
        <f>D37+E37</f>
        <v>0</v>
      </c>
      <c r="G37" s="297">
        <v>0</v>
      </c>
      <c r="H37" s="297">
        <v>0</v>
      </c>
      <c r="I37" s="297">
        <f>G37+H37</f>
        <v>0</v>
      </c>
      <c r="J37" s="297">
        <v>1</v>
      </c>
      <c r="K37" s="297">
        <v>0</v>
      </c>
      <c r="L37" s="297">
        <v>1</v>
      </c>
      <c r="M37" s="67"/>
      <c r="O37" s="67"/>
    </row>
    <row r="38" spans="1:15">
      <c r="B38" s="319" t="s">
        <v>932</v>
      </c>
      <c r="C38" s="302"/>
      <c r="D38" s="297">
        <v>0</v>
      </c>
      <c r="E38" s="297">
        <v>3</v>
      </c>
      <c r="F38" s="297">
        <f>D38+E38</f>
        <v>3</v>
      </c>
      <c r="G38" s="297">
        <v>0</v>
      </c>
      <c r="H38" s="297">
        <v>3</v>
      </c>
      <c r="I38" s="297">
        <f>G38+H38</f>
        <v>3</v>
      </c>
      <c r="J38" s="297">
        <v>0</v>
      </c>
      <c r="K38" s="297">
        <v>2</v>
      </c>
      <c r="L38" s="297">
        <v>2</v>
      </c>
      <c r="M38" s="67"/>
      <c r="O38" s="67"/>
    </row>
    <row r="39" spans="1:15">
      <c r="B39" s="319" t="s">
        <v>933</v>
      </c>
      <c r="C39" s="302"/>
      <c r="D39" s="297">
        <v>0</v>
      </c>
      <c r="E39" s="297">
        <v>2</v>
      </c>
      <c r="F39" s="297">
        <f>D39+E39</f>
        <v>2</v>
      </c>
      <c r="G39" s="297">
        <v>0</v>
      </c>
      <c r="H39" s="297">
        <v>2</v>
      </c>
      <c r="I39" s="297">
        <f>G39+H39</f>
        <v>2</v>
      </c>
      <c r="J39" s="297">
        <v>2</v>
      </c>
      <c r="K39" s="297">
        <v>4</v>
      </c>
      <c r="L39" s="297">
        <v>6</v>
      </c>
      <c r="M39" s="67"/>
      <c r="O39" s="67"/>
    </row>
    <row r="40" spans="1:15">
      <c r="B40" s="319" t="s">
        <v>934</v>
      </c>
      <c r="C40" s="302"/>
      <c r="D40" s="297">
        <v>3</v>
      </c>
      <c r="E40" s="297">
        <v>1</v>
      </c>
      <c r="F40" s="297">
        <f>D40+E40</f>
        <v>4</v>
      </c>
      <c r="G40" s="297">
        <v>3</v>
      </c>
      <c r="H40" s="297">
        <v>1</v>
      </c>
      <c r="I40" s="297">
        <f>G40+H40</f>
        <v>4</v>
      </c>
      <c r="J40" s="297">
        <v>0</v>
      </c>
      <c r="K40" s="297">
        <v>0</v>
      </c>
      <c r="L40" s="297">
        <v>0</v>
      </c>
      <c r="M40" s="67"/>
      <c r="O40" s="67"/>
    </row>
    <row r="41" spans="1:15">
      <c r="B41" s="320" t="s">
        <v>935</v>
      </c>
      <c r="C41" s="321"/>
      <c r="D41" s="299">
        <f t="shared" ref="D41:K41" si="12">SUM(D37:D40)</f>
        <v>3</v>
      </c>
      <c r="E41" s="299">
        <f t="shared" si="12"/>
        <v>6</v>
      </c>
      <c r="F41" s="299">
        <f t="shared" si="12"/>
        <v>9</v>
      </c>
      <c r="G41" s="299">
        <f t="shared" si="12"/>
        <v>3</v>
      </c>
      <c r="H41" s="299">
        <f t="shared" si="12"/>
        <v>6</v>
      </c>
      <c r="I41" s="299">
        <f t="shared" si="12"/>
        <v>9</v>
      </c>
      <c r="J41" s="299">
        <f t="shared" si="12"/>
        <v>3</v>
      </c>
      <c r="K41" s="299">
        <f t="shared" si="12"/>
        <v>6</v>
      </c>
      <c r="L41" s="299">
        <v>9</v>
      </c>
      <c r="M41" s="349">
        <f>D41/F41</f>
        <v>0.33333333333333331</v>
      </c>
      <c r="O41" s="67"/>
    </row>
    <row r="42" spans="1:15">
      <c r="C42" s="70"/>
      <c r="D42" s="569"/>
      <c r="E42" s="569"/>
      <c r="F42" s="567"/>
      <c r="G42" s="567"/>
      <c r="H42" s="567"/>
      <c r="I42" s="567"/>
      <c r="J42" s="569"/>
      <c r="K42" s="569"/>
      <c r="L42" s="569"/>
      <c r="M42" s="67"/>
      <c r="O42" s="67"/>
    </row>
    <row r="43" spans="1:15" ht="21.6" customHeight="1">
      <c r="B43" s="278" t="s">
        <v>936</v>
      </c>
      <c r="C43" s="1548" t="s">
        <v>1190</v>
      </c>
      <c r="D43" s="297">
        <v>640</v>
      </c>
      <c r="E43" s="297">
        <v>1388</v>
      </c>
      <c r="F43" s="297">
        <f>D43+E43</f>
        <v>2028</v>
      </c>
      <c r="G43" s="358">
        <v>719</v>
      </c>
      <c r="H43" s="358">
        <v>1509</v>
      </c>
      <c r="I43" s="358">
        <f>G43+H43</f>
        <v>2228</v>
      </c>
      <c r="J43" s="358">
        <v>730</v>
      </c>
      <c r="K43" s="358">
        <v>1608</v>
      </c>
      <c r="L43" s="358">
        <f>J43+K43</f>
        <v>2338</v>
      </c>
      <c r="M43" s="349">
        <f>D43/F43</f>
        <v>0.31558185404339251</v>
      </c>
      <c r="O43" s="67"/>
    </row>
    <row r="44" spans="1:15" ht="21.6" customHeight="1">
      <c r="B44" s="278" t="s">
        <v>1191</v>
      </c>
      <c r="C44" s="1548"/>
      <c r="D44" s="297">
        <v>1971</v>
      </c>
      <c r="E44" s="297">
        <v>4463</v>
      </c>
      <c r="F44" s="297">
        <f>D44+E44</f>
        <v>6434</v>
      </c>
      <c r="G44" s="1568">
        <v>2477</v>
      </c>
      <c r="H44" s="1568">
        <v>6050</v>
      </c>
      <c r="I44" s="1568">
        <f>G44+H44</f>
        <v>8527</v>
      </c>
      <c r="J44" s="1568">
        <v>2331</v>
      </c>
      <c r="K44" s="1568">
        <v>5927</v>
      </c>
      <c r="L44" s="1568">
        <f>J44+K44</f>
        <v>8258</v>
      </c>
      <c r="M44" s="349">
        <f>D44/F44</f>
        <v>0.30634131178116258</v>
      </c>
      <c r="O44" s="67"/>
    </row>
    <row r="45" spans="1:15" ht="21.6" customHeight="1">
      <c r="A45" s="12"/>
      <c r="B45" s="278" t="s">
        <v>938</v>
      </c>
      <c r="C45" s="1548"/>
      <c r="D45" s="297">
        <v>962</v>
      </c>
      <c r="E45" s="297">
        <v>2456</v>
      </c>
      <c r="F45" s="297">
        <f>D45+E45</f>
        <v>3418</v>
      </c>
      <c r="G45" s="1569"/>
      <c r="H45" s="1569"/>
      <c r="I45" s="1569"/>
      <c r="J45" s="1569"/>
      <c r="K45" s="1569"/>
      <c r="L45" s="1569"/>
      <c r="M45" s="349">
        <f>D45/F45</f>
        <v>0.28145114101813928</v>
      </c>
      <c r="O45" s="67"/>
    </row>
    <row r="46" spans="1:15" ht="21.6" customHeight="1">
      <c r="A46" s="376"/>
      <c r="B46" s="278" t="s">
        <v>939</v>
      </c>
      <c r="C46" s="1548"/>
      <c r="D46" s="297">
        <v>123</v>
      </c>
      <c r="E46" s="297">
        <v>434</v>
      </c>
      <c r="F46" s="297">
        <f>D46+E46</f>
        <v>557</v>
      </c>
      <c r="G46" s="358">
        <v>703</v>
      </c>
      <c r="H46" s="358">
        <v>1972</v>
      </c>
      <c r="I46" s="358">
        <f>G46+H46</f>
        <v>2675</v>
      </c>
      <c r="J46" s="358">
        <v>722</v>
      </c>
      <c r="K46" s="358">
        <v>2322</v>
      </c>
      <c r="L46" s="358">
        <f>J46+K46</f>
        <v>3044</v>
      </c>
      <c r="M46" s="349">
        <f>D46/F46</f>
        <v>0.22082585278276481</v>
      </c>
      <c r="O46" s="67"/>
    </row>
    <row r="47" spans="1:15" s="78" customFormat="1" ht="25.2">
      <c r="A47" s="377"/>
      <c r="B47" s="199" t="s">
        <v>920</v>
      </c>
      <c r="C47" s="298" t="s">
        <v>1192</v>
      </c>
      <c r="D47" s="303">
        <f t="shared" ref="D47:L47" si="13">SUM(D43:D46)</f>
        <v>3696</v>
      </c>
      <c r="E47" s="303">
        <f t="shared" si="13"/>
        <v>8741</v>
      </c>
      <c r="F47" s="303">
        <f t="shared" si="13"/>
        <v>12437</v>
      </c>
      <c r="G47" s="359">
        <f t="shared" si="13"/>
        <v>3899</v>
      </c>
      <c r="H47" s="359">
        <f t="shared" si="13"/>
        <v>9531</v>
      </c>
      <c r="I47" s="359">
        <f t="shared" si="13"/>
        <v>13430</v>
      </c>
      <c r="J47" s="359">
        <f t="shared" si="13"/>
        <v>3783</v>
      </c>
      <c r="K47" s="359">
        <f t="shared" si="13"/>
        <v>9857</v>
      </c>
      <c r="L47" s="359">
        <f t="shared" si="13"/>
        <v>13640</v>
      </c>
      <c r="M47" s="349">
        <f>D47/F47</f>
        <v>0.2971777759909946</v>
      </c>
      <c r="O47" s="79"/>
    </row>
    <row r="48" spans="1:15">
      <c r="B48" s="102"/>
      <c r="C48" s="317"/>
      <c r="D48" s="567"/>
      <c r="E48" s="567"/>
      <c r="F48" s="567"/>
      <c r="G48" s="567"/>
      <c r="H48" s="567"/>
      <c r="I48" s="567"/>
      <c r="J48" s="569"/>
      <c r="K48" s="569"/>
      <c r="L48" s="569"/>
      <c r="M48" s="67"/>
      <c r="O48" s="67"/>
    </row>
    <row r="49" spans="2:16" ht="16.5" customHeight="1">
      <c r="B49" s="174" t="s">
        <v>927</v>
      </c>
      <c r="C49" s="485" t="s">
        <v>1193</v>
      </c>
      <c r="D49" s="305">
        <v>748</v>
      </c>
      <c r="E49" s="305">
        <v>1496</v>
      </c>
      <c r="F49" s="306">
        <f>D49+E49</f>
        <v>2244</v>
      </c>
      <c r="G49" s="297">
        <v>718</v>
      </c>
      <c r="H49" s="297">
        <v>1355</v>
      </c>
      <c r="I49" s="297">
        <f>G49+H49</f>
        <v>2073</v>
      </c>
      <c r="J49" s="297">
        <v>475</v>
      </c>
      <c r="K49" s="297">
        <v>1117</v>
      </c>
      <c r="L49" s="297">
        <f>J49+K49</f>
        <v>1592</v>
      </c>
      <c r="M49" s="67"/>
      <c r="O49" s="67"/>
    </row>
    <row r="50" spans="2:16" ht="17.25" customHeight="1">
      <c r="B50" s="174" t="s">
        <v>966</v>
      </c>
      <c r="C50" s="485" t="s">
        <v>1194</v>
      </c>
      <c r="D50" s="307">
        <v>449</v>
      </c>
      <c r="E50" s="307">
        <v>1082</v>
      </c>
      <c r="F50" s="306">
        <f>D50+E50</f>
        <v>1531</v>
      </c>
      <c r="G50" s="301">
        <v>444</v>
      </c>
      <c r="H50" s="301">
        <v>1115</v>
      </c>
      <c r="I50" s="301">
        <f>G50+H50</f>
        <v>1559</v>
      </c>
      <c r="J50" s="301">
        <v>317</v>
      </c>
      <c r="K50" s="301">
        <v>797</v>
      </c>
      <c r="L50" s="301">
        <f>J50+K50</f>
        <v>1114</v>
      </c>
      <c r="M50" s="67"/>
      <c r="O50" s="67"/>
    </row>
    <row r="51" spans="2:16" ht="23.25" customHeight="1">
      <c r="B51" s="174" t="s">
        <v>968</v>
      </c>
      <c r="C51" s="1548" t="s">
        <v>1195</v>
      </c>
      <c r="D51" s="307">
        <v>375</v>
      </c>
      <c r="E51" s="307">
        <v>996</v>
      </c>
      <c r="F51" s="306">
        <f>D51+E51</f>
        <v>1371</v>
      </c>
      <c r="G51" s="301">
        <v>115</v>
      </c>
      <c r="H51" s="301">
        <v>396</v>
      </c>
      <c r="I51" s="301">
        <f>G51+H51</f>
        <v>511</v>
      </c>
      <c r="J51" s="301">
        <v>230</v>
      </c>
      <c r="K51" s="301">
        <v>782</v>
      </c>
      <c r="L51" s="301">
        <f>J51+K51</f>
        <v>1012</v>
      </c>
      <c r="M51" s="67"/>
      <c r="O51" s="67"/>
    </row>
    <row r="52" spans="2:16" ht="26.25" customHeight="1">
      <c r="B52" s="207" t="s">
        <v>1196</v>
      </c>
      <c r="C52" s="1548"/>
      <c r="D52" s="365">
        <v>125</v>
      </c>
      <c r="E52" s="365">
        <v>375</v>
      </c>
      <c r="F52" s="365">
        <f>D52+E52</f>
        <v>500</v>
      </c>
      <c r="G52" s="1549"/>
      <c r="H52" s="1550"/>
      <c r="I52" s="1551"/>
      <c r="J52" s="1549"/>
      <c r="K52" s="1550"/>
      <c r="L52" s="1551"/>
      <c r="M52" s="67"/>
      <c r="O52" s="67"/>
    </row>
    <row r="53" spans="2:16" ht="37.799999999999997">
      <c r="B53" s="207" t="s">
        <v>970</v>
      </c>
      <c r="C53" s="485" t="s">
        <v>1197</v>
      </c>
      <c r="D53" s="308">
        <v>0.123</v>
      </c>
      <c r="E53" s="308">
        <v>0.121</v>
      </c>
      <c r="F53" s="308">
        <v>0.122</v>
      </c>
      <c r="G53" s="1552">
        <v>0.11550000000000001</v>
      </c>
      <c r="H53" s="1553"/>
      <c r="I53" s="1554"/>
      <c r="J53" s="1552">
        <v>8.2000000000000003E-2</v>
      </c>
      <c r="K53" s="1553"/>
      <c r="L53" s="1554"/>
      <c r="M53" s="67"/>
      <c r="O53" s="67"/>
    </row>
    <row r="54" spans="2:16" ht="28.5" customHeight="1">
      <c r="B54" s="207" t="s">
        <v>1198</v>
      </c>
      <c r="C54" s="1548" t="s">
        <v>1199</v>
      </c>
      <c r="D54" s="308">
        <v>0.10299999999999999</v>
      </c>
      <c r="E54" s="308">
        <v>0.111</v>
      </c>
      <c r="F54" s="308">
        <v>0.109</v>
      </c>
      <c r="G54" s="1552">
        <v>3.7900000000000003E-2</v>
      </c>
      <c r="H54" s="1553"/>
      <c r="I54" s="1554"/>
      <c r="J54" s="1552">
        <v>7.4999999999999997E-2</v>
      </c>
      <c r="K54" s="1553"/>
      <c r="L54" s="1554"/>
      <c r="M54" s="67"/>
      <c r="O54" s="67"/>
    </row>
    <row r="55" spans="2:16" ht="35.1" customHeight="1">
      <c r="B55" s="207" t="s">
        <v>1200</v>
      </c>
      <c r="C55" s="1548"/>
      <c r="D55" s="366">
        <v>3.4000000000000002E-2</v>
      </c>
      <c r="E55" s="366">
        <v>3.7999999999999999E-2</v>
      </c>
      <c r="F55" s="366">
        <v>3.6999999999999998E-2</v>
      </c>
      <c r="G55" s="1555">
        <v>3.8199999999999998E-2</v>
      </c>
      <c r="H55" s="1556"/>
      <c r="I55" s="1557"/>
      <c r="J55" s="1558">
        <v>7.5999999999999998E-2</v>
      </c>
      <c r="K55" s="1559"/>
      <c r="L55" s="1560"/>
      <c r="M55" s="67"/>
      <c r="O55" s="67"/>
    </row>
    <row r="56" spans="2:16" ht="30" customHeight="1">
      <c r="B56" s="207" t="s">
        <v>1201</v>
      </c>
      <c r="C56" s="1561" t="s">
        <v>1202</v>
      </c>
      <c r="D56" s="308">
        <f>D53+D54</f>
        <v>0.22599999999999998</v>
      </c>
      <c r="E56" s="308">
        <f>E53+E54</f>
        <v>0.23199999999999998</v>
      </c>
      <c r="F56" s="308">
        <f>F53+F54</f>
        <v>0.23099999999999998</v>
      </c>
      <c r="G56" s="1563">
        <f>G53+G54</f>
        <v>0.15340000000000001</v>
      </c>
      <c r="H56" s="1564"/>
      <c r="I56" s="1565"/>
      <c r="J56" s="1563">
        <f>J53+J54</f>
        <v>0.157</v>
      </c>
      <c r="K56" s="1564"/>
      <c r="L56" s="1565"/>
      <c r="M56" s="67"/>
      <c r="O56" s="67"/>
    </row>
    <row r="57" spans="2:16" ht="30" customHeight="1">
      <c r="B57" s="207" t="s">
        <v>1203</v>
      </c>
      <c r="C57" s="1562"/>
      <c r="D57" s="366">
        <f>D53+D55</f>
        <v>0.157</v>
      </c>
      <c r="E57" s="366">
        <f>E53+E55</f>
        <v>0.159</v>
      </c>
      <c r="F57" s="366">
        <f>F53+F55</f>
        <v>0.159</v>
      </c>
      <c r="G57" s="1555">
        <f>G53+G55</f>
        <v>0.1537</v>
      </c>
      <c r="H57" s="1556"/>
      <c r="I57" s="1557"/>
      <c r="J57" s="1555">
        <f>J53+J55</f>
        <v>0.158</v>
      </c>
      <c r="K57" s="1556"/>
      <c r="L57" s="1557"/>
      <c r="M57" s="67"/>
      <c r="O57" s="67"/>
    </row>
    <row r="58" spans="2:16">
      <c r="B58" s="68" t="s">
        <v>1204</v>
      </c>
      <c r="C58" s="102"/>
      <c r="D58" s="69"/>
      <c r="E58" s="69"/>
      <c r="F58" s="69"/>
      <c r="G58" s="69"/>
      <c r="H58" s="69"/>
      <c r="I58" s="69"/>
      <c r="J58" s="69"/>
      <c r="K58" s="69"/>
      <c r="L58" s="69"/>
      <c r="M58" s="69"/>
      <c r="O58" s="67"/>
      <c r="P58" s="67"/>
    </row>
    <row r="59" spans="2:16">
      <c r="B59" s="67"/>
      <c r="C59" s="67"/>
      <c r="D59" s="67"/>
      <c r="E59" s="67"/>
      <c r="F59" s="67"/>
      <c r="G59" s="67"/>
      <c r="H59" s="67"/>
      <c r="I59" s="67"/>
      <c r="J59" s="67"/>
      <c r="K59" s="67"/>
      <c r="L59" s="67"/>
      <c r="M59" s="67"/>
      <c r="O59" s="67"/>
    </row>
    <row r="60" spans="2:16" s="87" customFormat="1" ht="17.399999999999999" hidden="1" customHeight="1">
      <c r="B60" s="81" t="s">
        <v>1205</v>
      </c>
      <c r="C60" s="82" t="s">
        <v>1177</v>
      </c>
      <c r="D60" s="83" t="s">
        <v>546</v>
      </c>
      <c r="E60" s="83" t="s">
        <v>547</v>
      </c>
      <c r="F60" s="83" t="s">
        <v>548</v>
      </c>
      <c r="G60" s="84"/>
      <c r="H60" s="85"/>
      <c r="I60" s="85"/>
      <c r="J60" s="84"/>
      <c r="K60" s="85"/>
      <c r="L60" s="85"/>
      <c r="M60" s="86"/>
      <c r="O60" s="86"/>
    </row>
    <row r="61" spans="2:16" s="87" customFormat="1" ht="17.399999999999999" hidden="1" customHeight="1">
      <c r="B61" s="88" t="s">
        <v>1206</v>
      </c>
      <c r="C61" s="82"/>
      <c r="D61" s="89"/>
      <c r="E61" s="89"/>
      <c r="F61" s="89"/>
      <c r="G61" s="84"/>
      <c r="H61" s="85"/>
      <c r="I61" s="85"/>
      <c r="J61" s="84"/>
      <c r="K61" s="85"/>
      <c r="L61" s="85"/>
      <c r="M61" s="86"/>
      <c r="O61" s="86"/>
    </row>
    <row r="62" spans="2:16" s="87" customFormat="1" ht="17.399999999999999" hidden="1" customHeight="1">
      <c r="B62" s="90" t="s">
        <v>910</v>
      </c>
      <c r="C62" s="1545" t="s">
        <v>1207</v>
      </c>
      <c r="D62" s="91"/>
      <c r="E62" s="91"/>
      <c r="F62" s="91"/>
      <c r="G62" s="86"/>
      <c r="H62" s="86"/>
      <c r="I62" s="86"/>
      <c r="J62" s="86"/>
      <c r="K62" s="86"/>
      <c r="L62" s="86"/>
      <c r="M62" s="86"/>
      <c r="O62" s="86"/>
    </row>
    <row r="63" spans="2:16" s="87" customFormat="1" ht="17.399999999999999" hidden="1" customHeight="1">
      <c r="B63" s="90" t="s">
        <v>911</v>
      </c>
      <c r="C63" s="1545"/>
      <c r="D63" s="91"/>
      <c r="E63" s="91"/>
      <c r="F63" s="91"/>
      <c r="G63" s="86"/>
      <c r="H63" s="86"/>
      <c r="I63" s="86"/>
      <c r="J63" s="86"/>
      <c r="K63" s="86"/>
      <c r="L63" s="86"/>
      <c r="M63" s="86"/>
      <c r="O63" s="86"/>
    </row>
    <row r="64" spans="2:16" s="87" customFormat="1" ht="17.399999999999999" hidden="1" customHeight="1">
      <c r="B64" s="90" t="s">
        <v>912</v>
      </c>
      <c r="C64" s="1545"/>
      <c r="D64" s="91"/>
      <c r="E64" s="91"/>
      <c r="F64" s="91"/>
      <c r="G64" s="86"/>
      <c r="H64" s="86"/>
      <c r="I64" s="86"/>
      <c r="J64" s="86"/>
      <c r="K64" s="86"/>
      <c r="L64" s="86"/>
      <c r="M64" s="86"/>
      <c r="O64" s="86"/>
    </row>
    <row r="65" spans="2:15" s="87" customFormat="1" ht="17.399999999999999" hidden="1" customHeight="1">
      <c r="B65" s="90" t="s">
        <v>913</v>
      </c>
      <c r="C65" s="1545"/>
      <c r="D65" s="91"/>
      <c r="E65" s="91"/>
      <c r="F65" s="91"/>
      <c r="G65" s="86"/>
      <c r="H65" s="86"/>
      <c r="I65" s="86"/>
      <c r="J65" s="86"/>
      <c r="K65" s="86"/>
      <c r="L65" s="86"/>
      <c r="M65" s="86"/>
      <c r="O65" s="86"/>
    </row>
    <row r="66" spans="2:15" s="87" customFormat="1" ht="17.399999999999999" hidden="1" customHeight="1">
      <c r="B66" s="90" t="s">
        <v>914</v>
      </c>
      <c r="C66" s="1545"/>
      <c r="D66" s="91"/>
      <c r="E66" s="91"/>
      <c r="F66" s="91"/>
      <c r="G66" s="86"/>
      <c r="H66" s="86"/>
      <c r="I66" s="86"/>
      <c r="J66" s="86"/>
      <c r="K66" s="86"/>
      <c r="L66" s="86"/>
      <c r="M66" s="86"/>
      <c r="O66" s="86"/>
    </row>
    <row r="67" spans="2:15" s="87" customFormat="1" ht="17.399999999999999" hidden="1" customHeight="1">
      <c r="B67" s="92" t="s">
        <v>915</v>
      </c>
      <c r="C67" s="1545"/>
      <c r="D67" s="91">
        <f>SUM(D62:D66)</f>
        <v>0</v>
      </c>
      <c r="E67" s="91">
        <f>SUM(E62:E66)</f>
        <v>0</v>
      </c>
      <c r="F67" s="91">
        <f>SUM(F62:F66)</f>
        <v>0</v>
      </c>
      <c r="G67" s="86"/>
      <c r="H67" s="86"/>
      <c r="I67" s="86"/>
      <c r="J67" s="86"/>
      <c r="K67" s="86"/>
      <c r="L67" s="86"/>
      <c r="M67" s="86"/>
      <c r="O67" s="86"/>
    </row>
    <row r="68" spans="2:15" s="87" customFormat="1" ht="17.399999999999999" hidden="1" customHeight="1">
      <c r="B68" s="93" t="s">
        <v>1208</v>
      </c>
      <c r="C68" s="487"/>
      <c r="D68" s="91"/>
      <c r="E68" s="91"/>
      <c r="F68" s="91"/>
      <c r="G68" s="86"/>
      <c r="H68" s="86"/>
      <c r="I68" s="86"/>
      <c r="J68" s="86"/>
      <c r="K68" s="86"/>
      <c r="L68" s="86"/>
      <c r="M68" s="86"/>
      <c r="O68" s="86"/>
    </row>
    <row r="69" spans="2:15" s="87" customFormat="1" ht="17.399999999999999" hidden="1" customHeight="1">
      <c r="B69" s="90" t="s">
        <v>910</v>
      </c>
      <c r="C69" s="1545" t="s">
        <v>1209</v>
      </c>
      <c r="D69" s="91">
        <v>376</v>
      </c>
      <c r="E69" s="91"/>
      <c r="F69" s="91"/>
      <c r="G69" s="86"/>
      <c r="H69" s="86"/>
      <c r="I69" s="86"/>
      <c r="J69" s="86"/>
      <c r="K69" s="86"/>
      <c r="L69" s="86"/>
      <c r="M69" s="86"/>
      <c r="O69" s="86"/>
    </row>
    <row r="70" spans="2:15" s="87" customFormat="1" ht="17.399999999999999" hidden="1" customHeight="1">
      <c r="B70" s="90" t="s">
        <v>911</v>
      </c>
      <c r="C70" s="1545"/>
      <c r="D70" s="91">
        <v>316</v>
      </c>
      <c r="E70" s="91"/>
      <c r="F70" s="91"/>
      <c r="G70" s="86"/>
      <c r="H70" s="86"/>
      <c r="I70" s="86"/>
      <c r="J70" s="86"/>
      <c r="K70" s="86"/>
      <c r="L70" s="86"/>
      <c r="M70" s="86"/>
      <c r="O70" s="86"/>
    </row>
    <row r="71" spans="2:15" s="87" customFormat="1" ht="17.399999999999999" hidden="1" customHeight="1">
      <c r="B71" s="90" t="s">
        <v>912</v>
      </c>
      <c r="C71" s="1545"/>
      <c r="D71" s="91">
        <v>72</v>
      </c>
      <c r="E71" s="91"/>
      <c r="F71" s="91"/>
      <c r="G71" s="86"/>
      <c r="H71" s="86"/>
      <c r="I71" s="86"/>
      <c r="J71" s="86"/>
      <c r="K71" s="86"/>
      <c r="L71" s="86"/>
      <c r="M71" s="86"/>
      <c r="O71" s="86"/>
    </row>
    <row r="72" spans="2:15" s="87" customFormat="1" ht="17.399999999999999" hidden="1" customHeight="1">
      <c r="B72" s="90" t="s">
        <v>913</v>
      </c>
      <c r="C72" s="1545"/>
      <c r="D72" s="91">
        <v>142</v>
      </c>
      <c r="E72" s="91"/>
      <c r="F72" s="91"/>
      <c r="G72" s="86"/>
      <c r="H72" s="86"/>
      <c r="I72" s="86"/>
      <c r="J72" s="86"/>
      <c r="K72" s="86"/>
      <c r="L72" s="86"/>
      <c r="M72" s="86"/>
      <c r="O72" s="86"/>
    </row>
    <row r="73" spans="2:15" s="87" customFormat="1" ht="17.399999999999999" hidden="1" customHeight="1">
      <c r="B73" s="90" t="s">
        <v>914</v>
      </c>
      <c r="C73" s="1545"/>
      <c r="D73" s="91">
        <v>43</v>
      </c>
      <c r="E73" s="91"/>
      <c r="F73" s="91"/>
      <c r="G73" s="86"/>
      <c r="H73" s="86"/>
      <c r="I73" s="86"/>
      <c r="J73" s="86"/>
      <c r="K73" s="86"/>
      <c r="L73" s="86"/>
      <c r="M73" s="86"/>
      <c r="O73" s="86"/>
    </row>
    <row r="74" spans="2:15" s="87" customFormat="1" ht="17.399999999999999" hidden="1" customHeight="1">
      <c r="B74" s="92" t="s">
        <v>915</v>
      </c>
      <c r="C74" s="1545"/>
      <c r="D74" s="91">
        <f>SUM(D69:D73)</f>
        <v>949</v>
      </c>
      <c r="E74" s="91">
        <f>SUM(E69:E73)</f>
        <v>0</v>
      </c>
      <c r="F74" s="91">
        <f>SUM(F69:F73)</f>
        <v>0</v>
      </c>
      <c r="G74" s="86"/>
      <c r="H74" s="86"/>
      <c r="I74" s="86"/>
      <c r="J74" s="86"/>
      <c r="K74" s="86"/>
      <c r="L74" s="86"/>
      <c r="M74" s="86"/>
      <c r="O74" s="86"/>
    </row>
    <row r="75" spans="2:15" s="87" customFormat="1" ht="17.399999999999999" hidden="1" customHeight="1">
      <c r="B75" s="93" t="s">
        <v>1210</v>
      </c>
      <c r="C75" s="487"/>
      <c r="D75" s="91"/>
      <c r="E75" s="91"/>
      <c r="F75" s="91"/>
      <c r="G75" s="86"/>
      <c r="H75" s="86"/>
      <c r="I75" s="86"/>
      <c r="J75" s="86"/>
      <c r="K75" s="86"/>
      <c r="L75" s="86"/>
      <c r="M75" s="86"/>
      <c r="O75" s="86"/>
    </row>
    <row r="76" spans="2:15" s="87" customFormat="1" ht="17.399999999999999" hidden="1" customHeight="1">
      <c r="B76" s="90" t="s">
        <v>910</v>
      </c>
      <c r="C76" s="1545" t="s">
        <v>1211</v>
      </c>
      <c r="D76" s="91"/>
      <c r="E76" s="91"/>
      <c r="F76" s="91"/>
      <c r="G76" s="86"/>
      <c r="H76" s="86"/>
      <c r="I76" s="86"/>
      <c r="J76" s="86"/>
      <c r="K76" s="86"/>
      <c r="L76" s="86"/>
      <c r="M76" s="86"/>
      <c r="O76" s="86"/>
    </row>
    <row r="77" spans="2:15" s="87" customFormat="1" ht="17.399999999999999" hidden="1" customHeight="1">
      <c r="B77" s="90" t="s">
        <v>911</v>
      </c>
      <c r="C77" s="1545"/>
      <c r="D77" s="91"/>
      <c r="E77" s="91"/>
      <c r="F77" s="91"/>
      <c r="G77" s="86"/>
      <c r="H77" s="86"/>
      <c r="I77" s="86"/>
      <c r="J77" s="86"/>
      <c r="K77" s="86"/>
      <c r="L77" s="86"/>
      <c r="M77" s="86"/>
      <c r="O77" s="86"/>
    </row>
    <row r="78" spans="2:15" s="87" customFormat="1" ht="17.399999999999999" hidden="1" customHeight="1">
      <c r="B78" s="90" t="s">
        <v>912</v>
      </c>
      <c r="C78" s="1545"/>
      <c r="D78" s="91"/>
      <c r="E78" s="91"/>
      <c r="F78" s="91"/>
      <c r="G78" s="86"/>
      <c r="H78" s="86"/>
      <c r="I78" s="86"/>
      <c r="J78" s="86"/>
      <c r="K78" s="86"/>
      <c r="L78" s="86"/>
      <c r="M78" s="86"/>
      <c r="O78" s="86"/>
    </row>
    <row r="79" spans="2:15" s="87" customFormat="1" ht="17.399999999999999" hidden="1" customHeight="1">
      <c r="B79" s="90" t="s">
        <v>913</v>
      </c>
      <c r="C79" s="1545"/>
      <c r="D79" s="91"/>
      <c r="E79" s="91"/>
      <c r="F79" s="91"/>
      <c r="G79" s="86"/>
      <c r="H79" s="86"/>
      <c r="I79" s="86"/>
      <c r="J79" s="86"/>
      <c r="K79" s="86"/>
      <c r="L79" s="86"/>
      <c r="M79" s="86"/>
      <c r="O79" s="86"/>
    </row>
    <row r="80" spans="2:15" s="87" customFormat="1" ht="17.399999999999999" hidden="1" customHeight="1">
      <c r="B80" s="90" t="s">
        <v>914</v>
      </c>
      <c r="C80" s="1545"/>
      <c r="D80" s="91"/>
      <c r="E80" s="91"/>
      <c r="F80" s="91"/>
      <c r="G80" s="86"/>
      <c r="H80" s="86"/>
      <c r="I80" s="86"/>
      <c r="J80" s="86"/>
      <c r="K80" s="86"/>
      <c r="L80" s="86"/>
      <c r="M80" s="86"/>
      <c r="O80" s="86"/>
    </row>
    <row r="81" spans="1:15" s="87" customFormat="1" ht="17.399999999999999" hidden="1" customHeight="1">
      <c r="B81" s="92" t="s">
        <v>915</v>
      </c>
      <c r="C81" s="1545"/>
      <c r="D81" s="91">
        <f>SUM(D76:D80)</f>
        <v>0</v>
      </c>
      <c r="E81" s="91">
        <f>SUM(E76:E80)</f>
        <v>0</v>
      </c>
      <c r="F81" s="91">
        <f>SUM(F76:F80)</f>
        <v>0</v>
      </c>
      <c r="G81" s="86"/>
      <c r="H81" s="86"/>
      <c r="I81" s="86"/>
      <c r="J81" s="86"/>
      <c r="K81" s="86"/>
      <c r="L81" s="86"/>
      <c r="M81" s="86"/>
      <c r="O81" s="86"/>
    </row>
    <row r="82" spans="1:15" s="87" customFormat="1" ht="17.399999999999999" hidden="1" customHeight="1">
      <c r="B82" s="94" t="s">
        <v>1212</v>
      </c>
      <c r="C82" s="487"/>
      <c r="D82" s="91">
        <f>D67+D74+D81</f>
        <v>949</v>
      </c>
      <c r="E82" s="91">
        <f>E67+E74+E81</f>
        <v>0</v>
      </c>
      <c r="F82" s="91">
        <f>F67+F74+F81</f>
        <v>0</v>
      </c>
      <c r="G82" s="86"/>
      <c r="H82" s="86"/>
      <c r="I82" s="86"/>
      <c r="J82" s="86"/>
      <c r="K82" s="86"/>
      <c r="L82" s="86"/>
      <c r="M82" s="86"/>
      <c r="O82" s="86"/>
    </row>
    <row r="83" spans="1:15" ht="23.1" customHeight="1">
      <c r="A83" s="1546" t="s">
        <v>1213</v>
      </c>
      <c r="B83" s="314" t="s">
        <v>1205</v>
      </c>
      <c r="C83" s="316" t="s">
        <v>1177</v>
      </c>
      <c r="D83" s="491" t="s">
        <v>546</v>
      </c>
      <c r="E83" s="491" t="s">
        <v>547</v>
      </c>
      <c r="F83" s="491" t="s">
        <v>548</v>
      </c>
      <c r="G83" s="67"/>
      <c r="H83" s="67"/>
      <c r="I83" s="67"/>
      <c r="J83" s="67"/>
      <c r="K83" s="67"/>
      <c r="L83" s="67"/>
      <c r="M83" s="67"/>
      <c r="O83" s="67"/>
    </row>
    <row r="84" spans="1:15">
      <c r="A84" s="1546"/>
      <c r="B84" s="294" t="s">
        <v>910</v>
      </c>
      <c r="C84" s="1547" t="s">
        <v>1214</v>
      </c>
      <c r="D84" s="309">
        <v>376</v>
      </c>
      <c r="E84" s="310"/>
      <c r="F84" s="310"/>
      <c r="G84" s="67"/>
      <c r="H84" s="67"/>
      <c r="I84" s="67"/>
      <c r="J84" s="67"/>
      <c r="K84" s="67"/>
      <c r="L84" s="67"/>
      <c r="M84" s="67"/>
      <c r="O84" s="67"/>
    </row>
    <row r="85" spans="1:15">
      <c r="A85" s="1546"/>
      <c r="B85" s="294" t="s">
        <v>911</v>
      </c>
      <c r="C85" s="1547"/>
      <c r="D85" s="309">
        <v>316</v>
      </c>
      <c r="E85" s="310"/>
      <c r="F85" s="310"/>
      <c r="G85" s="67"/>
      <c r="H85" s="67"/>
      <c r="I85" s="67"/>
      <c r="J85" s="67"/>
      <c r="K85" s="67"/>
      <c r="L85" s="67"/>
      <c r="M85" s="67"/>
      <c r="O85" s="67"/>
    </row>
    <row r="86" spans="1:15">
      <c r="A86" s="1546"/>
      <c r="B86" s="294" t="s">
        <v>912</v>
      </c>
      <c r="C86" s="1547"/>
      <c r="D86" s="309">
        <v>72</v>
      </c>
      <c r="E86" s="310"/>
      <c r="F86" s="310"/>
      <c r="G86" s="67"/>
      <c r="H86" s="67"/>
      <c r="I86" s="67"/>
      <c r="J86" s="67"/>
      <c r="K86" s="67"/>
      <c r="L86" s="67"/>
      <c r="M86" s="67"/>
      <c r="O86" s="67"/>
    </row>
    <row r="87" spans="1:15">
      <c r="A87" s="1546"/>
      <c r="B87" s="294" t="s">
        <v>913</v>
      </c>
      <c r="C87" s="1547"/>
      <c r="D87" s="309">
        <v>142</v>
      </c>
      <c r="E87" s="310"/>
      <c r="F87" s="310"/>
      <c r="G87" s="67"/>
      <c r="H87" s="67"/>
      <c r="I87" s="67"/>
      <c r="J87" s="67"/>
      <c r="K87" s="67"/>
      <c r="L87" s="67"/>
      <c r="M87" s="67"/>
      <c r="O87" s="67"/>
    </row>
    <row r="88" spans="1:15">
      <c r="A88" s="1546"/>
      <c r="B88" s="294" t="s">
        <v>914</v>
      </c>
      <c r="C88" s="1547"/>
      <c r="D88" s="309">
        <v>43</v>
      </c>
      <c r="E88" s="310"/>
      <c r="F88" s="310"/>
      <c r="G88" s="67"/>
      <c r="H88" s="67"/>
      <c r="I88" s="67"/>
      <c r="J88" s="67"/>
      <c r="K88" s="67"/>
      <c r="L88" s="67"/>
      <c r="M88" s="67"/>
      <c r="O88" s="67"/>
    </row>
    <row r="89" spans="1:15">
      <c r="A89" s="1546"/>
      <c r="B89" s="295" t="s">
        <v>915</v>
      </c>
      <c r="C89" s="1547"/>
      <c r="D89" s="309">
        <f>SUM(D84:D88)</f>
        <v>949</v>
      </c>
      <c r="E89" s="310">
        <f>SUM(E84:E88)</f>
        <v>0</v>
      </c>
      <c r="F89" s="310">
        <f>SUM(F84:F88)</f>
        <v>0</v>
      </c>
      <c r="G89" s="67"/>
      <c r="H89" s="67"/>
      <c r="I89" s="67"/>
      <c r="J89" s="67"/>
      <c r="K89" s="67"/>
      <c r="L89" s="67"/>
      <c r="M89" s="67"/>
      <c r="O89" s="67"/>
    </row>
    <row r="90" spans="1:15">
      <c r="C90" s="70"/>
      <c r="D90" s="486"/>
      <c r="E90" s="486"/>
      <c r="F90" s="486"/>
      <c r="G90" s="67"/>
      <c r="H90" s="67"/>
      <c r="I90" s="67"/>
      <c r="J90" s="67"/>
      <c r="K90" s="67"/>
      <c r="L90" s="67"/>
      <c r="M90" s="67"/>
      <c r="O90" s="67"/>
    </row>
    <row r="91" spans="1:15" ht="17.399999999999999">
      <c r="B91" s="489" t="s">
        <v>1215</v>
      </c>
      <c r="C91" s="316" t="s">
        <v>1177</v>
      </c>
      <c r="D91" s="288" t="s">
        <v>546</v>
      </c>
      <c r="E91" s="288" t="s">
        <v>547</v>
      </c>
      <c r="F91" s="288" t="s">
        <v>548</v>
      </c>
      <c r="G91" s="67"/>
      <c r="H91" s="67"/>
      <c r="I91" s="67"/>
      <c r="J91" s="67"/>
      <c r="K91" s="67"/>
      <c r="L91" s="67"/>
      <c r="M91" s="67"/>
      <c r="O91" s="67"/>
    </row>
    <row r="92" spans="1:15" ht="25.2">
      <c r="B92" s="333" t="s">
        <v>1216</v>
      </c>
      <c r="C92" s="311" t="s">
        <v>1217</v>
      </c>
      <c r="D92" s="360">
        <f>D89+F28</f>
        <v>13587</v>
      </c>
      <c r="E92" s="360">
        <f>E89+I28</f>
        <v>13430</v>
      </c>
      <c r="F92" s="361">
        <f>F89+L28</f>
        <v>13641</v>
      </c>
      <c r="G92" s="67"/>
      <c r="H92" s="67"/>
      <c r="I92" s="67"/>
      <c r="J92" s="67"/>
      <c r="K92" s="67"/>
      <c r="L92" s="67"/>
      <c r="M92" s="67"/>
      <c r="O92" s="67"/>
    </row>
    <row r="93" spans="1:15">
      <c r="B93" s="174" t="s">
        <v>1218</v>
      </c>
      <c r="C93" s="313" t="s">
        <v>1183</v>
      </c>
      <c r="D93" s="179">
        <v>12666</v>
      </c>
      <c r="E93" s="179">
        <v>13497</v>
      </c>
      <c r="F93" s="179">
        <v>13546</v>
      </c>
      <c r="G93" s="67"/>
      <c r="H93" s="67"/>
      <c r="I93" s="67"/>
      <c r="J93" s="67"/>
      <c r="K93" s="67"/>
      <c r="L93" s="67"/>
      <c r="M93" s="67"/>
      <c r="O93" s="67"/>
    </row>
    <row r="94" spans="1:15">
      <c r="B94" s="174" t="s">
        <v>1219</v>
      </c>
      <c r="C94" s="313" t="s">
        <v>1183</v>
      </c>
      <c r="D94" s="322">
        <v>12510</v>
      </c>
      <c r="E94" s="355"/>
      <c r="F94" s="355"/>
      <c r="G94" s="67"/>
      <c r="H94" s="67"/>
      <c r="I94" s="67"/>
      <c r="J94" s="67"/>
      <c r="K94" s="67"/>
      <c r="L94" s="67"/>
      <c r="M94" s="67"/>
      <c r="O94" s="67"/>
    </row>
    <row r="95" spans="1:15">
      <c r="B95" s="67"/>
      <c r="C95" s="67"/>
      <c r="D95" s="67"/>
      <c r="E95" s="67"/>
      <c r="F95" s="67"/>
      <c r="G95" s="67"/>
      <c r="H95" s="67"/>
      <c r="I95" s="67"/>
      <c r="J95" s="67"/>
      <c r="K95" s="67"/>
      <c r="L95" s="67"/>
      <c r="M95" s="67"/>
      <c r="O95" s="67"/>
    </row>
    <row r="96" spans="1:15" ht="17.399999999999999">
      <c r="B96" s="489" t="s">
        <v>1220</v>
      </c>
      <c r="C96" s="316" t="s">
        <v>1177</v>
      </c>
      <c r="D96" s="1540" t="s">
        <v>546</v>
      </c>
      <c r="E96" s="1540"/>
      <c r="F96" s="1540"/>
      <c r="G96" s="1540" t="s">
        <v>547</v>
      </c>
      <c r="H96" s="1540"/>
      <c r="I96" s="1540"/>
      <c r="J96" s="1540" t="s">
        <v>548</v>
      </c>
      <c r="K96" s="1540"/>
      <c r="L96" s="1541"/>
      <c r="M96" s="67"/>
      <c r="O96" s="67"/>
    </row>
    <row r="97" spans="1:15" ht="25.2">
      <c r="B97" s="291" t="s">
        <v>905</v>
      </c>
      <c r="C97" s="292" t="s">
        <v>1180</v>
      </c>
      <c r="D97" s="293" t="s">
        <v>906</v>
      </c>
      <c r="E97" s="293" t="s">
        <v>907</v>
      </c>
      <c r="F97" s="293" t="s">
        <v>709</v>
      </c>
      <c r="G97" s="293" t="s">
        <v>906</v>
      </c>
      <c r="H97" s="293" t="s">
        <v>907</v>
      </c>
      <c r="I97" s="293" t="s">
        <v>709</v>
      </c>
      <c r="J97" s="293" t="s">
        <v>906</v>
      </c>
      <c r="K97" s="293" t="s">
        <v>907</v>
      </c>
      <c r="L97" s="327" t="s">
        <v>709</v>
      </c>
      <c r="M97" s="67"/>
      <c r="O97" s="67"/>
    </row>
    <row r="98" spans="1:15">
      <c r="A98" s="80"/>
      <c r="B98" s="199" t="s">
        <v>902</v>
      </c>
      <c r="C98" s="296"/>
      <c r="D98" s="484"/>
      <c r="E98" s="484"/>
      <c r="F98" s="484"/>
      <c r="G98" s="484"/>
      <c r="H98" s="484"/>
      <c r="I98" s="484"/>
      <c r="J98" s="484"/>
      <c r="K98" s="484"/>
      <c r="L98" s="484"/>
      <c r="M98" s="67"/>
      <c r="O98" s="67"/>
    </row>
    <row r="99" spans="1:15">
      <c r="A99" s="80"/>
      <c r="B99" s="294" t="s">
        <v>910</v>
      </c>
      <c r="C99" s="1542" t="s">
        <v>1221</v>
      </c>
      <c r="D99" s="1543">
        <v>289</v>
      </c>
      <c r="E99" s="1543">
        <v>270</v>
      </c>
      <c r="F99" s="1543">
        <f>SUM(D99:E99)</f>
        <v>559</v>
      </c>
      <c r="G99" s="1530">
        <v>342</v>
      </c>
      <c r="H99" s="1530">
        <v>407</v>
      </c>
      <c r="I99" s="1530">
        <f>SUM(G99:H99)</f>
        <v>749</v>
      </c>
      <c r="J99" s="1530">
        <v>258</v>
      </c>
      <c r="K99" s="1530">
        <v>476</v>
      </c>
      <c r="L99" s="1530">
        <v>734</v>
      </c>
      <c r="M99" s="67"/>
      <c r="O99" s="67"/>
    </row>
    <row r="100" spans="1:15">
      <c r="A100" s="80"/>
      <c r="B100" s="294" t="s">
        <v>911</v>
      </c>
      <c r="C100" s="1542"/>
      <c r="D100" s="1544"/>
      <c r="E100" s="1544"/>
      <c r="F100" s="1544"/>
      <c r="G100" s="1530"/>
      <c r="H100" s="1530"/>
      <c r="I100" s="1530"/>
      <c r="J100" s="1530"/>
      <c r="K100" s="1530"/>
      <c r="L100" s="1530"/>
      <c r="M100" s="67"/>
      <c r="O100" s="67"/>
    </row>
    <row r="101" spans="1:15">
      <c r="A101" s="80"/>
      <c r="B101" s="294" t="s">
        <v>912</v>
      </c>
      <c r="C101" s="1542"/>
      <c r="D101" s="300">
        <v>21</v>
      </c>
      <c r="E101" s="300">
        <v>49</v>
      </c>
      <c r="F101" s="300">
        <f>SUM(D101:E101)</f>
        <v>70</v>
      </c>
      <c r="G101" s="484">
        <v>3</v>
      </c>
      <c r="H101" s="484">
        <v>8</v>
      </c>
      <c r="I101" s="484">
        <f>SUM(G101:H101)</f>
        <v>11</v>
      </c>
      <c r="J101" s="484">
        <v>12</v>
      </c>
      <c r="K101" s="484">
        <v>26</v>
      </c>
      <c r="L101" s="484">
        <v>38</v>
      </c>
      <c r="M101" s="67"/>
      <c r="O101" s="67"/>
    </row>
    <row r="102" spans="1:15">
      <c r="A102" s="80"/>
      <c r="B102" s="294" t="s">
        <v>913</v>
      </c>
      <c r="C102" s="1542"/>
      <c r="D102" s="300">
        <v>16</v>
      </c>
      <c r="E102" s="300">
        <v>235</v>
      </c>
      <c r="F102" s="300">
        <f>SUM(D102:E102)</f>
        <v>251</v>
      </c>
      <c r="G102" s="484">
        <v>18</v>
      </c>
      <c r="H102" s="484">
        <v>124</v>
      </c>
      <c r="I102" s="484">
        <f>SUM(G102:H102)</f>
        <v>142</v>
      </c>
      <c r="J102" s="484">
        <v>34</v>
      </c>
      <c r="K102" s="484">
        <v>135</v>
      </c>
      <c r="L102" s="484">
        <v>169</v>
      </c>
      <c r="M102" s="67"/>
      <c r="O102" s="67"/>
    </row>
    <row r="103" spans="1:15">
      <c r="A103" s="80"/>
      <c r="B103" s="294" t="s">
        <v>914</v>
      </c>
      <c r="C103" s="1542"/>
      <c r="D103" s="300">
        <v>1</v>
      </c>
      <c r="E103" s="300">
        <v>4</v>
      </c>
      <c r="F103" s="300">
        <f>SUM(D103:E103)</f>
        <v>5</v>
      </c>
      <c r="G103" s="484">
        <v>4</v>
      </c>
      <c r="H103" s="484">
        <v>9</v>
      </c>
      <c r="I103" s="484">
        <f>SUM(G103:H103)</f>
        <v>13</v>
      </c>
      <c r="J103" s="484">
        <v>1</v>
      </c>
      <c r="K103" s="484"/>
      <c r="L103" s="484">
        <v>1</v>
      </c>
      <c r="M103" s="67"/>
      <c r="O103" s="67"/>
    </row>
    <row r="104" spans="1:15">
      <c r="A104" s="80"/>
      <c r="B104" s="295" t="s">
        <v>915</v>
      </c>
      <c r="C104" s="1542"/>
      <c r="D104" s="300">
        <f t="shared" ref="D104:L104" si="14">SUM(D99:D103)</f>
        <v>327</v>
      </c>
      <c r="E104" s="300">
        <f t="shared" si="14"/>
        <v>558</v>
      </c>
      <c r="F104" s="300">
        <f t="shared" si="14"/>
        <v>885</v>
      </c>
      <c r="G104" s="484">
        <f t="shared" si="14"/>
        <v>367</v>
      </c>
      <c r="H104" s="484">
        <f t="shared" si="14"/>
        <v>548</v>
      </c>
      <c r="I104" s="484">
        <f t="shared" si="14"/>
        <v>915</v>
      </c>
      <c r="J104" s="484">
        <f t="shared" si="14"/>
        <v>305</v>
      </c>
      <c r="K104" s="484">
        <f t="shared" si="14"/>
        <v>637</v>
      </c>
      <c r="L104" s="484">
        <f t="shared" si="14"/>
        <v>942</v>
      </c>
      <c r="M104" s="67"/>
      <c r="O104" s="67"/>
    </row>
    <row r="105" spans="1:15">
      <c r="B105" s="67"/>
      <c r="C105" s="67"/>
      <c r="D105" s="67"/>
      <c r="E105" s="67"/>
      <c r="F105" s="67"/>
      <c r="G105" s="67"/>
      <c r="H105" s="67"/>
      <c r="I105" s="67"/>
      <c r="J105" s="67"/>
      <c r="K105" s="67"/>
      <c r="L105" s="67"/>
      <c r="M105" s="67"/>
      <c r="O105" s="67"/>
    </row>
    <row r="106" spans="1:15">
      <c r="B106" s="1531" t="s">
        <v>975</v>
      </c>
      <c r="C106" s="1533" t="s">
        <v>1177</v>
      </c>
      <c r="D106" s="1535" t="s">
        <v>546</v>
      </c>
      <c r="E106" s="1536"/>
      <c r="F106" s="1537"/>
      <c r="G106" s="1538" t="s">
        <v>547</v>
      </c>
      <c r="H106" s="1539"/>
      <c r="I106" s="1538" t="s">
        <v>548</v>
      </c>
      <c r="J106" s="1539"/>
      <c r="K106" s="69"/>
      <c r="L106" s="69"/>
      <c r="M106" s="69"/>
      <c r="O106" s="69"/>
    </row>
    <row r="107" spans="1:15" ht="82.8">
      <c r="B107" s="1532"/>
      <c r="C107" s="1534"/>
      <c r="D107" s="439" t="s">
        <v>1222</v>
      </c>
      <c r="E107" s="492" t="s">
        <v>977</v>
      </c>
      <c r="F107" s="492" t="s">
        <v>978</v>
      </c>
      <c r="G107" s="492" t="s">
        <v>977</v>
      </c>
      <c r="H107" s="492" t="s">
        <v>978</v>
      </c>
      <c r="I107" s="492" t="s">
        <v>977</v>
      </c>
      <c r="J107" s="492" t="s">
        <v>978</v>
      </c>
      <c r="K107" s="69"/>
      <c r="L107" s="69"/>
      <c r="O107" s="69"/>
    </row>
    <row r="108" spans="1:15">
      <c r="B108" s="424" t="s">
        <v>910</v>
      </c>
      <c r="C108" s="1521" t="s">
        <v>1223</v>
      </c>
      <c r="D108" s="440">
        <v>4162</v>
      </c>
      <c r="E108" s="437">
        <v>893</v>
      </c>
      <c r="F108" s="441">
        <f t="shared" ref="F108:F113" si="15">E108/(D108)</f>
        <v>0.2145603075444498</v>
      </c>
      <c r="G108" s="1522">
        <v>2468</v>
      </c>
      <c r="H108" s="1523">
        <v>0.32</v>
      </c>
      <c r="I108" s="1525">
        <v>2134</v>
      </c>
      <c r="J108" s="1523">
        <v>0.27</v>
      </c>
      <c r="K108" s="69"/>
      <c r="L108" s="69"/>
      <c r="M108" s="69"/>
      <c r="N108" s="69"/>
      <c r="O108" s="69"/>
    </row>
    <row r="109" spans="1:15">
      <c r="B109" s="424" t="s">
        <v>911</v>
      </c>
      <c r="C109" s="1521"/>
      <c r="D109" s="440">
        <v>2734</v>
      </c>
      <c r="E109" s="437">
        <v>668</v>
      </c>
      <c r="F109" s="441">
        <f t="shared" si="15"/>
        <v>0.24433065106071689</v>
      </c>
      <c r="G109" s="1522"/>
      <c r="H109" s="1524"/>
      <c r="I109" s="1526"/>
      <c r="J109" s="1524"/>
      <c r="K109" s="357"/>
      <c r="L109" s="69"/>
      <c r="M109" s="69"/>
      <c r="N109" s="69"/>
      <c r="O109" s="69"/>
    </row>
    <row r="110" spans="1:15">
      <c r="B110" s="424" t="s">
        <v>912</v>
      </c>
      <c r="C110" s="1521"/>
      <c r="D110" s="440">
        <v>2271</v>
      </c>
      <c r="E110" s="437">
        <v>397</v>
      </c>
      <c r="F110" s="441">
        <f t="shared" si="15"/>
        <v>0.17481285777190664</v>
      </c>
      <c r="G110" s="488">
        <v>502</v>
      </c>
      <c r="H110" s="455">
        <v>0.18</v>
      </c>
      <c r="I110" s="488">
        <v>494</v>
      </c>
      <c r="J110" s="455">
        <v>0.21</v>
      </c>
      <c r="K110" s="357"/>
      <c r="L110" s="69"/>
      <c r="M110" s="69"/>
      <c r="N110" s="69"/>
      <c r="O110" s="69"/>
    </row>
    <row r="111" spans="1:15">
      <c r="B111" s="424" t="s">
        <v>913</v>
      </c>
      <c r="C111" s="1521"/>
      <c r="D111" s="440">
        <v>2442</v>
      </c>
      <c r="E111" s="570">
        <v>660</v>
      </c>
      <c r="F111" s="441">
        <f t="shared" si="15"/>
        <v>0.27027027027027029</v>
      </c>
      <c r="G111" s="488">
        <v>149</v>
      </c>
      <c r="H111" s="455">
        <v>0.06</v>
      </c>
      <c r="I111" s="488">
        <v>118</v>
      </c>
      <c r="J111" s="455">
        <v>0.05</v>
      </c>
      <c r="K111" s="357"/>
      <c r="L111" s="69"/>
      <c r="M111" s="69"/>
      <c r="N111" s="69"/>
      <c r="O111" s="69"/>
    </row>
    <row r="112" spans="1:15">
      <c r="B112" s="424" t="s">
        <v>914</v>
      </c>
      <c r="C112" s="1521"/>
      <c r="D112" s="440">
        <v>1057</v>
      </c>
      <c r="E112" s="437">
        <v>545</v>
      </c>
      <c r="F112" s="441">
        <f t="shared" si="15"/>
        <v>0.51561021759697256</v>
      </c>
      <c r="G112" s="488">
        <v>295</v>
      </c>
      <c r="H112" s="456">
        <v>0.49</v>
      </c>
      <c r="I112" s="457">
        <v>252</v>
      </c>
      <c r="J112" s="456">
        <v>0.4</v>
      </c>
      <c r="K112" s="357"/>
      <c r="L112" s="69"/>
      <c r="M112" s="69"/>
      <c r="N112" s="69"/>
      <c r="O112" s="69"/>
    </row>
    <row r="113" spans="1:15">
      <c r="B113" s="438" t="s">
        <v>979</v>
      </c>
      <c r="C113" s="1521"/>
      <c r="D113" s="437">
        <f>SUM(D108:D112)</f>
        <v>12666</v>
      </c>
      <c r="E113" s="437">
        <f>SUM(E108:E112)</f>
        <v>3163</v>
      </c>
      <c r="F113" s="441">
        <f t="shared" si="15"/>
        <v>0.24972366966682458</v>
      </c>
      <c r="G113" s="488">
        <f>G108+G110+G111+G112</f>
        <v>3414</v>
      </c>
      <c r="H113" s="455">
        <v>0.25</v>
      </c>
      <c r="I113" s="488">
        <f>I108+I110+I111+I112</f>
        <v>2998</v>
      </c>
      <c r="J113" s="455">
        <v>0.22</v>
      </c>
      <c r="K113" s="357"/>
      <c r="L113" s="69"/>
      <c r="M113" s="69"/>
      <c r="N113" s="69"/>
      <c r="O113" s="69"/>
    </row>
    <row r="114" spans="1:15">
      <c r="C114" s="97"/>
    </row>
    <row r="115" spans="1:15" ht="17.399999999999999">
      <c r="B115" s="490" t="s">
        <v>981</v>
      </c>
      <c r="C115" s="445" t="s">
        <v>1177</v>
      </c>
      <c r="D115" s="1527" t="s">
        <v>546</v>
      </c>
      <c r="E115" s="1528"/>
      <c r="F115" s="1528"/>
      <c r="G115" s="1529"/>
    </row>
    <row r="116" spans="1:15" ht="26.25" customHeight="1">
      <c r="B116" s="382" t="s">
        <v>905</v>
      </c>
      <c r="C116" s="383" t="s">
        <v>1180</v>
      </c>
      <c r="D116" s="446" t="s">
        <v>906</v>
      </c>
      <c r="E116" s="446" t="s">
        <v>907</v>
      </c>
      <c r="F116" s="446" t="s">
        <v>709</v>
      </c>
      <c r="G116" s="446" t="s">
        <v>982</v>
      </c>
    </row>
    <row r="117" spans="1:15">
      <c r="B117" s="424" t="s">
        <v>910</v>
      </c>
      <c r="C117" s="1513" t="s">
        <v>1224</v>
      </c>
      <c r="D117" s="442">
        <v>215</v>
      </c>
      <c r="E117" s="442">
        <v>370</v>
      </c>
      <c r="F117" s="442">
        <v>585</v>
      </c>
      <c r="G117" s="447">
        <f t="shared" ref="G117:G122" si="16">F117/F23</f>
        <v>0.14341750429026723</v>
      </c>
    </row>
    <row r="118" spans="1:15">
      <c r="B118" s="424" t="s">
        <v>911</v>
      </c>
      <c r="C118" s="1514"/>
      <c r="D118" s="442">
        <v>83</v>
      </c>
      <c r="E118" s="442">
        <v>102</v>
      </c>
      <c r="F118" s="442">
        <v>185</v>
      </c>
      <c r="G118" s="447">
        <f t="shared" si="16"/>
        <v>6.4730580825752268E-2</v>
      </c>
    </row>
    <row r="119" spans="1:15">
      <c r="B119" s="424" t="s">
        <v>912</v>
      </c>
      <c r="C119" s="1514"/>
      <c r="D119" s="442">
        <v>99</v>
      </c>
      <c r="E119" s="442">
        <v>205</v>
      </c>
      <c r="F119" s="442">
        <v>304</v>
      </c>
      <c r="G119" s="447">
        <f t="shared" si="16"/>
        <v>0.13906678865507777</v>
      </c>
    </row>
    <row r="120" spans="1:15">
      <c r="B120" s="424" t="s">
        <v>913</v>
      </c>
      <c r="C120" s="1514"/>
      <c r="D120" s="442">
        <v>42</v>
      </c>
      <c r="E120" s="442">
        <v>111</v>
      </c>
      <c r="F120" s="442">
        <v>153</v>
      </c>
      <c r="G120" s="447">
        <f t="shared" si="16"/>
        <v>6.2220414802765349E-2</v>
      </c>
    </row>
    <row r="121" spans="1:15">
      <c r="B121" s="424" t="s">
        <v>914</v>
      </c>
      <c r="C121" s="1514"/>
      <c r="D121" s="442">
        <v>13</v>
      </c>
      <c r="E121" s="442">
        <v>38</v>
      </c>
      <c r="F121" s="442">
        <v>51</v>
      </c>
      <c r="G121" s="447">
        <f t="shared" si="16"/>
        <v>4.8295454545454544E-2</v>
      </c>
    </row>
    <row r="122" spans="1:15">
      <c r="B122" s="438" t="s">
        <v>979</v>
      </c>
      <c r="C122" s="1514"/>
      <c r="D122" s="443">
        <f>SUM(D117:D121)</f>
        <v>452</v>
      </c>
      <c r="E122" s="443">
        <f>SUM(E117:E121)</f>
        <v>826</v>
      </c>
      <c r="F122" s="444">
        <f>SUM(F117:F121)</f>
        <v>1278</v>
      </c>
      <c r="G122" s="447">
        <f t="shared" si="16"/>
        <v>0.10112359550561797</v>
      </c>
    </row>
    <row r="123" spans="1:15">
      <c r="C123" s="97"/>
    </row>
    <row r="124" spans="1:15" ht="17.399999999999999">
      <c r="A124" s="2" t="s">
        <v>1225</v>
      </c>
      <c r="B124" s="459" t="s">
        <v>983</v>
      </c>
      <c r="C124" s="470" t="s">
        <v>1177</v>
      </c>
      <c r="D124" s="1515" t="s">
        <v>546</v>
      </c>
      <c r="E124" s="1515"/>
      <c r="F124" s="1515"/>
    </row>
    <row r="125" spans="1:15" ht="27.6">
      <c r="A125" s="15" t="s">
        <v>1226</v>
      </c>
      <c r="B125" s="471" t="s">
        <v>905</v>
      </c>
      <c r="C125" s="472" t="s">
        <v>1180</v>
      </c>
      <c r="D125" s="473" t="s">
        <v>906</v>
      </c>
      <c r="E125" s="473" t="s">
        <v>907</v>
      </c>
      <c r="F125" s="473" t="s">
        <v>709</v>
      </c>
    </row>
    <row r="126" spans="1:15" ht="27.6">
      <c r="B126" s="474" t="s">
        <v>1227</v>
      </c>
      <c r="C126" s="475"/>
      <c r="D126" s="556"/>
      <c r="E126" s="556"/>
      <c r="F126" s="556"/>
    </row>
    <row r="127" spans="1:15" ht="27.6">
      <c r="B127" s="474" t="s">
        <v>984</v>
      </c>
      <c r="C127" s="475"/>
      <c r="D127" s="556">
        <v>20</v>
      </c>
      <c r="E127" s="556">
        <v>6</v>
      </c>
      <c r="F127" s="556">
        <v>26</v>
      </c>
    </row>
    <row r="128" spans="1:15" ht="37.5" customHeight="1">
      <c r="B128" s="474" t="s">
        <v>985</v>
      </c>
      <c r="C128" s="477" t="s">
        <v>1228</v>
      </c>
      <c r="D128" s="556">
        <v>0</v>
      </c>
      <c r="E128" s="556">
        <v>2</v>
      </c>
      <c r="F128" s="556">
        <v>2</v>
      </c>
    </row>
    <row r="129" spans="1:9" ht="48.9" customHeight="1">
      <c r="B129" s="474" t="s">
        <v>986</v>
      </c>
      <c r="C129" s="477" t="s">
        <v>1229</v>
      </c>
      <c r="D129" s="556"/>
      <c r="E129" s="556"/>
      <c r="F129" s="556"/>
    </row>
    <row r="130" spans="1:9" ht="27.6">
      <c r="B130" s="474" t="s">
        <v>987</v>
      </c>
      <c r="C130" s="477" t="s">
        <v>1228</v>
      </c>
      <c r="D130" s="557" t="s">
        <v>1230</v>
      </c>
      <c r="E130" s="557" t="s">
        <v>1231</v>
      </c>
      <c r="F130" s="556"/>
    </row>
    <row r="131" spans="1:9" ht="14.25" customHeight="1">
      <c r="C131" s="97"/>
    </row>
    <row r="132" spans="1:9" ht="32.1" customHeight="1">
      <c r="A132" s="2" t="s">
        <v>1225</v>
      </c>
      <c r="B132" s="459" t="s">
        <v>988</v>
      </c>
      <c r="C132" s="558" t="s">
        <v>1177</v>
      </c>
      <c r="D132" s="1516" t="s">
        <v>546</v>
      </c>
      <c r="E132" s="1516"/>
      <c r="F132" s="1516"/>
      <c r="G132" s="1516" t="s">
        <v>546</v>
      </c>
      <c r="H132" s="1516"/>
      <c r="I132" s="1516"/>
    </row>
    <row r="133" spans="1:9" ht="25.2">
      <c r="A133" s="1517" t="s">
        <v>1232</v>
      </c>
      <c r="B133" s="471" t="s">
        <v>905</v>
      </c>
      <c r="C133" s="472" t="s">
        <v>1180</v>
      </c>
      <c r="D133" s="473" t="s">
        <v>906</v>
      </c>
      <c r="E133" s="473" t="s">
        <v>907</v>
      </c>
      <c r="F133" s="473" t="s">
        <v>709</v>
      </c>
      <c r="G133" s="473" t="s">
        <v>906</v>
      </c>
      <c r="H133" s="473" t="s">
        <v>907</v>
      </c>
      <c r="I133" s="473" t="s">
        <v>709</v>
      </c>
    </row>
    <row r="134" spans="1:9">
      <c r="A134" s="1517"/>
      <c r="B134" s="474" t="s">
        <v>989</v>
      </c>
      <c r="C134" s="1518" t="s">
        <v>1233</v>
      </c>
      <c r="D134" s="476">
        <v>3509</v>
      </c>
      <c r="E134" s="476">
        <v>7737</v>
      </c>
      <c r="F134" s="476">
        <v>11246</v>
      </c>
      <c r="G134" s="555">
        <v>0.98199999999999998</v>
      </c>
      <c r="H134" s="555">
        <v>0.89900000000000002</v>
      </c>
      <c r="I134" s="555">
        <v>0.92300000000000004</v>
      </c>
    </row>
    <row r="135" spans="1:9">
      <c r="B135" s="449" t="s">
        <v>990</v>
      </c>
      <c r="C135" s="1519"/>
      <c r="D135" s="476">
        <v>182</v>
      </c>
      <c r="E135" s="476">
        <v>230</v>
      </c>
      <c r="F135" s="476">
        <v>412</v>
      </c>
      <c r="G135" s="555">
        <v>0.91900000000000004</v>
      </c>
      <c r="H135" s="555">
        <v>0.89800000000000002</v>
      </c>
      <c r="I135" s="555">
        <v>0.90700000000000003</v>
      </c>
    </row>
    <row r="136" spans="1:9">
      <c r="B136" s="449" t="s">
        <v>991</v>
      </c>
      <c r="C136" s="1520"/>
      <c r="D136" s="476">
        <v>3691</v>
      </c>
      <c r="E136" s="476">
        <v>7967</v>
      </c>
      <c r="F136" s="476">
        <v>11658</v>
      </c>
      <c r="G136" s="555">
        <v>0.97799999999999998</v>
      </c>
      <c r="H136" s="555">
        <v>0.89900000000000002</v>
      </c>
      <c r="I136" s="555">
        <v>0.92200000000000004</v>
      </c>
    </row>
    <row r="137" spans="1:9" ht="14.25" customHeight="1">
      <c r="C137" s="97"/>
    </row>
    <row r="138" spans="1:9" ht="22.5" customHeight="1">
      <c r="B138" s="1506" t="s">
        <v>988</v>
      </c>
      <c r="C138" s="1508" t="s">
        <v>1177</v>
      </c>
      <c r="D138" s="1510" t="s">
        <v>546</v>
      </c>
      <c r="E138" s="1511"/>
      <c r="F138" s="69"/>
      <c r="G138" s="69"/>
    </row>
    <row r="139" spans="1:9" ht="22.5" customHeight="1">
      <c r="B139" s="1507"/>
      <c r="C139" s="1509"/>
      <c r="D139" s="316" t="s">
        <v>709</v>
      </c>
      <c r="E139" s="316" t="s">
        <v>574</v>
      </c>
      <c r="F139" s="69"/>
      <c r="G139" s="69"/>
    </row>
    <row r="140" spans="1:9" ht="69">
      <c r="B140" s="449" t="s">
        <v>921</v>
      </c>
      <c r="C140" s="561" t="s">
        <v>1234</v>
      </c>
      <c r="D140" s="559">
        <f>F28-980</f>
        <v>11658</v>
      </c>
      <c r="E140" s="560">
        <v>0.92200000000000004</v>
      </c>
      <c r="F140" s="479"/>
      <c r="G140" s="478"/>
      <c r="I140" s="478"/>
    </row>
    <row r="141" spans="1:9" ht="14.25" customHeight="1">
      <c r="C141" s="97"/>
    </row>
    <row r="142" spans="1:9" ht="27.6">
      <c r="A142" s="16" t="s">
        <v>1235</v>
      </c>
      <c r="B142" s="314" t="s">
        <v>1008</v>
      </c>
      <c r="C142" s="316" t="s">
        <v>1177</v>
      </c>
      <c r="D142" s="315" t="s">
        <v>546</v>
      </c>
      <c r="E142" s="315" t="s">
        <v>547</v>
      </c>
      <c r="F142" s="315" t="s">
        <v>548</v>
      </c>
      <c r="G142" s="315" t="s">
        <v>549</v>
      </c>
    </row>
    <row r="143" spans="1:9">
      <c r="A143" s="2" t="s">
        <v>1236</v>
      </c>
      <c r="B143" s="277" t="s">
        <v>1009</v>
      </c>
      <c r="C143" s="485" t="s">
        <v>1237</v>
      </c>
      <c r="D143" s="312">
        <v>0.75</v>
      </c>
      <c r="E143" s="312" t="s">
        <v>1010</v>
      </c>
      <c r="F143" s="571">
        <v>0.74</v>
      </c>
      <c r="G143" s="571">
        <v>0.64</v>
      </c>
    </row>
    <row r="144" spans="1:9">
      <c r="B144" s="304" t="s">
        <v>1011</v>
      </c>
      <c r="C144" s="485"/>
      <c r="D144" s="312"/>
      <c r="E144" s="312" t="s">
        <v>1010</v>
      </c>
      <c r="F144" s="571">
        <v>0.65</v>
      </c>
      <c r="G144" s="571">
        <v>0.63</v>
      </c>
    </row>
    <row r="145" spans="1:15" ht="25.2">
      <c r="B145" s="304" t="s">
        <v>1012</v>
      </c>
      <c r="C145" s="485" t="s">
        <v>1238</v>
      </c>
      <c r="D145" s="304">
        <v>6.9</v>
      </c>
      <c r="E145" s="312" t="s">
        <v>1010</v>
      </c>
      <c r="F145" s="572"/>
      <c r="G145" s="572"/>
    </row>
    <row r="146" spans="1:15">
      <c r="C146" s="70"/>
      <c r="O146" s="2"/>
    </row>
    <row r="147" spans="1:15" ht="17.399999999999999">
      <c r="B147" s="314" t="s">
        <v>992</v>
      </c>
      <c r="C147" s="316" t="s">
        <v>1177</v>
      </c>
      <c r="D147" s="315" t="s">
        <v>546</v>
      </c>
    </row>
    <row r="148" spans="1:15" ht="46.5" customHeight="1">
      <c r="A148" s="318" t="s">
        <v>1239</v>
      </c>
      <c r="B148" s="345" t="s">
        <v>1240</v>
      </c>
      <c r="C148" s="336" t="s">
        <v>1241</v>
      </c>
      <c r="D148" s="356">
        <v>25.52</v>
      </c>
      <c r="N148" s="67"/>
      <c r="O148" s="67"/>
    </row>
    <row r="149" spans="1:15">
      <c r="C149" s="97"/>
    </row>
    <row r="150" spans="1:15" ht="17.399999999999999">
      <c r="A150" s="2" t="s">
        <v>1225</v>
      </c>
      <c r="B150" s="367" t="s">
        <v>992</v>
      </c>
      <c r="C150" s="483" t="s">
        <v>1177</v>
      </c>
      <c r="D150" s="1512" t="s">
        <v>546</v>
      </c>
      <c r="E150" s="1512"/>
      <c r="F150" s="1512"/>
      <c r="G150" s="1512"/>
      <c r="H150" s="1512"/>
    </row>
    <row r="151" spans="1:15" ht="96" customHeight="1">
      <c r="B151" s="368"/>
      <c r="C151" s="379"/>
      <c r="D151" s="562" t="s">
        <v>1242</v>
      </c>
      <c r="E151" s="562" t="s">
        <v>1243</v>
      </c>
      <c r="F151" s="562" t="s">
        <v>1244</v>
      </c>
      <c r="G151" s="369" t="s">
        <v>1245</v>
      </c>
      <c r="H151" s="369" t="s">
        <v>1000</v>
      </c>
    </row>
    <row r="152" spans="1:15" ht="14.4" hidden="1">
      <c r="B152" s="368" t="s">
        <v>1246</v>
      </c>
      <c r="C152" s="380"/>
      <c r="D152" s="563">
        <v>20</v>
      </c>
      <c r="E152" s="563">
        <v>491</v>
      </c>
      <c r="F152" s="563">
        <v>42</v>
      </c>
      <c r="G152" s="368">
        <v>553</v>
      </c>
      <c r="H152" s="370">
        <f t="shared" ref="H152:H159" si="17">E152/G152</f>
        <v>0.88788426763110306</v>
      </c>
    </row>
    <row r="153" spans="1:15" ht="14.4" hidden="1">
      <c r="B153" s="368" t="s">
        <v>1247</v>
      </c>
      <c r="C153" s="380"/>
      <c r="D153" s="563">
        <v>58</v>
      </c>
      <c r="E153" s="563">
        <v>648</v>
      </c>
      <c r="F153" s="563">
        <v>177</v>
      </c>
      <c r="G153" s="368">
        <v>883</v>
      </c>
      <c r="H153" s="370">
        <f t="shared" si="17"/>
        <v>0.73386183465458665</v>
      </c>
    </row>
    <row r="154" spans="1:15" ht="14.4" hidden="1">
      <c r="B154" s="368" t="s">
        <v>1248</v>
      </c>
      <c r="C154" s="380"/>
      <c r="D154" s="563">
        <v>2</v>
      </c>
      <c r="E154" s="563">
        <v>562</v>
      </c>
      <c r="F154" s="563">
        <v>188</v>
      </c>
      <c r="G154" s="368">
        <v>752</v>
      </c>
      <c r="H154" s="370">
        <f t="shared" si="17"/>
        <v>0.74734042553191493</v>
      </c>
    </row>
    <row r="155" spans="1:15" ht="14.4" hidden="1">
      <c r="B155" s="368" t="s">
        <v>1249</v>
      </c>
      <c r="C155" s="380"/>
      <c r="D155" s="563">
        <v>2</v>
      </c>
      <c r="E155" s="563">
        <v>86</v>
      </c>
      <c r="F155" s="563">
        <v>44</v>
      </c>
      <c r="G155" s="368">
        <v>132</v>
      </c>
      <c r="H155" s="370">
        <f t="shared" si="17"/>
        <v>0.65151515151515149</v>
      </c>
    </row>
    <row r="156" spans="1:15" ht="14.4" hidden="1">
      <c r="B156" s="368" t="s">
        <v>1250</v>
      </c>
      <c r="C156" s="380"/>
      <c r="D156" s="563">
        <v>2</v>
      </c>
      <c r="E156" s="563">
        <v>270</v>
      </c>
      <c r="F156" s="563">
        <v>92</v>
      </c>
      <c r="G156" s="368">
        <v>364</v>
      </c>
      <c r="H156" s="370">
        <f t="shared" si="17"/>
        <v>0.74175824175824179</v>
      </c>
    </row>
    <row r="157" spans="1:15" ht="14.4" hidden="1">
      <c r="B157" s="368" t="s">
        <v>1251</v>
      </c>
      <c r="C157" s="380"/>
      <c r="D157" s="563">
        <v>1</v>
      </c>
      <c r="E157" s="563">
        <v>113</v>
      </c>
      <c r="F157" s="563">
        <v>47</v>
      </c>
      <c r="G157" s="368">
        <v>161</v>
      </c>
      <c r="H157" s="370">
        <f t="shared" si="17"/>
        <v>0.70186335403726707</v>
      </c>
    </row>
    <row r="158" spans="1:15" ht="14.4" hidden="1">
      <c r="B158" s="368" t="s">
        <v>1252</v>
      </c>
      <c r="C158" s="380"/>
      <c r="D158" s="563">
        <v>159</v>
      </c>
      <c r="E158" s="563">
        <v>149</v>
      </c>
      <c r="F158" s="563">
        <v>87</v>
      </c>
      <c r="G158" s="368">
        <v>395</v>
      </c>
      <c r="H158" s="370">
        <f t="shared" si="17"/>
        <v>0.37721518987341773</v>
      </c>
    </row>
    <row r="159" spans="1:15" ht="42.75" customHeight="1">
      <c r="B159" s="449" t="s">
        <v>1003</v>
      </c>
      <c r="C159" s="449" t="s">
        <v>1253</v>
      </c>
      <c r="D159" s="450">
        <v>244</v>
      </c>
      <c r="E159" s="450">
        <v>2319</v>
      </c>
      <c r="F159" s="450">
        <v>677</v>
      </c>
      <c r="G159" s="450">
        <f t="shared" ref="G159:G181" si="18">SUM(D159:F159)</f>
        <v>3240</v>
      </c>
      <c r="H159" s="451">
        <f t="shared" si="17"/>
        <v>0.71574074074074079</v>
      </c>
    </row>
    <row r="160" spans="1:15" hidden="1">
      <c r="B160" s="449"/>
      <c r="C160" s="449"/>
      <c r="D160" s="452"/>
      <c r="E160" s="452"/>
      <c r="F160" s="452"/>
      <c r="G160" s="450">
        <f t="shared" si="18"/>
        <v>0</v>
      </c>
      <c r="H160" s="453"/>
    </row>
    <row r="161" spans="2:8" hidden="1">
      <c r="B161" s="449"/>
      <c r="C161" s="449"/>
      <c r="D161" s="452"/>
      <c r="E161" s="452"/>
      <c r="F161" s="452"/>
      <c r="G161" s="450">
        <f t="shared" si="18"/>
        <v>0</v>
      </c>
      <c r="H161" s="453"/>
    </row>
    <row r="162" spans="2:8" hidden="1">
      <c r="B162" s="449"/>
      <c r="C162" s="449"/>
      <c r="D162" s="452"/>
      <c r="E162" s="452"/>
      <c r="F162" s="452"/>
      <c r="G162" s="450">
        <f t="shared" si="18"/>
        <v>0</v>
      </c>
      <c r="H162" s="453"/>
    </row>
    <row r="163" spans="2:8" hidden="1">
      <c r="B163" s="454"/>
      <c r="C163" s="449"/>
      <c r="D163" s="452"/>
      <c r="E163" s="450" t="s">
        <v>1243</v>
      </c>
      <c r="F163" s="450" t="s">
        <v>1254</v>
      </c>
      <c r="G163" s="450">
        <f t="shared" si="18"/>
        <v>0</v>
      </c>
      <c r="H163" s="451"/>
    </row>
    <row r="164" spans="2:8" hidden="1">
      <c r="B164" s="454" t="s">
        <v>1246</v>
      </c>
      <c r="C164" s="449"/>
      <c r="D164" s="452"/>
      <c r="E164" s="450">
        <v>617</v>
      </c>
      <c r="F164" s="450">
        <v>120</v>
      </c>
      <c r="G164" s="450">
        <f t="shared" si="18"/>
        <v>737</v>
      </c>
      <c r="H164" s="451">
        <v>83.7</v>
      </c>
    </row>
    <row r="165" spans="2:8" hidden="1">
      <c r="B165" s="454" t="s">
        <v>1247</v>
      </c>
      <c r="C165" s="449"/>
      <c r="D165" s="452"/>
      <c r="E165" s="450">
        <v>1227</v>
      </c>
      <c r="F165" s="450">
        <v>462</v>
      </c>
      <c r="G165" s="450">
        <f t="shared" si="18"/>
        <v>1689</v>
      </c>
      <c r="H165" s="451">
        <v>72.599999999999994</v>
      </c>
    </row>
    <row r="166" spans="2:8" hidden="1">
      <c r="B166" s="454" t="s">
        <v>1248</v>
      </c>
      <c r="C166" s="449"/>
      <c r="D166" s="452"/>
      <c r="E166" s="450">
        <v>518</v>
      </c>
      <c r="F166" s="450">
        <v>310</v>
      </c>
      <c r="G166" s="450">
        <f t="shared" si="18"/>
        <v>828</v>
      </c>
      <c r="H166" s="451">
        <v>62.6</v>
      </c>
    </row>
    <row r="167" spans="2:8" hidden="1">
      <c r="B167" s="454" t="s">
        <v>1249</v>
      </c>
      <c r="C167" s="449"/>
      <c r="D167" s="452"/>
      <c r="E167" s="450">
        <v>91</v>
      </c>
      <c r="F167" s="450">
        <v>48</v>
      </c>
      <c r="G167" s="450">
        <f t="shared" si="18"/>
        <v>139</v>
      </c>
      <c r="H167" s="451">
        <v>65.5</v>
      </c>
    </row>
    <row r="168" spans="2:8" hidden="1">
      <c r="B168" s="454" t="s">
        <v>1250</v>
      </c>
      <c r="C168" s="449"/>
      <c r="D168" s="452"/>
      <c r="E168" s="450">
        <v>435</v>
      </c>
      <c r="F168" s="450">
        <v>226</v>
      </c>
      <c r="G168" s="450">
        <f t="shared" si="18"/>
        <v>661</v>
      </c>
      <c r="H168" s="451">
        <v>65.8</v>
      </c>
    </row>
    <row r="169" spans="2:8" hidden="1">
      <c r="B169" s="454" t="s">
        <v>1251</v>
      </c>
      <c r="C169" s="449"/>
      <c r="D169" s="452"/>
      <c r="E169" s="450">
        <v>264</v>
      </c>
      <c r="F169" s="450">
        <v>66</v>
      </c>
      <c r="G169" s="450">
        <f t="shared" si="18"/>
        <v>330</v>
      </c>
      <c r="H169" s="451">
        <v>80</v>
      </c>
    </row>
    <row r="170" spans="2:8" hidden="1">
      <c r="B170" s="454" t="s">
        <v>1252</v>
      </c>
      <c r="C170" s="449"/>
      <c r="D170" s="452"/>
      <c r="E170" s="450">
        <v>754</v>
      </c>
      <c r="F170" s="450">
        <v>985</v>
      </c>
      <c r="G170" s="450">
        <f t="shared" si="18"/>
        <v>1739</v>
      </c>
      <c r="H170" s="451">
        <v>43.4</v>
      </c>
    </row>
    <row r="171" spans="2:8" ht="48" customHeight="1">
      <c r="B171" s="454" t="s">
        <v>1002</v>
      </c>
      <c r="C171" s="449" t="s">
        <v>1255</v>
      </c>
      <c r="D171" s="452">
        <v>0</v>
      </c>
      <c r="E171" s="450">
        <v>3906</v>
      </c>
      <c r="F171" s="450">
        <v>2217</v>
      </c>
      <c r="G171" s="450">
        <f t="shared" si="18"/>
        <v>6123</v>
      </c>
      <c r="H171" s="451">
        <f>E171/G171</f>
        <v>0.63792258696717297</v>
      </c>
    </row>
    <row r="172" spans="2:8" hidden="1">
      <c r="B172" s="379"/>
      <c r="C172" s="379"/>
      <c r="D172" s="452"/>
      <c r="E172" s="452"/>
      <c r="F172" s="452"/>
      <c r="G172" s="371">
        <f t="shared" si="18"/>
        <v>0</v>
      </c>
      <c r="H172" s="381"/>
    </row>
    <row r="173" spans="2:8" hidden="1">
      <c r="B173" s="379"/>
      <c r="C173" s="379"/>
      <c r="D173" s="452"/>
      <c r="E173" s="452"/>
      <c r="F173" s="452"/>
      <c r="G173" s="371">
        <f t="shared" si="18"/>
        <v>0</v>
      </c>
      <c r="H173" s="381"/>
    </row>
    <row r="174" spans="2:8" ht="41.4" hidden="1">
      <c r="B174" s="373"/>
      <c r="C174" s="379"/>
      <c r="D174" s="452" t="s">
        <v>1256</v>
      </c>
      <c r="E174" s="450" t="s">
        <v>1243</v>
      </c>
      <c r="F174" s="450" t="s">
        <v>1254</v>
      </c>
      <c r="G174" s="371">
        <f t="shared" si="18"/>
        <v>0</v>
      </c>
      <c r="H174" s="374"/>
    </row>
    <row r="175" spans="2:8" hidden="1">
      <c r="B175" s="373" t="s">
        <v>1246</v>
      </c>
      <c r="C175" s="379"/>
      <c r="D175" s="564">
        <v>6</v>
      </c>
      <c r="E175" s="564">
        <v>1261</v>
      </c>
      <c r="F175" s="564">
        <v>138</v>
      </c>
      <c r="G175" s="371">
        <f t="shared" si="18"/>
        <v>1405</v>
      </c>
      <c r="H175" s="375">
        <v>0.897509</v>
      </c>
    </row>
    <row r="176" spans="2:8" hidden="1">
      <c r="B176" s="373" t="s">
        <v>1247</v>
      </c>
      <c r="C176" s="379"/>
      <c r="D176" s="564">
        <v>8</v>
      </c>
      <c r="E176" s="564">
        <v>4043</v>
      </c>
      <c r="F176" s="564">
        <v>531</v>
      </c>
      <c r="G176" s="371">
        <f t="shared" si="18"/>
        <v>4582</v>
      </c>
      <c r="H176" s="375">
        <v>0.88236599999999998</v>
      </c>
    </row>
    <row r="177" spans="2:8" hidden="1">
      <c r="B177" s="373" t="s">
        <v>1248</v>
      </c>
      <c r="C177" s="379"/>
      <c r="D177" s="564">
        <v>1</v>
      </c>
      <c r="E177" s="564">
        <v>1221</v>
      </c>
      <c r="F177" s="564">
        <v>168</v>
      </c>
      <c r="G177" s="371">
        <f t="shared" si="18"/>
        <v>1390</v>
      </c>
      <c r="H177" s="375">
        <v>0.878417</v>
      </c>
    </row>
    <row r="178" spans="2:8" hidden="1">
      <c r="B178" s="373" t="s">
        <v>1249</v>
      </c>
      <c r="C178" s="379"/>
      <c r="D178" s="564">
        <v>53</v>
      </c>
      <c r="E178" s="564">
        <v>372</v>
      </c>
      <c r="F178" s="564">
        <v>77</v>
      </c>
      <c r="G178" s="371">
        <f t="shared" si="18"/>
        <v>502</v>
      </c>
      <c r="H178" s="375">
        <v>0.74103600000000003</v>
      </c>
    </row>
    <row r="179" spans="2:8" hidden="1">
      <c r="B179" s="373" t="s">
        <v>1250</v>
      </c>
      <c r="C179" s="379"/>
      <c r="D179" s="564">
        <v>11</v>
      </c>
      <c r="E179" s="564">
        <v>1506</v>
      </c>
      <c r="F179" s="564">
        <v>183</v>
      </c>
      <c r="G179" s="371">
        <f t="shared" si="18"/>
        <v>1700</v>
      </c>
      <c r="H179" s="375">
        <v>0.88588199999999995</v>
      </c>
    </row>
    <row r="180" spans="2:8" hidden="1">
      <c r="B180" s="373" t="s">
        <v>1251</v>
      </c>
      <c r="C180" s="379"/>
      <c r="D180" s="564">
        <v>19</v>
      </c>
      <c r="E180" s="564">
        <v>1232</v>
      </c>
      <c r="F180" s="564">
        <v>260</v>
      </c>
      <c r="G180" s="371">
        <f t="shared" si="18"/>
        <v>1511</v>
      </c>
      <c r="H180" s="375">
        <v>0.81535400000000002</v>
      </c>
    </row>
    <row r="181" spans="2:8" hidden="1">
      <c r="B181" s="373" t="s">
        <v>1252</v>
      </c>
      <c r="C181" s="379"/>
      <c r="D181" s="450"/>
      <c r="E181" s="564">
        <v>12</v>
      </c>
      <c r="F181" s="450"/>
      <c r="G181" s="371">
        <f t="shared" si="18"/>
        <v>12</v>
      </c>
      <c r="H181" s="375">
        <v>1</v>
      </c>
    </row>
    <row r="182" spans="2:8" ht="32.25" customHeight="1">
      <c r="B182" s="373" t="s">
        <v>1257</v>
      </c>
      <c r="C182" s="379" t="s">
        <v>1258</v>
      </c>
      <c r="D182" s="564"/>
      <c r="E182" s="564"/>
      <c r="F182" s="564"/>
      <c r="G182" s="371"/>
      <c r="H182" s="372"/>
    </row>
  </sheetData>
  <mergeCells count="92">
    <mergeCell ref="B2:R2"/>
    <mergeCell ref="B4:O4"/>
    <mergeCell ref="D6:F6"/>
    <mergeCell ref="G6:I6"/>
    <mergeCell ref="J6:L6"/>
    <mergeCell ref="M6:M7"/>
    <mergeCell ref="N6:N7"/>
    <mergeCell ref="L9:L10"/>
    <mergeCell ref="N9:N10"/>
    <mergeCell ref="O9:O10"/>
    <mergeCell ref="C16:C21"/>
    <mergeCell ref="G16:G17"/>
    <mergeCell ref="H16:H17"/>
    <mergeCell ref="I16:I17"/>
    <mergeCell ref="J16:J17"/>
    <mergeCell ref="K16:K17"/>
    <mergeCell ref="L16:L17"/>
    <mergeCell ref="C9:C14"/>
    <mergeCell ref="G9:G10"/>
    <mergeCell ref="H9:H10"/>
    <mergeCell ref="I9:I10"/>
    <mergeCell ref="J9:J10"/>
    <mergeCell ref="K9:K10"/>
    <mergeCell ref="L23:L24"/>
    <mergeCell ref="N29:N30"/>
    <mergeCell ref="C43:C46"/>
    <mergeCell ref="G44:G45"/>
    <mergeCell ref="H44:H45"/>
    <mergeCell ref="I44:I45"/>
    <mergeCell ref="J44:J45"/>
    <mergeCell ref="K44:K45"/>
    <mergeCell ref="L44:L45"/>
    <mergeCell ref="C23:C28"/>
    <mergeCell ref="G23:G24"/>
    <mergeCell ref="H23:H24"/>
    <mergeCell ref="I23:I24"/>
    <mergeCell ref="J23:J24"/>
    <mergeCell ref="K23:K24"/>
    <mergeCell ref="C62:C67"/>
    <mergeCell ref="C51:C52"/>
    <mergeCell ref="G52:I52"/>
    <mergeCell ref="J52:L52"/>
    <mergeCell ref="G53:I53"/>
    <mergeCell ref="J53:L53"/>
    <mergeCell ref="C54:C55"/>
    <mergeCell ref="G54:I54"/>
    <mergeCell ref="J54:L54"/>
    <mergeCell ref="G55:I55"/>
    <mergeCell ref="J55:L55"/>
    <mergeCell ref="C56:C57"/>
    <mergeCell ref="G56:I56"/>
    <mergeCell ref="J56:L56"/>
    <mergeCell ref="G57:I57"/>
    <mergeCell ref="J57:L57"/>
    <mergeCell ref="C69:C74"/>
    <mergeCell ref="C76:C81"/>
    <mergeCell ref="A83:A89"/>
    <mergeCell ref="C84:C89"/>
    <mergeCell ref="D96:F96"/>
    <mergeCell ref="J96:L96"/>
    <mergeCell ref="C99:C104"/>
    <mergeCell ref="D99:D100"/>
    <mergeCell ref="E99:E100"/>
    <mergeCell ref="F99:F100"/>
    <mergeCell ref="G99:G100"/>
    <mergeCell ref="H99:H100"/>
    <mergeCell ref="I99:I100"/>
    <mergeCell ref="J99:J100"/>
    <mergeCell ref="K99:K100"/>
    <mergeCell ref="G96:I96"/>
    <mergeCell ref="I108:I109"/>
    <mergeCell ref="J108:J109"/>
    <mergeCell ref="D115:G115"/>
    <mergeCell ref="L99:L100"/>
    <mergeCell ref="B106:B107"/>
    <mergeCell ref="C106:C107"/>
    <mergeCell ref="D106:F106"/>
    <mergeCell ref="G106:H106"/>
    <mergeCell ref="I106:J106"/>
    <mergeCell ref="A133:A134"/>
    <mergeCell ref="C134:C136"/>
    <mergeCell ref="C108:C113"/>
    <mergeCell ref="G108:G109"/>
    <mergeCell ref="H108:H109"/>
    <mergeCell ref="B138:B139"/>
    <mergeCell ref="C138:C139"/>
    <mergeCell ref="D138:E138"/>
    <mergeCell ref="D150:H150"/>
    <mergeCell ref="C117:C122"/>
    <mergeCell ref="D124:F124"/>
    <mergeCell ref="D132:F132"/>
    <mergeCell ref="G132:I13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C7105-3513-41CB-AF58-D4FB2BF474AE}">
  <sheetPr codeName="Sheet1">
    <tabColor theme="3"/>
    <pageSetUpPr fitToPage="1"/>
  </sheetPr>
  <dimension ref="A2:N18"/>
  <sheetViews>
    <sheetView workbookViewId="0"/>
  </sheetViews>
  <sheetFormatPr defaultColWidth="8.88671875" defaultRowHeight="13.8"/>
  <cols>
    <col min="1" max="1" width="3" style="2" customWidth="1"/>
    <col min="2" max="2" width="49.88671875" style="2" customWidth="1"/>
    <col min="3" max="3" width="19" style="2" customWidth="1"/>
    <col min="4" max="4" width="14.109375" style="2" customWidth="1"/>
    <col min="5" max="5" width="37" style="2" customWidth="1"/>
    <col min="6" max="10" width="14.109375" style="2" customWidth="1"/>
    <col min="11" max="16384" width="8.88671875" style="2"/>
  </cols>
  <sheetData>
    <row r="2" spans="1:14" ht="30.9" customHeight="1">
      <c r="B2" s="891" t="s">
        <v>15</v>
      </c>
      <c r="C2" s="740"/>
      <c r="D2" s="741"/>
      <c r="E2" s="741"/>
      <c r="F2" s="8"/>
      <c r="G2" s="8"/>
      <c r="H2" s="8"/>
      <c r="I2" s="8"/>
      <c r="J2" s="8"/>
      <c r="K2" s="8"/>
      <c r="L2" s="8"/>
      <c r="M2" s="8"/>
      <c r="N2" s="8"/>
    </row>
    <row r="3" spans="1:14" ht="18.600000000000001" customHeight="1">
      <c r="B3" s="777"/>
      <c r="C3" s="742"/>
      <c r="D3" s="743"/>
      <c r="E3" s="743"/>
      <c r="F3" s="9"/>
      <c r="G3" s="9"/>
      <c r="H3" s="9"/>
      <c r="I3" s="9"/>
      <c r="J3" s="9"/>
    </row>
    <row r="4" spans="1:14" ht="18" customHeight="1">
      <c r="A4" s="448"/>
      <c r="B4" s="892" t="s">
        <v>16</v>
      </c>
      <c r="C4" s="893"/>
      <c r="D4" s="893"/>
      <c r="E4" s="893"/>
    </row>
    <row r="5" spans="1:14" ht="18" customHeight="1">
      <c r="A5" s="448"/>
      <c r="B5" s="894" t="s">
        <v>17</v>
      </c>
      <c r="C5" s="893"/>
      <c r="D5" s="893"/>
      <c r="E5" s="893"/>
    </row>
    <row r="6" spans="1:14" ht="18" customHeight="1">
      <c r="A6" s="448"/>
      <c r="B6" s="894" t="s">
        <v>18</v>
      </c>
      <c r="C6" s="893"/>
      <c r="D6" s="893"/>
      <c r="E6" s="893"/>
    </row>
    <row r="7" spans="1:14" ht="18" customHeight="1">
      <c r="A7" s="448"/>
      <c r="B7" s="894" t="s">
        <v>19</v>
      </c>
      <c r="C7" s="893"/>
      <c r="D7" s="893"/>
      <c r="E7" s="893"/>
    </row>
    <row r="8" spans="1:14" ht="18" customHeight="1">
      <c r="A8" s="448"/>
      <c r="B8" s="894" t="s">
        <v>20</v>
      </c>
      <c r="C8" s="893"/>
      <c r="D8" s="893"/>
      <c r="E8" s="893"/>
    </row>
    <row r="9" spans="1:14" ht="18" customHeight="1">
      <c r="A9" s="448"/>
      <c r="B9" s="894" t="s">
        <v>21</v>
      </c>
      <c r="C9" s="893"/>
      <c r="D9" s="893"/>
      <c r="E9" s="893"/>
    </row>
    <row r="10" spans="1:14" ht="18" customHeight="1">
      <c r="A10" s="448"/>
      <c r="B10" s="894" t="s">
        <v>22</v>
      </c>
      <c r="C10" s="893"/>
      <c r="D10" s="893"/>
      <c r="E10" s="893"/>
    </row>
    <row r="11" spans="1:14" ht="18" customHeight="1">
      <c r="A11" s="448"/>
      <c r="B11" s="894" t="s">
        <v>23</v>
      </c>
      <c r="C11" s="893"/>
      <c r="D11" s="893"/>
      <c r="E11" s="893"/>
    </row>
    <row r="12" spans="1:14" ht="18" customHeight="1">
      <c r="A12" s="448"/>
      <c r="B12" s="894" t="s">
        <v>24</v>
      </c>
      <c r="C12" s="893"/>
      <c r="D12" s="893"/>
      <c r="E12" s="893"/>
    </row>
    <row r="13" spans="1:14" ht="18" customHeight="1">
      <c r="A13" s="448"/>
      <c r="B13" s="894" t="s">
        <v>25</v>
      </c>
      <c r="C13" s="893"/>
      <c r="D13" s="893"/>
      <c r="E13" s="893"/>
    </row>
    <row r="14" spans="1:14" ht="18" customHeight="1">
      <c r="A14" s="448"/>
      <c r="B14" s="894" t="s">
        <v>26</v>
      </c>
      <c r="C14" s="893"/>
      <c r="D14" s="893"/>
      <c r="E14" s="893"/>
    </row>
    <row r="15" spans="1:14" ht="18" customHeight="1">
      <c r="A15" s="448"/>
      <c r="B15" s="894" t="s">
        <v>27</v>
      </c>
      <c r="C15" s="893"/>
      <c r="D15" s="893"/>
      <c r="E15" s="893"/>
    </row>
    <row r="16" spans="1:14" ht="18" customHeight="1">
      <c r="A16" s="448"/>
      <c r="B16" s="894" t="s">
        <v>28</v>
      </c>
      <c r="C16" s="893"/>
      <c r="D16" s="893"/>
      <c r="E16" s="893"/>
    </row>
    <row r="17" spans="1:5" ht="18" customHeight="1">
      <c r="A17" s="448"/>
      <c r="B17" s="894" t="s">
        <v>29</v>
      </c>
      <c r="C17" s="893"/>
      <c r="D17" s="893"/>
      <c r="E17" s="893"/>
    </row>
    <row r="18" spans="1:5" ht="14.4" customHeight="1">
      <c r="B18" s="740"/>
      <c r="C18" s="740"/>
      <c r="D18" s="740"/>
      <c r="E18" s="740"/>
    </row>
  </sheetData>
  <sheetProtection algorithmName="SHA-512" hashValue="G2NV4HH4Jt9ytY/kY7rjFZq5muw1WyUjgdbK5sksy2MCWnza2mQiZaZsd0foPeqIGEHErXd2ZEu4S2s6eUthbQ==" saltValue="lUuE2zTSgy9bcwPM75Ii3A==" spinCount="100000" sheet="1" objects="1" scenarios="1"/>
  <hyperlinks>
    <hyperlink ref="B5" location="'GRI Content index in accordance'!A1" display="GRI Content Index in accordance" xr:uid="{7F5DFDF5-FEF3-45F3-876D-AB76B75BF463}"/>
    <hyperlink ref="B6" location="'SASB Index'!A1" display="SASB Index" xr:uid="{FE074972-410A-435D-91E1-252C8F59A80F}"/>
    <hyperlink ref="B7" location="'TCFD Compliance Table'!A1" display="TCFD Compliance Table" xr:uid="{DE7DEAE2-D20B-4126-92B9-AEA22D9A2D90}"/>
    <hyperlink ref="B8" location="'PAI statement'!A1" display="PAI Statement" xr:uid="{06DDF1C0-F925-4A84-9D5C-396377F4E17D}"/>
    <hyperlink ref="B10" location="'ERM CVS Audited metrics'!A1" display="ERM CVS Audited metrics" xr:uid="{B3B08489-F50B-45FB-B1D7-FA8CE32E8DC3}"/>
    <hyperlink ref="B11" location="'2030 targets'!A1" display="2030 targets" xr:uid="{87B28707-19FF-4E27-B2EB-EA55260F44F6}"/>
    <hyperlink ref="B12" location="Environment!A1" display="Environment" xr:uid="{BCFA1647-5EB9-4662-A571-49FF70179CD1}"/>
    <hyperlink ref="B14" location="'Health and Safety'!A1" display="Health and Safety" xr:uid="{F3FD2434-366A-4CCF-B1A4-AD5FCF76A749}"/>
    <hyperlink ref="B13" location="People!A1" display="People" xr:uid="{9AA10CB9-8D5D-45CA-8BA0-0C8A9D55782F}"/>
    <hyperlink ref="B15" location="'Ethics and Compliance'!A1" display="Ethics and Compliance" xr:uid="{BCD38343-DF9B-4126-B115-D3FA7E55B2B0}"/>
    <hyperlink ref="B16" location="'Community Investment'!A1" display="Community Investment" xr:uid="{EF6B5F51-59C1-4838-99E0-72D21E826A44}"/>
    <hyperlink ref="B17" location="'Responsible Sourcing'!A1" display="Responsible Sourcing" xr:uid="{B6796D86-FEDB-469F-AABA-7A5E5C6F73B6}"/>
    <hyperlink ref="B4" location="'Material Topics'!A1" display="Material Topics" xr:uid="{A992F81B-A40F-49AE-B248-73FDD9EC5958}"/>
    <hyperlink ref="B9" location="'UK SECR'!Print_Area" display="UK SECR" xr:uid="{E43E5AF5-6EDD-4AAC-9725-2685DB0C466F}"/>
  </hyperlinks>
  <pageMargins left="0.70866141732283472" right="0.70866141732283472" top="0.74803149606299213" bottom="0.74803149606299213" header="0.31496062992125984" footer="0.31496062992125984"/>
  <pageSetup paperSize="9" orientation="landscape" r:id="rId1"/>
  <rowBreaks count="1" manualBreakCount="1">
    <brk id="19"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6062-0188-4294-AD95-F2474916B3D0}">
  <sheetPr>
    <tabColor theme="3"/>
    <pageSetUpPr fitToPage="1"/>
  </sheetPr>
  <dimension ref="B2:Q17"/>
  <sheetViews>
    <sheetView zoomScale="80" zoomScaleNormal="80" workbookViewId="0"/>
  </sheetViews>
  <sheetFormatPr defaultColWidth="8.88671875" defaultRowHeight="13.8"/>
  <cols>
    <col min="1" max="1" width="2.33203125" style="2" customWidth="1"/>
    <col min="2" max="2" width="11.5546875" style="2" customWidth="1"/>
    <col min="3" max="3" width="12.109375" style="2" customWidth="1"/>
    <col min="4" max="16" width="8.88671875" style="2"/>
    <col min="17" max="17" width="6.6640625" style="2" customWidth="1"/>
    <col min="18" max="16384" width="8.88671875" style="2"/>
  </cols>
  <sheetData>
    <row r="2" spans="2:17" ht="24.6">
      <c r="B2" s="895" t="s">
        <v>16</v>
      </c>
      <c r="C2" s="896"/>
      <c r="D2" s="896"/>
    </row>
    <row r="4" spans="2:17" ht="51.9" customHeight="1">
      <c r="B4" s="1304" t="s">
        <v>30</v>
      </c>
      <c r="C4" s="1304"/>
      <c r="D4" s="1304"/>
      <c r="E4" s="1304"/>
      <c r="F4" s="1304"/>
      <c r="G4" s="1304"/>
      <c r="H4" s="1304"/>
      <c r="I4" s="1304"/>
      <c r="J4" s="1304"/>
      <c r="K4" s="1304"/>
      <c r="L4" s="1304"/>
      <c r="M4" s="1304"/>
      <c r="N4" s="1304"/>
      <c r="O4" s="1304"/>
      <c r="P4" s="1304"/>
    </row>
    <row r="5" spans="2:17">
      <c r="B5" s="78" t="s">
        <v>31</v>
      </c>
      <c r="C5" s="78"/>
      <c r="D5" s="78"/>
      <c r="E5" s="78"/>
    </row>
    <row r="6" spans="2:17" ht="3.6" customHeight="1"/>
    <row r="7" spans="2:17" ht="31.35" customHeight="1">
      <c r="B7" s="1305" t="s">
        <v>32</v>
      </c>
      <c r="C7" s="980" t="s">
        <v>33</v>
      </c>
      <c r="D7" s="956"/>
      <c r="E7" s="956"/>
      <c r="F7" s="956"/>
      <c r="G7" s="957"/>
      <c r="H7" s="958"/>
      <c r="I7" s="958"/>
      <c r="J7" s="958"/>
      <c r="K7" s="958"/>
      <c r="L7" s="958"/>
      <c r="M7" s="958"/>
      <c r="N7" s="958"/>
      <c r="O7" s="958"/>
      <c r="P7" s="958"/>
      <c r="Q7" s="959"/>
    </row>
    <row r="8" spans="2:17" ht="31.35" customHeight="1">
      <c r="B8" s="1306"/>
      <c r="C8" s="981" t="s">
        <v>34</v>
      </c>
      <c r="D8" s="960"/>
      <c r="E8" s="960"/>
      <c r="F8" s="960"/>
      <c r="G8" s="961"/>
      <c r="H8" s="962"/>
      <c r="I8" s="962"/>
      <c r="J8" s="962"/>
      <c r="K8" s="962"/>
      <c r="L8" s="962"/>
      <c r="M8" s="962"/>
      <c r="N8" s="962"/>
      <c r="O8" s="962"/>
      <c r="P8" s="962"/>
      <c r="Q8" s="963"/>
    </row>
    <row r="9" spans="2:17" ht="31.35" customHeight="1">
      <c r="B9" s="1306"/>
      <c r="C9" s="981" t="s">
        <v>35</v>
      </c>
      <c r="D9" s="960"/>
      <c r="E9" s="960"/>
      <c r="F9" s="960"/>
      <c r="G9" s="961"/>
      <c r="H9" s="962"/>
      <c r="I9" s="962"/>
      <c r="J9" s="962"/>
      <c r="K9" s="962"/>
      <c r="L9" s="962"/>
      <c r="M9" s="962"/>
      <c r="N9" s="962"/>
      <c r="O9" s="962"/>
      <c r="P9" s="962"/>
      <c r="Q9" s="963"/>
    </row>
    <row r="10" spans="2:17" ht="31.35" customHeight="1">
      <c r="B10" s="1306"/>
      <c r="C10" s="981" t="s">
        <v>36</v>
      </c>
      <c r="D10" s="960"/>
      <c r="E10" s="960"/>
      <c r="F10" s="960"/>
      <c r="G10" s="961"/>
      <c r="H10" s="962"/>
      <c r="I10" s="962"/>
      <c r="J10" s="962"/>
      <c r="K10" s="962"/>
      <c r="L10" s="962"/>
      <c r="M10" s="962"/>
      <c r="N10" s="962"/>
      <c r="O10" s="962"/>
      <c r="P10" s="962"/>
      <c r="Q10" s="963"/>
    </row>
    <row r="11" spans="2:17" ht="31.35" customHeight="1">
      <c r="B11" s="1307"/>
      <c r="C11" s="982" t="s">
        <v>37</v>
      </c>
      <c r="D11" s="964"/>
      <c r="E11" s="964"/>
      <c r="F11" s="964"/>
      <c r="G11" s="965"/>
      <c r="H11" s="966"/>
      <c r="I11" s="966"/>
      <c r="J11" s="966"/>
      <c r="K11" s="966"/>
      <c r="L11" s="966"/>
      <c r="M11" s="966"/>
      <c r="N11" s="966"/>
      <c r="O11" s="966"/>
      <c r="P11" s="966"/>
      <c r="Q11" s="967"/>
    </row>
    <row r="12" spans="2:17" ht="31.35" customHeight="1">
      <c r="B12" s="1308" t="s">
        <v>25</v>
      </c>
      <c r="C12" s="983" t="s">
        <v>26</v>
      </c>
      <c r="D12" s="968"/>
      <c r="E12" s="968"/>
      <c r="F12" s="968"/>
      <c r="G12" s="969"/>
      <c r="H12" s="970"/>
      <c r="I12" s="970"/>
      <c r="J12" s="970"/>
      <c r="K12" s="970"/>
      <c r="L12" s="970"/>
      <c r="M12" s="970"/>
      <c r="N12" s="970"/>
      <c r="O12" s="970"/>
      <c r="P12" s="970"/>
      <c r="Q12" s="971"/>
    </row>
    <row r="13" spans="2:17" ht="31.35" customHeight="1">
      <c r="B13" s="1309"/>
      <c r="C13" s="984" t="s">
        <v>38</v>
      </c>
      <c r="D13" s="953"/>
      <c r="E13" s="953"/>
      <c r="F13" s="953"/>
      <c r="G13" s="954"/>
      <c r="H13" s="955"/>
      <c r="I13" s="955"/>
      <c r="J13" s="955"/>
      <c r="K13" s="955"/>
      <c r="L13" s="955"/>
      <c r="M13" s="955"/>
      <c r="N13" s="955"/>
      <c r="O13" s="955"/>
      <c r="P13" s="955"/>
      <c r="Q13" s="972"/>
    </row>
    <row r="14" spans="2:17" ht="31.35" customHeight="1">
      <c r="B14" s="1309"/>
      <c r="C14" s="984" t="s">
        <v>39</v>
      </c>
      <c r="D14" s="953"/>
      <c r="E14" s="953"/>
      <c r="F14" s="953"/>
      <c r="G14" s="954"/>
      <c r="H14" s="955"/>
      <c r="I14" s="955"/>
      <c r="J14" s="955"/>
      <c r="K14" s="955"/>
      <c r="L14" s="955"/>
      <c r="M14" s="955"/>
      <c r="N14" s="955"/>
      <c r="O14" s="955"/>
      <c r="P14" s="955"/>
      <c r="Q14" s="972"/>
    </row>
    <row r="15" spans="2:17" ht="31.35" customHeight="1">
      <c r="B15" s="1309"/>
      <c r="C15" s="984" t="s">
        <v>40</v>
      </c>
      <c r="D15" s="953"/>
      <c r="E15" s="953"/>
      <c r="F15" s="953"/>
      <c r="G15" s="954"/>
      <c r="H15" s="955"/>
      <c r="I15" s="955"/>
      <c r="J15" s="955"/>
      <c r="K15" s="955"/>
      <c r="L15" s="955"/>
      <c r="M15" s="955"/>
      <c r="N15" s="955"/>
      <c r="O15" s="955"/>
      <c r="P15" s="955"/>
      <c r="Q15" s="972"/>
    </row>
    <row r="16" spans="2:17" ht="31.35" customHeight="1">
      <c r="B16" s="1310"/>
      <c r="C16" s="985" t="s">
        <v>41</v>
      </c>
      <c r="D16" s="973"/>
      <c r="E16" s="973"/>
      <c r="F16" s="973"/>
      <c r="G16" s="974"/>
      <c r="H16" s="975"/>
      <c r="I16" s="975"/>
      <c r="J16" s="975"/>
      <c r="K16" s="975"/>
      <c r="L16" s="975"/>
      <c r="M16" s="975"/>
      <c r="N16" s="975"/>
      <c r="O16" s="975"/>
      <c r="P16" s="975"/>
      <c r="Q16" s="976"/>
    </row>
    <row r="17" spans="2:17" ht="31.35" customHeight="1">
      <c r="B17" s="1311" t="s">
        <v>42</v>
      </c>
      <c r="C17" s="1312"/>
      <c r="D17" s="1312"/>
      <c r="E17" s="1312"/>
      <c r="F17" s="1312"/>
      <c r="G17" s="977"/>
      <c r="H17" s="978"/>
      <c r="I17" s="978"/>
      <c r="J17" s="978"/>
      <c r="K17" s="978"/>
      <c r="L17" s="978"/>
      <c r="M17" s="978"/>
      <c r="N17" s="978"/>
      <c r="O17" s="978"/>
      <c r="P17" s="978"/>
      <c r="Q17" s="979"/>
    </row>
  </sheetData>
  <sheetProtection algorithmName="SHA-512" hashValue="RBiDfDTYmiFP26d60aGtdbAf1CWlfP1swOb8cOxojmYnVbbBQEK6SSk77oi4sH3C6fdn/zg16UzNuYOmsOoYsA==" saltValue="+3VZPsruVVv4xCKLKMHFEg==" spinCount="100000" sheet="1" objects="1" scenarios="1"/>
  <mergeCells count="4">
    <mergeCell ref="B4:P4"/>
    <mergeCell ref="B7:B11"/>
    <mergeCell ref="B12:B16"/>
    <mergeCell ref="B17:F17"/>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7F17-A6F8-43F6-BF93-4BD458D1BEB8}">
  <sheetPr codeName="Sheet11">
    <pageSetUpPr fitToPage="1"/>
  </sheetPr>
  <dimension ref="B2:R208"/>
  <sheetViews>
    <sheetView topLeftCell="A33" zoomScale="60" zoomScaleNormal="60" workbookViewId="0">
      <selection activeCell="E215" sqref="E215"/>
    </sheetView>
  </sheetViews>
  <sheetFormatPr defaultColWidth="9.109375" defaultRowHeight="17.399999999999999"/>
  <cols>
    <col min="1" max="1" width="4.33203125" style="64" customWidth="1"/>
    <col min="2" max="2" width="22.109375" style="634" customWidth="1"/>
    <col min="3" max="3" width="49.109375" style="634" customWidth="1"/>
    <col min="4" max="4" width="83.44140625" style="64" customWidth="1"/>
    <col min="5" max="5" width="48.109375" style="64" customWidth="1"/>
    <col min="6" max="6" width="22.44140625" style="64" customWidth="1"/>
    <col min="7" max="7" width="12.5546875" style="64" customWidth="1"/>
    <col min="8" max="8" width="37.88671875" style="64" customWidth="1"/>
    <col min="9" max="9" width="13" style="64" customWidth="1"/>
    <col min="10" max="10" width="47.44140625" style="64" customWidth="1"/>
    <col min="11" max="16384" width="9.109375" style="64"/>
  </cols>
  <sheetData>
    <row r="2" spans="2:18" ht="33.6" customHeight="1">
      <c r="B2" s="1364" t="s">
        <v>43</v>
      </c>
      <c r="C2" s="1364"/>
      <c r="D2" s="1364"/>
      <c r="E2" s="1364"/>
      <c r="F2" s="1364"/>
      <c r="G2" s="1364"/>
      <c r="H2" s="1364"/>
      <c r="I2" s="1364"/>
    </row>
    <row r="4" spans="2:18" ht="20.399999999999999" customHeight="1">
      <c r="B4" s="1362" t="s">
        <v>44</v>
      </c>
      <c r="C4" s="1362"/>
      <c r="D4" s="1321" t="s">
        <v>45</v>
      </c>
      <c r="E4" s="1321"/>
    </row>
    <row r="5" spans="2:18" ht="21" customHeight="1">
      <c r="B5" s="1363" t="s">
        <v>46</v>
      </c>
      <c r="C5" s="1363"/>
      <c r="D5" s="1322" t="s">
        <v>47</v>
      </c>
      <c r="E5" s="1322"/>
    </row>
    <row r="6" spans="2:18" hidden="1">
      <c r="B6" s="635" t="s">
        <v>48</v>
      </c>
      <c r="C6" s="635"/>
      <c r="D6" s="641" t="s">
        <v>49</v>
      </c>
    </row>
    <row r="7" spans="2:18">
      <c r="C7" s="636"/>
      <c r="D7" s="523"/>
      <c r="F7"/>
      <c r="G7" s="523"/>
      <c r="H7" s="523"/>
      <c r="I7" s="460"/>
    </row>
    <row r="8" spans="2:18" ht="13.8">
      <c r="B8" s="10" t="s">
        <v>50</v>
      </c>
      <c r="C8" s="64"/>
      <c r="D8" s="10"/>
      <c r="F8" s="523"/>
      <c r="G8" s="523"/>
      <c r="H8" s="523"/>
      <c r="I8" s="460"/>
      <c r="M8" s="1368"/>
      <c r="N8" s="1368"/>
      <c r="O8" s="1368"/>
      <c r="P8" s="1368"/>
      <c r="Q8" s="1368"/>
      <c r="R8" s="1368"/>
    </row>
    <row r="9" spans="2:18" ht="13.8">
      <c r="B9" s="11" t="s">
        <v>51</v>
      </c>
      <c r="C9" s="64"/>
      <c r="D9" s="10"/>
      <c r="E9" s="523"/>
      <c r="F9" s="523"/>
      <c r="G9" s="523"/>
      <c r="H9" s="523"/>
      <c r="I9" s="460"/>
      <c r="M9" s="1368"/>
      <c r="N9" s="1368"/>
      <c r="O9" s="1368"/>
      <c r="P9" s="1368"/>
      <c r="Q9" s="1368"/>
      <c r="R9" s="1368"/>
    </row>
    <row r="10" spans="2:18" ht="13.8">
      <c r="B10" s="11" t="s">
        <v>52</v>
      </c>
      <c r="C10" s="64"/>
      <c r="D10" s="10"/>
      <c r="E10" s="523"/>
      <c r="F10" s="523"/>
      <c r="G10" s="523"/>
      <c r="H10" s="523"/>
      <c r="I10" s="460"/>
      <c r="M10" s="1368"/>
      <c r="N10" s="1368"/>
      <c r="O10" s="1368"/>
      <c r="P10" s="1368"/>
      <c r="Q10" s="1368"/>
      <c r="R10" s="1368"/>
    </row>
    <row r="11" spans="2:18" ht="0.6" customHeight="1">
      <c r="C11" s="636"/>
      <c r="D11" s="523"/>
      <c r="E11" s="523"/>
      <c r="F11" s="523"/>
      <c r="G11" s="523"/>
      <c r="H11" s="523"/>
      <c r="I11" s="460"/>
      <c r="M11" s="1368"/>
      <c r="N11" s="1368"/>
      <c r="O11" s="1368"/>
      <c r="P11" s="1368"/>
      <c r="Q11" s="1368"/>
      <c r="R11" s="1368"/>
    </row>
    <row r="12" spans="2:18" ht="14.4" customHeight="1">
      <c r="B12" s="1331" t="s">
        <v>53</v>
      </c>
      <c r="C12" s="1372" t="s">
        <v>54</v>
      </c>
      <c r="D12" s="1372" t="s">
        <v>55</v>
      </c>
      <c r="E12" s="1374" t="s">
        <v>56</v>
      </c>
      <c r="F12" s="1374" t="s">
        <v>57</v>
      </c>
      <c r="G12" s="1374"/>
      <c r="H12" s="1374"/>
      <c r="I12" s="1372" t="s">
        <v>58</v>
      </c>
      <c r="M12" s="1368"/>
      <c r="N12" s="1368"/>
      <c r="O12" s="1368"/>
      <c r="P12" s="1368"/>
      <c r="Q12" s="1368"/>
      <c r="R12" s="1368"/>
    </row>
    <row r="13" spans="2:18" ht="30" customHeight="1">
      <c r="B13" s="1331"/>
      <c r="C13" s="1372"/>
      <c r="D13" s="1372"/>
      <c r="E13" s="1374"/>
      <c r="F13" s="897" t="s">
        <v>59</v>
      </c>
      <c r="G13" s="897" t="s">
        <v>60</v>
      </c>
      <c r="H13" s="897" t="s">
        <v>61</v>
      </c>
      <c r="I13" s="1372"/>
      <c r="M13" s="1368"/>
      <c r="N13" s="1368"/>
      <c r="O13" s="1368"/>
      <c r="P13" s="1368"/>
      <c r="Q13" s="1368"/>
      <c r="R13" s="1368"/>
    </row>
    <row r="14" spans="2:18">
      <c r="B14" s="875"/>
      <c r="C14" s="1365" t="s">
        <v>62</v>
      </c>
      <c r="D14" s="1365"/>
      <c r="E14" s="1365"/>
      <c r="F14" s="1365"/>
      <c r="G14" s="1365"/>
      <c r="H14" s="1365"/>
      <c r="I14" s="1365"/>
      <c r="M14" s="1368"/>
      <c r="N14" s="1368"/>
      <c r="O14" s="1368"/>
      <c r="P14" s="1368"/>
      <c r="Q14" s="1368"/>
      <c r="R14" s="1368"/>
    </row>
    <row r="15" spans="2:18" ht="18" customHeight="1">
      <c r="B15" s="1325"/>
      <c r="C15" s="1373" t="s">
        <v>63</v>
      </c>
      <c r="D15" s="884" t="s">
        <v>64</v>
      </c>
      <c r="E15" s="1266" t="s">
        <v>65</v>
      </c>
      <c r="F15" s="1376" t="s">
        <v>66</v>
      </c>
      <c r="G15" s="1376"/>
      <c r="H15" s="1376"/>
      <c r="I15" s="1376"/>
    </row>
    <row r="16" spans="2:18" ht="18" customHeight="1">
      <c r="B16" s="1325"/>
      <c r="C16" s="1373"/>
      <c r="D16" s="547" t="s">
        <v>67</v>
      </c>
      <c r="E16" s="609" t="s">
        <v>68</v>
      </c>
      <c r="F16" s="1376"/>
      <c r="G16" s="1376"/>
      <c r="H16" s="1376"/>
      <c r="I16" s="1376"/>
    </row>
    <row r="17" spans="2:10" ht="18" customHeight="1">
      <c r="B17" s="1325"/>
      <c r="C17" s="1373"/>
      <c r="D17" s="547" t="s">
        <v>69</v>
      </c>
      <c r="E17" s="609" t="s">
        <v>70</v>
      </c>
      <c r="F17" s="1376"/>
      <c r="G17" s="1376"/>
      <c r="H17" s="1376"/>
      <c r="I17" s="1376"/>
      <c r="J17" s="536"/>
    </row>
    <row r="18" spans="2:10" ht="37.799999999999997">
      <c r="B18" s="1325"/>
      <c r="C18" s="1373"/>
      <c r="D18" s="547" t="s">
        <v>71</v>
      </c>
      <c r="E18" s="609" t="s">
        <v>72</v>
      </c>
      <c r="F18" s="1376"/>
      <c r="G18" s="1376"/>
      <c r="H18" s="1376"/>
      <c r="I18" s="1376"/>
    </row>
    <row r="19" spans="2:10" ht="18" customHeight="1">
      <c r="B19" s="1325"/>
      <c r="C19" s="1373"/>
      <c r="D19" s="547" t="s">
        <v>73</v>
      </c>
      <c r="E19" s="609" t="s">
        <v>74</v>
      </c>
      <c r="F19" s="1376"/>
      <c r="G19" s="1376"/>
      <c r="H19" s="1376"/>
      <c r="I19" s="1376"/>
    </row>
    <row r="20" spans="2:10" ht="18" customHeight="1">
      <c r="B20" s="1325"/>
      <c r="C20" s="1373"/>
      <c r="D20" s="547" t="s">
        <v>75</v>
      </c>
      <c r="E20" s="609" t="s">
        <v>76</v>
      </c>
      <c r="F20" s="550"/>
      <c r="G20" s="550"/>
      <c r="H20" s="550"/>
      <c r="I20" s="1375"/>
    </row>
    <row r="21" spans="2:10" ht="29.4" customHeight="1">
      <c r="B21" s="1325"/>
      <c r="C21" s="1373"/>
      <c r="D21" s="547" t="s">
        <v>77</v>
      </c>
      <c r="E21" s="609" t="s">
        <v>78</v>
      </c>
      <c r="F21" s="550"/>
      <c r="G21" s="550"/>
      <c r="H21" s="550"/>
      <c r="I21" s="1375"/>
    </row>
    <row r="22" spans="2:10" ht="29.4" customHeight="1">
      <c r="B22" s="1325"/>
      <c r="C22" s="1373"/>
      <c r="D22" s="547" t="s">
        <v>79</v>
      </c>
      <c r="E22" s="609" t="s">
        <v>80</v>
      </c>
      <c r="F22" s="550"/>
      <c r="G22" s="550"/>
      <c r="H22" s="550"/>
      <c r="I22" s="1375"/>
    </row>
    <row r="23" spans="2:10" ht="18" customHeight="1">
      <c r="B23" s="1325"/>
      <c r="C23" s="1373"/>
      <c r="D23" s="547" t="s">
        <v>81</v>
      </c>
      <c r="E23" s="609" t="s">
        <v>82</v>
      </c>
      <c r="F23" s="550"/>
      <c r="G23" s="550"/>
      <c r="H23" s="550"/>
      <c r="I23" s="1375"/>
    </row>
    <row r="24" spans="2:10" ht="18" customHeight="1">
      <c r="B24" s="1325"/>
      <c r="C24" s="1373"/>
      <c r="D24" s="551" t="s">
        <v>83</v>
      </c>
      <c r="E24" s="609" t="s">
        <v>84</v>
      </c>
      <c r="F24" s="550"/>
      <c r="G24" s="550"/>
      <c r="H24" s="550"/>
      <c r="I24" s="1375"/>
    </row>
    <row r="25" spans="2:10" ht="18" customHeight="1">
      <c r="B25" s="1325"/>
      <c r="C25" s="1373"/>
      <c r="D25" s="551" t="s">
        <v>85</v>
      </c>
      <c r="E25" s="609" t="s">
        <v>86</v>
      </c>
      <c r="F25" s="550"/>
      <c r="G25" s="550"/>
      <c r="H25" s="550"/>
      <c r="I25" s="1375"/>
    </row>
    <row r="26" spans="2:10" ht="25.2">
      <c r="B26" s="1325"/>
      <c r="C26" s="1373"/>
      <c r="D26" s="551" t="s">
        <v>87</v>
      </c>
      <c r="E26" s="609" t="s">
        <v>88</v>
      </c>
      <c r="F26" s="550"/>
      <c r="G26" s="550"/>
      <c r="H26" s="550"/>
      <c r="I26" s="1375"/>
    </row>
    <row r="27" spans="2:10" ht="18" customHeight="1">
      <c r="B27" s="1325"/>
      <c r="C27" s="1373"/>
      <c r="D27" s="551" t="s">
        <v>89</v>
      </c>
      <c r="E27" s="609" t="s">
        <v>90</v>
      </c>
      <c r="F27" s="550"/>
      <c r="G27" s="550"/>
      <c r="H27" s="550"/>
      <c r="I27" s="1375"/>
    </row>
    <row r="28" spans="2:10" ht="18" customHeight="1">
      <c r="B28" s="1325"/>
      <c r="C28" s="1373"/>
      <c r="D28" s="551" t="s">
        <v>91</v>
      </c>
      <c r="E28" s="609" t="s">
        <v>92</v>
      </c>
      <c r="F28" s="550"/>
      <c r="G28" s="550"/>
      <c r="H28" s="550"/>
      <c r="I28" s="1375"/>
    </row>
    <row r="29" spans="2:10" ht="18" customHeight="1">
      <c r="B29" s="1325"/>
      <c r="C29" s="1373"/>
      <c r="D29" s="1379" t="s">
        <v>93</v>
      </c>
      <c r="E29" s="609" t="s">
        <v>94</v>
      </c>
      <c r="F29" s="1338"/>
      <c r="G29" s="1338"/>
      <c r="H29" s="1338"/>
      <c r="I29" s="1375"/>
    </row>
    <row r="30" spans="2:10" ht="18" customHeight="1">
      <c r="B30" s="1325"/>
      <c r="C30" s="1373"/>
      <c r="D30" s="1379"/>
      <c r="E30" s="1292" t="s">
        <v>95</v>
      </c>
      <c r="F30" s="1338"/>
      <c r="G30" s="1338"/>
      <c r="H30" s="1338"/>
      <c r="I30" s="1375"/>
    </row>
    <row r="31" spans="2:10" ht="25.2">
      <c r="B31" s="1325"/>
      <c r="C31" s="1373"/>
      <c r="D31" s="551" t="s">
        <v>96</v>
      </c>
      <c r="E31" s="609" t="s">
        <v>97</v>
      </c>
      <c r="F31" s="550"/>
      <c r="G31" s="550"/>
      <c r="H31" s="550"/>
      <c r="I31" s="1375"/>
    </row>
    <row r="32" spans="2:10" ht="18" customHeight="1">
      <c r="B32" s="1325"/>
      <c r="C32" s="1373"/>
      <c r="D32" s="551" t="s">
        <v>98</v>
      </c>
      <c r="E32" s="609" t="s">
        <v>99</v>
      </c>
      <c r="F32" s="550"/>
      <c r="G32" s="550"/>
      <c r="H32" s="550"/>
      <c r="I32" s="1375"/>
    </row>
    <row r="33" spans="2:16" ht="18" customHeight="1">
      <c r="B33" s="1325"/>
      <c r="C33" s="1373"/>
      <c r="D33" s="551" t="s">
        <v>100</v>
      </c>
      <c r="E33" s="609" t="s">
        <v>101</v>
      </c>
      <c r="F33" s="550"/>
      <c r="G33" s="550"/>
      <c r="H33" s="550"/>
      <c r="I33" s="1375"/>
    </row>
    <row r="34" spans="2:16" ht="18" customHeight="1">
      <c r="B34" s="1325"/>
      <c r="C34" s="1373"/>
      <c r="D34" s="551" t="s">
        <v>102</v>
      </c>
      <c r="E34" s="609" t="s">
        <v>103</v>
      </c>
      <c r="F34" s="550"/>
      <c r="G34" s="550"/>
      <c r="H34" s="550"/>
      <c r="I34" s="1375"/>
    </row>
    <row r="35" spans="2:16" ht="18" customHeight="1">
      <c r="B35" s="1325"/>
      <c r="C35" s="1373"/>
      <c r="D35" s="551" t="s">
        <v>104</v>
      </c>
      <c r="E35" s="609" t="s">
        <v>105</v>
      </c>
      <c r="F35" s="537"/>
      <c r="G35" s="550"/>
      <c r="H35" s="537"/>
      <c r="I35" s="1375"/>
    </row>
    <row r="36" spans="2:16" ht="18" customHeight="1">
      <c r="B36" s="1325"/>
      <c r="C36" s="1373"/>
      <c r="D36" s="551" t="s">
        <v>106</v>
      </c>
      <c r="E36" s="609" t="s">
        <v>105</v>
      </c>
      <c r="F36" s="537"/>
      <c r="G36" s="550"/>
      <c r="H36" s="537"/>
      <c r="I36" s="1375"/>
    </row>
    <row r="37" spans="2:16" ht="18" customHeight="1">
      <c r="B37" s="1325"/>
      <c r="C37" s="1373"/>
      <c r="D37" s="551" t="s">
        <v>107</v>
      </c>
      <c r="E37" s="609" t="s">
        <v>108</v>
      </c>
      <c r="F37" s="537"/>
      <c r="G37" s="550"/>
      <c r="H37" s="537"/>
      <c r="I37" s="1375"/>
    </row>
    <row r="38" spans="2:16" ht="18" customHeight="1">
      <c r="B38" s="1325"/>
      <c r="C38" s="1373"/>
      <c r="D38" s="1379" t="s">
        <v>109</v>
      </c>
      <c r="E38" s="609" t="s">
        <v>110</v>
      </c>
      <c r="F38" s="1361"/>
      <c r="G38" s="1338"/>
      <c r="H38" s="1361"/>
      <c r="I38" s="1375"/>
    </row>
    <row r="39" spans="2:16" ht="18" customHeight="1">
      <c r="B39" s="1325"/>
      <c r="C39" s="1373"/>
      <c r="D39" s="1379"/>
      <c r="E39" s="1292" t="s">
        <v>111</v>
      </c>
      <c r="F39" s="1361"/>
      <c r="G39" s="1338"/>
      <c r="H39" s="1361"/>
      <c r="I39" s="1375"/>
    </row>
    <row r="40" spans="2:16" ht="18" customHeight="1">
      <c r="B40" s="1325"/>
      <c r="C40" s="1373"/>
      <c r="D40" s="551" t="s">
        <v>112</v>
      </c>
      <c r="E40" s="609" t="s">
        <v>113</v>
      </c>
      <c r="F40" s="537"/>
      <c r="G40" s="550"/>
      <c r="H40" s="537"/>
      <c r="I40" s="1375"/>
    </row>
    <row r="41" spans="2:16" ht="18" customHeight="1">
      <c r="B41" s="1325"/>
      <c r="C41" s="1373"/>
      <c r="D41" s="551" t="s">
        <v>114</v>
      </c>
      <c r="E41" s="609" t="s">
        <v>115</v>
      </c>
      <c r="F41" s="537"/>
      <c r="G41" s="550"/>
      <c r="H41" s="537"/>
      <c r="I41" s="1375"/>
    </row>
    <row r="42" spans="2:16" ht="18" customHeight="1">
      <c r="B42" s="1325"/>
      <c r="C42" s="1373"/>
      <c r="D42" s="551" t="s">
        <v>116</v>
      </c>
      <c r="E42" s="609" t="s">
        <v>115</v>
      </c>
      <c r="F42" s="537"/>
      <c r="G42" s="550"/>
      <c r="H42" s="537"/>
      <c r="I42" s="1375"/>
    </row>
    <row r="43" spans="2:16" ht="25.2">
      <c r="B43" s="1325"/>
      <c r="C43" s="1373"/>
      <c r="D43" s="551" t="s">
        <v>117</v>
      </c>
      <c r="E43" s="609" t="s">
        <v>118</v>
      </c>
      <c r="F43" s="537"/>
      <c r="G43" s="550"/>
      <c r="H43" s="537"/>
      <c r="I43" s="1375"/>
    </row>
    <row r="44" spans="2:16" ht="18" customHeight="1">
      <c r="B44" s="1325"/>
      <c r="C44" s="1373"/>
      <c r="D44" s="551" t="s">
        <v>119</v>
      </c>
      <c r="E44" s="609" t="s">
        <v>120</v>
      </c>
      <c r="F44" s="537"/>
      <c r="G44" s="550"/>
      <c r="H44" s="537"/>
      <c r="I44" s="1375"/>
      <c r="L44" s="1370"/>
      <c r="M44" s="1370"/>
      <c r="N44" s="1370"/>
      <c r="O44" s="1370"/>
      <c r="P44" s="1370"/>
    </row>
    <row r="45" spans="2:16" ht="18" customHeight="1">
      <c r="B45" s="1325"/>
      <c r="C45" s="1373"/>
      <c r="D45" s="551" t="s">
        <v>121</v>
      </c>
      <c r="E45" s="609" t="s">
        <v>122</v>
      </c>
      <c r="F45" s="537"/>
      <c r="G45" s="550"/>
      <c r="H45" s="537"/>
      <c r="I45" s="1375"/>
      <c r="L45" s="1370"/>
      <c r="M45" s="1370"/>
      <c r="N45" s="1370"/>
      <c r="O45" s="1370"/>
      <c r="P45" s="1370"/>
    </row>
    <row r="46" spans="2:16" ht="31.65" customHeight="1">
      <c r="B46" s="1325"/>
      <c r="C46" s="1373"/>
      <c r="D46" s="885" t="s">
        <v>123</v>
      </c>
      <c r="E46" s="866" t="s">
        <v>124</v>
      </c>
      <c r="F46" s="865"/>
      <c r="G46" s="864"/>
      <c r="H46" s="865"/>
      <c r="I46" s="1375"/>
      <c r="L46" s="1370"/>
      <c r="M46" s="1370"/>
      <c r="N46" s="1370"/>
      <c r="O46" s="1370"/>
      <c r="P46" s="1370"/>
    </row>
    <row r="47" spans="2:16" ht="23.1" customHeight="1">
      <c r="B47" s="880"/>
      <c r="C47" s="881" t="s">
        <v>125</v>
      </c>
      <c r="D47" s="882"/>
      <c r="E47" s="882"/>
      <c r="F47" s="882"/>
      <c r="G47" s="882"/>
      <c r="H47" s="882"/>
      <c r="I47" s="883"/>
    </row>
    <row r="48" spans="2:16">
      <c r="B48" s="876"/>
      <c r="C48" s="1378" t="s">
        <v>126</v>
      </c>
      <c r="D48" s="877" t="s">
        <v>127</v>
      </c>
      <c r="E48" s="1266" t="s">
        <v>128</v>
      </c>
      <c r="F48" s="1377" t="s">
        <v>66</v>
      </c>
      <c r="G48" s="1377"/>
      <c r="H48" s="1377"/>
      <c r="I48" s="1377"/>
      <c r="J48" s="536"/>
    </row>
    <row r="49" spans="2:15" ht="28.65" customHeight="1">
      <c r="B49" s="878"/>
      <c r="C49" s="1378"/>
      <c r="D49" s="879" t="s">
        <v>129</v>
      </c>
      <c r="E49" s="866" t="s">
        <v>130</v>
      </c>
      <c r="F49" s="1377"/>
      <c r="G49" s="1377"/>
      <c r="H49" s="1377"/>
      <c r="I49" s="1377"/>
      <c r="L49" s="1369"/>
      <c r="M49" s="1369"/>
      <c r="N49" s="1369"/>
      <c r="O49" s="1369"/>
    </row>
    <row r="50" spans="2:15" ht="13.8">
      <c r="B50" s="1327" t="s">
        <v>131</v>
      </c>
      <c r="C50" s="1330" t="s">
        <v>132</v>
      </c>
      <c r="D50" s="1330"/>
      <c r="E50" s="1330"/>
      <c r="F50" s="1330"/>
      <c r="G50" s="1330"/>
      <c r="H50" s="1330"/>
      <c r="I50" s="1330"/>
    </row>
    <row r="51" spans="2:15" ht="19.649999999999999" customHeight="1">
      <c r="B51" s="1327"/>
      <c r="C51" s="651" t="s">
        <v>126</v>
      </c>
      <c r="D51" s="547" t="s">
        <v>133</v>
      </c>
      <c r="E51" s="609" t="s">
        <v>134</v>
      </c>
      <c r="F51" s="537"/>
      <c r="G51" s="537"/>
      <c r="H51" s="537"/>
      <c r="I51" s="537"/>
    </row>
    <row r="52" spans="2:15" ht="19.649999999999999" customHeight="1">
      <c r="B52" s="1327"/>
      <c r="C52" s="1314" t="s">
        <v>135</v>
      </c>
      <c r="D52" s="547" t="s">
        <v>136</v>
      </c>
      <c r="E52" s="609" t="s">
        <v>137</v>
      </c>
      <c r="F52" s="537"/>
      <c r="G52" s="537"/>
      <c r="H52" s="537"/>
      <c r="I52" s="537"/>
    </row>
    <row r="53" spans="2:15" ht="28.65" customHeight="1">
      <c r="B53" s="1327"/>
      <c r="C53" s="1314"/>
      <c r="D53" s="547" t="s">
        <v>138</v>
      </c>
      <c r="E53" s="609" t="s">
        <v>139</v>
      </c>
      <c r="F53" s="537"/>
      <c r="G53" s="537"/>
      <c r="H53" s="537"/>
      <c r="I53" s="537"/>
    </row>
    <row r="54" spans="2:15" ht="18" customHeight="1">
      <c r="B54" s="1327"/>
      <c r="C54" s="1314"/>
      <c r="D54" s="547" t="s">
        <v>140</v>
      </c>
      <c r="E54" s="1267" t="s">
        <v>141</v>
      </c>
      <c r="F54" s="537"/>
      <c r="G54" s="537"/>
      <c r="H54" s="537"/>
      <c r="I54" s="537"/>
    </row>
    <row r="55" spans="2:15" ht="17.100000000000001" customHeight="1">
      <c r="B55" s="1327"/>
      <c r="C55" s="1314"/>
      <c r="D55" s="867" t="s">
        <v>142</v>
      </c>
      <c r="E55" s="1268" t="s">
        <v>143</v>
      </c>
      <c r="F55" s="865"/>
      <c r="G55" s="865"/>
      <c r="H55" s="865"/>
      <c r="I55" s="865"/>
    </row>
    <row r="56" spans="2:15" ht="13.5" customHeight="1">
      <c r="B56" s="1327" t="s">
        <v>131</v>
      </c>
      <c r="C56" s="1330" t="s">
        <v>144</v>
      </c>
      <c r="D56" s="1330"/>
      <c r="E56" s="1330"/>
      <c r="F56" s="1330"/>
      <c r="G56" s="1330"/>
      <c r="H56" s="1330"/>
      <c r="I56" s="1330"/>
      <c r="L56" s="538"/>
      <c r="M56" s="538"/>
      <c r="N56" s="538"/>
    </row>
    <row r="57" spans="2:15" ht="19.8">
      <c r="B57" s="1327"/>
      <c r="C57" s="1314" t="s">
        <v>126</v>
      </c>
      <c r="D57" s="1328" t="s">
        <v>133</v>
      </c>
      <c r="E57" s="609" t="s">
        <v>145</v>
      </c>
      <c r="F57" s="550"/>
      <c r="G57" s="550"/>
      <c r="H57" s="550"/>
      <c r="I57" s="550"/>
      <c r="L57" s="538"/>
      <c r="M57" s="538"/>
      <c r="N57" s="538"/>
    </row>
    <row r="58" spans="2:15" ht="25.2">
      <c r="B58" s="1327"/>
      <c r="C58" s="1314"/>
      <c r="D58" s="1328"/>
      <c r="E58" s="1292" t="s">
        <v>146</v>
      </c>
      <c r="F58" s="550"/>
      <c r="G58" s="550"/>
      <c r="H58" s="550"/>
      <c r="I58" s="550"/>
      <c r="L58" s="538"/>
      <c r="M58" s="538"/>
      <c r="N58" s="538"/>
    </row>
    <row r="59" spans="2:15" ht="28.65" customHeight="1">
      <c r="B59" s="1327"/>
      <c r="C59" s="1329" t="s">
        <v>147</v>
      </c>
      <c r="D59" s="537" t="s">
        <v>148</v>
      </c>
      <c r="E59" s="609" t="s">
        <v>149</v>
      </c>
      <c r="F59" s="550"/>
      <c r="G59" s="550"/>
      <c r="H59" s="550"/>
      <c r="I59" s="550"/>
      <c r="L59" s="538"/>
      <c r="M59" s="538"/>
      <c r="N59" s="538"/>
    </row>
    <row r="60" spans="2:15" ht="28.65" customHeight="1">
      <c r="B60" s="1327"/>
      <c r="C60" s="1329"/>
      <c r="D60" s="537" t="s">
        <v>150</v>
      </c>
      <c r="E60" s="609" t="s">
        <v>149</v>
      </c>
      <c r="F60" s="550"/>
      <c r="G60" s="550"/>
      <c r="H60" s="550"/>
      <c r="I60" s="550"/>
      <c r="L60" s="538"/>
      <c r="M60" s="538"/>
      <c r="N60" s="538"/>
    </row>
    <row r="61" spans="2:15" ht="28.65" customHeight="1">
      <c r="B61" s="1327"/>
      <c r="C61" s="1329"/>
      <c r="D61" s="865" t="s">
        <v>151</v>
      </c>
      <c r="E61" s="866" t="s">
        <v>149</v>
      </c>
      <c r="F61" s="864"/>
      <c r="G61" s="864"/>
      <c r="H61" s="864"/>
      <c r="I61" s="864"/>
      <c r="L61" s="538"/>
      <c r="M61" s="538"/>
      <c r="N61" s="538"/>
    </row>
    <row r="62" spans="2:15" ht="13.8">
      <c r="B62" s="1326" t="s">
        <v>37</v>
      </c>
      <c r="C62" s="1330" t="s">
        <v>152</v>
      </c>
      <c r="D62" s="1330"/>
      <c r="E62" s="1330"/>
      <c r="F62" s="1330"/>
      <c r="G62" s="1330"/>
      <c r="H62" s="1330"/>
      <c r="I62" s="1330"/>
    </row>
    <row r="63" spans="2:15" ht="19.649999999999999" customHeight="1">
      <c r="B63" s="1326"/>
      <c r="C63" s="651" t="s">
        <v>126</v>
      </c>
      <c r="D63" s="537" t="s">
        <v>133</v>
      </c>
      <c r="E63" s="609" t="s">
        <v>153</v>
      </c>
      <c r="F63" s="550"/>
      <c r="G63" s="550"/>
      <c r="H63" s="550"/>
      <c r="I63" s="550"/>
    </row>
    <row r="64" spans="2:15" ht="50.4">
      <c r="B64" s="1326"/>
      <c r="C64" s="1314" t="s">
        <v>154</v>
      </c>
      <c r="D64" s="1249" t="s">
        <v>155</v>
      </c>
      <c r="E64" s="1269"/>
      <c r="F64" s="1208" t="s">
        <v>156</v>
      </c>
      <c r="G64" s="744" t="s">
        <v>157</v>
      </c>
      <c r="H64" s="609" t="s">
        <v>158</v>
      </c>
      <c r="I64" s="550"/>
    </row>
    <row r="65" spans="2:9" ht="19.649999999999999" customHeight="1">
      <c r="B65" s="1326"/>
      <c r="C65" s="1314"/>
      <c r="D65" s="537" t="s">
        <v>159</v>
      </c>
      <c r="E65" s="609" t="s">
        <v>160</v>
      </c>
      <c r="F65" s="610"/>
      <c r="G65" s="610"/>
      <c r="H65" s="610"/>
      <c r="I65" s="550"/>
    </row>
    <row r="66" spans="2:9" ht="50.4">
      <c r="B66" s="1326"/>
      <c r="C66" s="1314"/>
      <c r="D66" s="865" t="s">
        <v>161</v>
      </c>
      <c r="E66" s="866" t="s">
        <v>160</v>
      </c>
      <c r="F66" s="866" t="s">
        <v>162</v>
      </c>
      <c r="G66" s="866" t="s">
        <v>157</v>
      </c>
      <c r="H66" s="866" t="s">
        <v>163</v>
      </c>
      <c r="I66" s="864"/>
    </row>
    <row r="67" spans="2:9" ht="13.8">
      <c r="B67" s="1313" t="s">
        <v>33</v>
      </c>
      <c r="C67" s="1330" t="s">
        <v>164</v>
      </c>
      <c r="D67" s="1330"/>
      <c r="E67" s="1330"/>
      <c r="F67" s="1330"/>
      <c r="G67" s="1330"/>
      <c r="H67" s="1330"/>
      <c r="I67" s="1330"/>
    </row>
    <row r="68" spans="2:9" ht="20.399999999999999" customHeight="1">
      <c r="B68" s="1313"/>
      <c r="C68" s="651" t="s">
        <v>126</v>
      </c>
      <c r="D68" s="547" t="s">
        <v>133</v>
      </c>
      <c r="E68" s="609" t="s">
        <v>165</v>
      </c>
      <c r="F68" s="550"/>
      <c r="G68" s="550"/>
      <c r="H68" s="550"/>
      <c r="I68" s="550"/>
    </row>
    <row r="69" spans="2:9" ht="29.4" customHeight="1">
      <c r="B69" s="1313"/>
      <c r="C69" s="1314" t="s">
        <v>166</v>
      </c>
      <c r="D69" s="547" t="s">
        <v>167</v>
      </c>
      <c r="E69" s="609" t="s">
        <v>168</v>
      </c>
      <c r="F69" s="550"/>
      <c r="G69" s="550"/>
      <c r="H69" s="550"/>
      <c r="I69" s="550"/>
    </row>
    <row r="70" spans="2:9" ht="29.4" customHeight="1">
      <c r="B70" s="1313"/>
      <c r="C70" s="1314"/>
      <c r="D70" s="547" t="s">
        <v>169</v>
      </c>
      <c r="E70" s="609" t="s">
        <v>168</v>
      </c>
      <c r="F70" s="550"/>
      <c r="G70" s="550"/>
      <c r="H70" s="550"/>
      <c r="I70" s="550"/>
    </row>
    <row r="71" spans="2:9" ht="29.4" customHeight="1">
      <c r="B71" s="1313"/>
      <c r="C71" s="1314"/>
      <c r="D71" s="547" t="s">
        <v>170</v>
      </c>
      <c r="E71" s="609" t="s">
        <v>168</v>
      </c>
      <c r="F71" s="550"/>
      <c r="G71" s="550"/>
      <c r="H71" s="550"/>
      <c r="I71" s="550"/>
    </row>
    <row r="72" spans="2:9" ht="29.4" customHeight="1">
      <c r="B72" s="1313"/>
      <c r="C72" s="1314"/>
      <c r="D72" s="547" t="s">
        <v>171</v>
      </c>
      <c r="E72" s="609" t="s">
        <v>168</v>
      </c>
      <c r="F72" s="550"/>
      <c r="G72" s="550"/>
      <c r="H72" s="550"/>
      <c r="I72" s="550"/>
    </row>
    <row r="73" spans="2:9" ht="17.399999999999999" customHeight="1">
      <c r="B73" s="1313"/>
      <c r="C73" s="1314"/>
      <c r="D73" s="863" t="s">
        <v>172</v>
      </c>
      <c r="E73" s="866" t="s">
        <v>173</v>
      </c>
      <c r="F73" s="1208"/>
      <c r="G73" s="744"/>
      <c r="H73" s="609"/>
      <c r="I73" s="864"/>
    </row>
    <row r="74" spans="2:9" ht="13.8">
      <c r="B74" s="1313" t="s">
        <v>35</v>
      </c>
      <c r="C74" s="1330" t="s">
        <v>174</v>
      </c>
      <c r="D74" s="1330"/>
      <c r="E74" s="1330"/>
      <c r="F74" s="1330"/>
      <c r="G74" s="1330"/>
      <c r="H74" s="1330"/>
      <c r="I74" s="1330"/>
    </row>
    <row r="75" spans="2:9" ht="27.6" customHeight="1">
      <c r="B75" s="1313"/>
      <c r="C75" s="651" t="s">
        <v>126</v>
      </c>
      <c r="D75" s="547" t="s">
        <v>133</v>
      </c>
      <c r="E75" s="609" t="s">
        <v>175</v>
      </c>
      <c r="F75" s="550"/>
      <c r="G75" s="550"/>
      <c r="H75" s="550"/>
      <c r="I75" s="550"/>
    </row>
    <row r="76" spans="2:9" ht="30" customHeight="1">
      <c r="B76" s="1313"/>
      <c r="C76" s="1314" t="s">
        <v>176</v>
      </c>
      <c r="D76" s="547" t="s">
        <v>177</v>
      </c>
      <c r="E76" s="609" t="s">
        <v>178</v>
      </c>
      <c r="F76" s="550"/>
      <c r="G76" s="550"/>
      <c r="H76" s="550"/>
      <c r="I76" s="550"/>
    </row>
    <row r="77" spans="2:9" ht="30" customHeight="1">
      <c r="B77" s="1313"/>
      <c r="C77" s="1314"/>
      <c r="D77" s="547" t="s">
        <v>179</v>
      </c>
      <c r="E77" s="609" t="s">
        <v>178</v>
      </c>
      <c r="F77" s="550"/>
      <c r="G77" s="550"/>
      <c r="H77" s="550"/>
      <c r="I77" s="550"/>
    </row>
    <row r="78" spans="2:9" ht="30" customHeight="1">
      <c r="B78" s="1313"/>
      <c r="C78" s="1314"/>
      <c r="D78" s="547" t="s">
        <v>180</v>
      </c>
      <c r="E78" s="609" t="s">
        <v>178</v>
      </c>
      <c r="F78" s="550"/>
      <c r="G78" s="550"/>
      <c r="H78" s="550"/>
      <c r="I78" s="550"/>
    </row>
    <row r="79" spans="2:9" ht="30" customHeight="1">
      <c r="B79" s="1313"/>
      <c r="C79" s="1314"/>
      <c r="D79" s="547" t="s">
        <v>181</v>
      </c>
      <c r="E79" s="609" t="s">
        <v>178</v>
      </c>
      <c r="F79" s="550"/>
      <c r="G79" s="550"/>
      <c r="H79" s="550"/>
      <c r="I79" s="550"/>
    </row>
    <row r="80" spans="2:9" ht="30" customHeight="1">
      <c r="B80" s="1313"/>
      <c r="C80" s="1314"/>
      <c r="D80" s="863" t="s">
        <v>182</v>
      </c>
      <c r="E80" s="866" t="s">
        <v>178</v>
      </c>
      <c r="F80" s="864"/>
      <c r="G80" s="864"/>
      <c r="H80" s="864"/>
      <c r="I80" s="864"/>
    </row>
    <row r="81" spans="2:9" ht="13.8">
      <c r="B81" s="1332" t="s">
        <v>34</v>
      </c>
      <c r="C81" s="1330" t="s">
        <v>183</v>
      </c>
      <c r="D81" s="1330"/>
      <c r="E81" s="1330"/>
      <c r="F81" s="1330"/>
      <c r="G81" s="1330"/>
      <c r="H81" s="1330"/>
      <c r="I81" s="1330"/>
    </row>
    <row r="82" spans="2:9" ht="30.6" customHeight="1">
      <c r="B82" s="1332"/>
      <c r="C82" s="651" t="s">
        <v>126</v>
      </c>
      <c r="D82" s="547" t="s">
        <v>133</v>
      </c>
      <c r="E82" s="609" t="s">
        <v>184</v>
      </c>
      <c r="F82" s="550"/>
      <c r="G82" s="550"/>
      <c r="H82" s="550"/>
      <c r="I82" s="550"/>
    </row>
    <row r="83" spans="2:9" ht="30.6" customHeight="1">
      <c r="B83" s="1332"/>
      <c r="C83" s="1314" t="s">
        <v>185</v>
      </c>
      <c r="D83" s="547" t="s">
        <v>186</v>
      </c>
      <c r="E83" s="609" t="s">
        <v>187</v>
      </c>
      <c r="F83" s="550"/>
      <c r="G83" s="550"/>
      <c r="H83" s="550"/>
      <c r="I83" s="550"/>
    </row>
    <row r="84" spans="2:9" ht="30.6" customHeight="1">
      <c r="B84" s="1332"/>
      <c r="C84" s="1314"/>
      <c r="D84" s="547" t="s">
        <v>188</v>
      </c>
      <c r="E84" s="609" t="s">
        <v>187</v>
      </c>
      <c r="F84" s="550"/>
      <c r="G84" s="550"/>
      <c r="H84" s="550"/>
      <c r="I84" s="550"/>
    </row>
    <row r="85" spans="2:9" ht="30.6" customHeight="1">
      <c r="B85" s="1332"/>
      <c r="C85" s="1314"/>
      <c r="D85" s="547" t="s">
        <v>189</v>
      </c>
      <c r="E85" s="609" t="s">
        <v>187</v>
      </c>
      <c r="F85" s="550"/>
      <c r="G85" s="550"/>
      <c r="H85" s="550"/>
      <c r="I85" s="550"/>
    </row>
    <row r="86" spans="2:9" ht="30.6" customHeight="1">
      <c r="B86" s="1332"/>
      <c r="C86" s="1314"/>
      <c r="D86" s="547" t="s">
        <v>190</v>
      </c>
      <c r="E86" s="609" t="s">
        <v>191</v>
      </c>
      <c r="F86" s="550"/>
      <c r="G86" s="550"/>
      <c r="H86" s="550"/>
      <c r="I86" s="550"/>
    </row>
    <row r="87" spans="2:9" ht="30.6" customHeight="1">
      <c r="B87" s="1332"/>
      <c r="C87" s="1314"/>
      <c r="D87" s="547" t="s">
        <v>192</v>
      </c>
      <c r="E87" s="609" t="s">
        <v>187</v>
      </c>
      <c r="F87" s="550"/>
      <c r="G87" s="550"/>
      <c r="H87" s="550"/>
      <c r="I87" s="550"/>
    </row>
    <row r="88" spans="2:9" ht="30.6" customHeight="1">
      <c r="B88" s="1332"/>
      <c r="C88" s="1314"/>
      <c r="D88" s="547" t="s">
        <v>193</v>
      </c>
      <c r="E88" s="609" t="s">
        <v>194</v>
      </c>
      <c r="F88" s="550"/>
      <c r="G88" s="550"/>
      <c r="H88" s="550"/>
      <c r="I88" s="550"/>
    </row>
    <row r="89" spans="2:9" ht="30.6" customHeight="1">
      <c r="B89" s="1332"/>
      <c r="C89" s="1314"/>
      <c r="D89" s="863" t="s">
        <v>195</v>
      </c>
      <c r="E89" s="866" t="s">
        <v>178</v>
      </c>
      <c r="F89" s="864"/>
      <c r="G89" s="864"/>
      <c r="H89" s="864"/>
      <c r="I89" s="864"/>
    </row>
    <row r="90" spans="2:9" ht="13.8">
      <c r="B90" s="1313" t="s">
        <v>36</v>
      </c>
      <c r="C90" s="1330" t="s">
        <v>196</v>
      </c>
      <c r="D90" s="1330"/>
      <c r="E90" s="1330"/>
      <c r="F90" s="1330"/>
      <c r="G90" s="1330"/>
      <c r="H90" s="1330"/>
      <c r="I90" s="1330"/>
    </row>
    <row r="91" spans="2:9" ht="16.2">
      <c r="B91" s="1313"/>
      <c r="C91" s="651" t="s">
        <v>126</v>
      </c>
      <c r="D91" s="547" t="s">
        <v>133</v>
      </c>
      <c r="E91" s="609" t="s">
        <v>197</v>
      </c>
      <c r="F91" s="550"/>
      <c r="G91" s="550"/>
      <c r="H91" s="550"/>
      <c r="I91" s="550"/>
    </row>
    <row r="92" spans="2:9" ht="29.4" customHeight="1">
      <c r="B92" s="1313"/>
      <c r="C92" s="1314" t="s">
        <v>198</v>
      </c>
      <c r="D92" s="547" t="s">
        <v>199</v>
      </c>
      <c r="E92" s="609" t="s">
        <v>178</v>
      </c>
      <c r="F92" s="550"/>
      <c r="G92" s="550"/>
      <c r="H92" s="550"/>
      <c r="I92" s="550"/>
    </row>
    <row r="93" spans="2:9" ht="29.4" customHeight="1">
      <c r="B93" s="1313"/>
      <c r="C93" s="1314"/>
      <c r="D93" s="547" t="s">
        <v>200</v>
      </c>
      <c r="E93" s="609" t="s">
        <v>178</v>
      </c>
      <c r="F93" s="550"/>
      <c r="G93" s="550"/>
      <c r="H93" s="550"/>
      <c r="I93" s="550"/>
    </row>
    <row r="94" spans="2:9" ht="29.4" customHeight="1">
      <c r="B94" s="1313"/>
      <c r="C94" s="1314"/>
      <c r="D94" s="547" t="s">
        <v>201</v>
      </c>
      <c r="E94" s="609" t="s">
        <v>202</v>
      </c>
      <c r="F94" s="550"/>
      <c r="G94" s="550"/>
      <c r="H94" s="550"/>
      <c r="I94" s="550"/>
    </row>
    <row r="95" spans="2:9" ht="29.4" customHeight="1">
      <c r="B95" s="1313"/>
      <c r="C95" s="1314"/>
      <c r="D95" s="547" t="s">
        <v>203</v>
      </c>
      <c r="E95" s="609" t="s">
        <v>202</v>
      </c>
      <c r="F95" s="550"/>
      <c r="G95" s="550"/>
      <c r="H95" s="550"/>
      <c r="I95" s="550"/>
    </row>
    <row r="96" spans="2:9" ht="29.4" customHeight="1">
      <c r="B96" s="1313"/>
      <c r="C96" s="1314"/>
      <c r="D96" s="863" t="s">
        <v>204</v>
      </c>
      <c r="E96" s="866" t="s">
        <v>202</v>
      </c>
      <c r="F96" s="864"/>
      <c r="G96" s="864"/>
      <c r="H96" s="864"/>
      <c r="I96" s="864"/>
    </row>
    <row r="97" spans="2:9" ht="13.8">
      <c r="B97" s="1323" t="s">
        <v>41</v>
      </c>
      <c r="C97" s="1330" t="s">
        <v>205</v>
      </c>
      <c r="D97" s="1330"/>
      <c r="E97" s="1330"/>
      <c r="F97" s="1330"/>
      <c r="G97" s="1330"/>
      <c r="H97" s="1330"/>
      <c r="I97" s="1330"/>
    </row>
    <row r="98" spans="2:9" ht="30.6" customHeight="1">
      <c r="B98" s="1323"/>
      <c r="C98" s="651" t="s">
        <v>126</v>
      </c>
      <c r="D98" s="547" t="s">
        <v>133</v>
      </c>
      <c r="E98" s="609" t="s">
        <v>206</v>
      </c>
      <c r="F98" s="550"/>
      <c r="G98" s="550"/>
      <c r="H98" s="550"/>
      <c r="I98" s="550"/>
    </row>
    <row r="99" spans="2:9" ht="30.6" customHeight="1">
      <c r="B99" s="1323"/>
      <c r="C99" s="1314" t="s">
        <v>207</v>
      </c>
      <c r="D99" s="537" t="s">
        <v>208</v>
      </c>
      <c r="E99" s="609" t="s">
        <v>209</v>
      </c>
      <c r="F99" s="550"/>
      <c r="G99" s="550"/>
      <c r="H99" s="550"/>
      <c r="I99" s="550"/>
    </row>
    <row r="100" spans="2:9" ht="50.4">
      <c r="B100" s="1323"/>
      <c r="C100" s="1314"/>
      <c r="D100" s="865" t="s">
        <v>210</v>
      </c>
      <c r="E100" s="866" t="s">
        <v>209</v>
      </c>
      <c r="F100" s="1210" t="s">
        <v>211</v>
      </c>
      <c r="G100" s="866" t="s">
        <v>157</v>
      </c>
      <c r="H100" s="866" t="s">
        <v>212</v>
      </c>
      <c r="I100" s="864"/>
    </row>
    <row r="101" spans="2:9" ht="13.8">
      <c r="B101" s="1323" t="s">
        <v>26</v>
      </c>
      <c r="C101" s="1330" t="s">
        <v>213</v>
      </c>
      <c r="D101" s="1330"/>
      <c r="E101" s="1330"/>
      <c r="F101" s="1330"/>
      <c r="G101" s="1330"/>
      <c r="H101" s="1330"/>
      <c r="I101" s="1330"/>
    </row>
    <row r="102" spans="2:9" ht="13.8">
      <c r="B102" s="1323"/>
      <c r="C102" s="1314" t="s">
        <v>126</v>
      </c>
      <c r="D102" s="1371" t="s">
        <v>133</v>
      </c>
      <c r="E102" s="1270" t="s">
        <v>214</v>
      </c>
      <c r="F102" s="1351"/>
      <c r="G102" s="1351"/>
      <c r="H102" s="1351"/>
      <c r="I102" s="1351"/>
    </row>
    <row r="103" spans="2:9" ht="25.2">
      <c r="B103" s="1323"/>
      <c r="C103" s="1314"/>
      <c r="D103" s="1371"/>
      <c r="E103" s="1293" t="s">
        <v>215</v>
      </c>
      <c r="F103" s="1351"/>
      <c r="G103" s="1351"/>
      <c r="H103" s="1351"/>
      <c r="I103" s="1351"/>
    </row>
    <row r="104" spans="2:9" ht="17.399999999999999" customHeight="1">
      <c r="B104" s="1323"/>
      <c r="C104" s="1314" t="s">
        <v>216</v>
      </c>
      <c r="D104" s="554" t="s">
        <v>217</v>
      </c>
      <c r="E104" s="1271" t="s">
        <v>218</v>
      </c>
      <c r="F104" s="550"/>
      <c r="G104" s="550"/>
      <c r="H104" s="550"/>
      <c r="I104" s="550"/>
    </row>
    <row r="105" spans="2:9" ht="17.399999999999999" customHeight="1">
      <c r="B105" s="1323"/>
      <c r="C105" s="1314"/>
      <c r="D105" s="547" t="s">
        <v>219</v>
      </c>
      <c r="E105" s="1271" t="s">
        <v>218</v>
      </c>
      <c r="F105" s="550"/>
      <c r="G105" s="550"/>
      <c r="H105" s="550"/>
      <c r="I105" s="550"/>
    </row>
    <row r="106" spans="2:9" ht="17.399999999999999" customHeight="1">
      <c r="B106" s="1323"/>
      <c r="C106" s="1314"/>
      <c r="D106" s="547" t="s">
        <v>220</v>
      </c>
      <c r="E106" s="1271" t="s">
        <v>218</v>
      </c>
      <c r="F106" s="550"/>
      <c r="G106" s="550"/>
      <c r="H106" s="550"/>
      <c r="I106" s="550"/>
    </row>
    <row r="107" spans="2:9" ht="28.65" customHeight="1">
      <c r="B107" s="1323"/>
      <c r="C107" s="1314"/>
      <c r="D107" s="547" t="s">
        <v>221</v>
      </c>
      <c r="E107" s="1271" t="s">
        <v>218</v>
      </c>
      <c r="F107" s="550"/>
      <c r="G107" s="550"/>
      <c r="H107" s="550"/>
      <c r="I107" s="550"/>
    </row>
    <row r="108" spans="2:9" ht="17.399999999999999" customHeight="1">
      <c r="B108" s="1323"/>
      <c r="C108" s="1314"/>
      <c r="D108" s="547" t="s">
        <v>222</v>
      </c>
      <c r="E108" s="1271" t="s">
        <v>218</v>
      </c>
      <c r="F108" s="550"/>
      <c r="G108" s="550"/>
      <c r="H108" s="550"/>
      <c r="I108" s="550"/>
    </row>
    <row r="109" spans="2:9" ht="17.399999999999999" customHeight="1">
      <c r="B109" s="1323"/>
      <c r="C109" s="1314"/>
      <c r="D109" s="547" t="s">
        <v>223</v>
      </c>
      <c r="E109" s="1271" t="s">
        <v>218</v>
      </c>
      <c r="F109" s="550"/>
      <c r="G109" s="550"/>
      <c r="H109" s="550"/>
      <c r="I109" s="550"/>
    </row>
    <row r="110" spans="2:9" ht="27" customHeight="1">
      <c r="B110" s="1323"/>
      <c r="C110" s="1314"/>
      <c r="D110" s="547" t="s">
        <v>224</v>
      </c>
      <c r="E110" s="1271" t="s">
        <v>218</v>
      </c>
      <c r="F110" s="550"/>
      <c r="G110" s="550"/>
      <c r="H110" s="550"/>
      <c r="I110" s="550"/>
    </row>
    <row r="111" spans="2:9" ht="31.65" customHeight="1">
      <c r="B111" s="1323"/>
      <c r="C111" s="1314"/>
      <c r="D111" s="547" t="s">
        <v>225</v>
      </c>
      <c r="E111" s="1271" t="s">
        <v>226</v>
      </c>
      <c r="F111" s="550"/>
      <c r="G111" s="550"/>
      <c r="H111" s="550"/>
      <c r="I111" s="550"/>
    </row>
    <row r="112" spans="2:9" ht="15.6" customHeight="1">
      <c r="B112" s="1323"/>
      <c r="C112" s="1314"/>
      <c r="D112" s="547" t="s">
        <v>227</v>
      </c>
      <c r="E112" s="1272" t="s">
        <v>228</v>
      </c>
      <c r="F112" s="550"/>
      <c r="G112" s="550"/>
      <c r="H112" s="550"/>
      <c r="I112" s="550"/>
    </row>
    <row r="113" spans="2:10" ht="17.399999999999999" customHeight="1">
      <c r="B113" s="1323"/>
      <c r="C113" s="1314"/>
      <c r="D113" s="863" t="s">
        <v>229</v>
      </c>
      <c r="E113" s="1273" t="s">
        <v>228</v>
      </c>
      <c r="F113" s="864"/>
      <c r="G113" s="864"/>
      <c r="H113" s="864"/>
      <c r="I113" s="864"/>
    </row>
    <row r="114" spans="2:10" ht="13.8">
      <c r="B114" s="1323" t="s">
        <v>39</v>
      </c>
      <c r="C114" s="1330" t="s">
        <v>230</v>
      </c>
      <c r="D114" s="1330"/>
      <c r="E114" s="1330"/>
      <c r="F114" s="1330"/>
      <c r="G114" s="1330"/>
      <c r="H114" s="1330"/>
      <c r="I114" s="1330"/>
    </row>
    <row r="115" spans="2:10" ht="16.2">
      <c r="B115" s="1323"/>
      <c r="C115" s="651" t="s">
        <v>126</v>
      </c>
      <c r="D115" s="547" t="s">
        <v>133</v>
      </c>
      <c r="E115" s="609" t="s">
        <v>231</v>
      </c>
      <c r="F115" s="550"/>
      <c r="G115" s="550"/>
      <c r="H115" s="550"/>
      <c r="I115" s="550"/>
    </row>
    <row r="116" spans="2:10" ht="25.2">
      <c r="B116" s="1323"/>
      <c r="C116" s="1314" t="s">
        <v>232</v>
      </c>
      <c r="D116" s="547" t="s">
        <v>233</v>
      </c>
      <c r="E116" s="609" t="s">
        <v>234</v>
      </c>
      <c r="F116" s="550"/>
      <c r="G116" s="550"/>
      <c r="H116" s="550"/>
      <c r="I116" s="550"/>
    </row>
    <row r="117" spans="2:10" ht="25.2">
      <c r="B117" s="1323"/>
      <c r="C117" s="1314"/>
      <c r="D117" s="1328" t="s">
        <v>235</v>
      </c>
      <c r="E117" s="609" t="s">
        <v>236</v>
      </c>
      <c r="F117" s="1380" t="s">
        <v>237</v>
      </c>
      <c r="G117" s="1337" t="s">
        <v>157</v>
      </c>
      <c r="H117" s="1337" t="s">
        <v>238</v>
      </c>
      <c r="I117" s="1338"/>
    </row>
    <row r="118" spans="2:10" ht="28.65" customHeight="1">
      <c r="B118" s="1323"/>
      <c r="C118" s="1314"/>
      <c r="D118" s="1328"/>
      <c r="E118" s="1294" t="s">
        <v>239</v>
      </c>
      <c r="F118" s="1380"/>
      <c r="G118" s="1337"/>
      <c r="H118" s="1337"/>
      <c r="I118" s="1338"/>
    </row>
    <row r="119" spans="2:10" ht="13.8">
      <c r="B119" s="1324" t="s">
        <v>38</v>
      </c>
      <c r="C119" s="868" t="s">
        <v>240</v>
      </c>
      <c r="D119" s="868"/>
      <c r="E119" s="868"/>
      <c r="F119" s="869"/>
      <c r="G119" s="869"/>
      <c r="H119" s="869"/>
      <c r="I119" s="868"/>
    </row>
    <row r="120" spans="2:10" ht="16.2">
      <c r="B120" s="1324"/>
      <c r="C120" s="651" t="s">
        <v>126</v>
      </c>
      <c r="D120" s="547" t="s">
        <v>133</v>
      </c>
      <c r="E120" s="609" t="s">
        <v>241</v>
      </c>
      <c r="F120" s="610"/>
      <c r="G120" s="610"/>
      <c r="H120" s="610"/>
      <c r="I120" s="550"/>
    </row>
    <row r="121" spans="2:10" ht="25.2">
      <c r="B121" s="1324"/>
      <c r="C121" s="862" t="s">
        <v>242</v>
      </c>
      <c r="D121" s="863" t="s">
        <v>243</v>
      </c>
      <c r="E121" s="866" t="s">
        <v>244</v>
      </c>
      <c r="F121" s="870"/>
      <c r="G121" s="870"/>
      <c r="H121" s="870"/>
      <c r="I121" s="864"/>
    </row>
    <row r="122" spans="2:10" ht="13.5" customHeight="1">
      <c r="B122" s="1324" t="s">
        <v>38</v>
      </c>
      <c r="C122" s="1381" t="s">
        <v>245</v>
      </c>
      <c r="D122" s="1381"/>
      <c r="E122" s="868"/>
      <c r="F122" s="869"/>
      <c r="G122" s="869"/>
      <c r="H122" s="869"/>
      <c r="I122" s="868"/>
    </row>
    <row r="123" spans="2:10" ht="16.2">
      <c r="B123" s="1324"/>
      <c r="C123" s="651" t="s">
        <v>126</v>
      </c>
      <c r="D123" s="547" t="s">
        <v>133</v>
      </c>
      <c r="E123" s="609" t="s">
        <v>246</v>
      </c>
      <c r="F123" s="610"/>
      <c r="G123" s="610"/>
      <c r="H123" s="610"/>
      <c r="I123" s="550"/>
    </row>
    <row r="124" spans="2:10" ht="50.4">
      <c r="B124" s="1324"/>
      <c r="C124" s="862" t="s">
        <v>247</v>
      </c>
      <c r="D124" s="865" t="s">
        <v>248</v>
      </c>
      <c r="E124" s="866" t="s">
        <v>236</v>
      </c>
      <c r="F124" s="866" t="s">
        <v>162</v>
      </c>
      <c r="G124" s="866" t="s">
        <v>157</v>
      </c>
      <c r="H124" s="866" t="s">
        <v>249</v>
      </c>
      <c r="I124" s="864"/>
      <c r="J124" s="633"/>
    </row>
    <row r="125" spans="2:10" ht="13.8">
      <c r="B125" s="1324" t="s">
        <v>38</v>
      </c>
      <c r="C125" s="868" t="s">
        <v>250</v>
      </c>
      <c r="D125" s="868"/>
      <c r="E125" s="868"/>
      <c r="F125" s="869"/>
      <c r="G125" s="869"/>
      <c r="H125" s="869"/>
      <c r="I125" s="868"/>
    </row>
    <row r="126" spans="2:10" ht="16.2">
      <c r="B126" s="1324"/>
      <c r="C126" s="651" t="s">
        <v>126</v>
      </c>
      <c r="D126" s="547" t="s">
        <v>133</v>
      </c>
      <c r="E126" s="609" t="s">
        <v>251</v>
      </c>
      <c r="F126" s="550"/>
      <c r="G126" s="550"/>
      <c r="H126" s="550"/>
      <c r="I126" s="550"/>
    </row>
    <row r="127" spans="2:10" ht="25.2">
      <c r="B127" s="1324"/>
      <c r="C127" s="862" t="s">
        <v>252</v>
      </c>
      <c r="D127" s="863" t="s">
        <v>253</v>
      </c>
      <c r="E127" s="866" t="s">
        <v>209</v>
      </c>
      <c r="F127" s="864"/>
      <c r="G127" s="864"/>
      <c r="H127" s="864"/>
      <c r="I127" s="864"/>
    </row>
    <row r="128" spans="2:10" ht="13.8">
      <c r="B128" s="1324" t="s">
        <v>38</v>
      </c>
      <c r="C128" s="1330" t="s">
        <v>254</v>
      </c>
      <c r="D128" s="1330"/>
      <c r="E128" s="1330"/>
      <c r="F128" s="1330"/>
      <c r="G128" s="1330"/>
      <c r="H128" s="1330"/>
      <c r="I128" s="1330"/>
    </row>
    <row r="129" spans="2:10" ht="16.2">
      <c r="B129" s="1324"/>
      <c r="C129" s="651" t="s">
        <v>126</v>
      </c>
      <c r="D129" s="547" t="s">
        <v>133</v>
      </c>
      <c r="E129" s="609" t="s">
        <v>251</v>
      </c>
      <c r="F129" s="550"/>
      <c r="G129" s="550"/>
      <c r="H129" s="550"/>
      <c r="I129" s="550"/>
    </row>
    <row r="130" spans="2:10" ht="32.4">
      <c r="B130" s="1324"/>
      <c r="C130" s="862" t="s">
        <v>255</v>
      </c>
      <c r="D130" s="863" t="s">
        <v>256</v>
      </c>
      <c r="E130" s="866" t="s">
        <v>209</v>
      </c>
      <c r="F130" s="864"/>
      <c r="G130" s="864"/>
      <c r="H130" s="864"/>
      <c r="I130" s="864"/>
    </row>
    <row r="131" spans="2:10" s="539" customFormat="1" ht="14.25" customHeight="1">
      <c r="B131" s="1323" t="s">
        <v>40</v>
      </c>
      <c r="C131" s="1330" t="s">
        <v>257</v>
      </c>
      <c r="D131" s="1330"/>
      <c r="E131" s="1330"/>
      <c r="F131" s="1330"/>
      <c r="G131" s="1330"/>
      <c r="H131" s="1330"/>
      <c r="I131" s="1330"/>
      <c r="J131" s="64"/>
    </row>
    <row r="132" spans="2:10" s="539" customFormat="1" ht="16.2">
      <c r="B132" s="1323"/>
      <c r="C132" s="651" t="s">
        <v>126</v>
      </c>
      <c r="D132" s="547" t="s">
        <v>133</v>
      </c>
      <c r="E132" s="610" t="s">
        <v>258</v>
      </c>
      <c r="F132" s="550"/>
      <c r="G132" s="550"/>
      <c r="H132" s="550"/>
      <c r="I132" s="550"/>
      <c r="J132" s="64"/>
    </row>
    <row r="133" spans="2:10" s="539" customFormat="1" ht="29.4" customHeight="1">
      <c r="B133" s="1323"/>
      <c r="C133" s="1314" t="s">
        <v>259</v>
      </c>
      <c r="D133" s="547" t="s">
        <v>260</v>
      </c>
      <c r="E133" s="610" t="s">
        <v>261</v>
      </c>
      <c r="F133" s="550"/>
      <c r="G133" s="550"/>
      <c r="H133" s="550"/>
      <c r="I133" s="550"/>
      <c r="J133" s="64"/>
    </row>
    <row r="134" spans="2:10" ht="29.4" customHeight="1">
      <c r="B134" s="1323"/>
      <c r="C134" s="1314"/>
      <c r="D134" s="863" t="s">
        <v>262</v>
      </c>
      <c r="E134" s="870" t="s">
        <v>261</v>
      </c>
      <c r="F134" s="864"/>
      <c r="G134" s="864"/>
      <c r="H134" s="864"/>
      <c r="I134" s="864"/>
    </row>
    <row r="135" spans="2:10" ht="13.8">
      <c r="B135" s="1323" t="s">
        <v>41</v>
      </c>
      <c r="C135" s="1330" t="s">
        <v>263</v>
      </c>
      <c r="D135" s="1330"/>
      <c r="E135" s="1330"/>
      <c r="F135" s="1330"/>
      <c r="G135" s="1330"/>
      <c r="H135" s="1330"/>
      <c r="I135" s="1330"/>
    </row>
    <row r="136" spans="2:10" ht="33.6" customHeight="1">
      <c r="B136" s="1323"/>
      <c r="C136" s="651" t="s">
        <v>126</v>
      </c>
      <c r="D136" s="1249" t="s">
        <v>133</v>
      </c>
      <c r="E136" s="609" t="s">
        <v>206</v>
      </c>
      <c r="F136" s="550"/>
      <c r="G136" s="550"/>
      <c r="H136" s="550"/>
      <c r="I136" s="550"/>
    </row>
    <row r="137" spans="2:10" ht="33.9" customHeight="1">
      <c r="B137" s="1323"/>
      <c r="C137" s="1314" t="s">
        <v>264</v>
      </c>
      <c r="D137" s="552" t="s">
        <v>265</v>
      </c>
      <c r="E137" s="609" t="s">
        <v>209</v>
      </c>
      <c r="F137" s="550"/>
      <c r="G137" s="550"/>
      <c r="H137" s="550"/>
      <c r="I137" s="550"/>
    </row>
    <row r="138" spans="2:10" ht="50.4">
      <c r="B138" s="1323"/>
      <c r="C138" s="1314"/>
      <c r="D138" s="871" t="s">
        <v>266</v>
      </c>
      <c r="E138" s="866" t="s">
        <v>209</v>
      </c>
      <c r="F138" s="866" t="s">
        <v>267</v>
      </c>
      <c r="G138" s="866" t="s">
        <v>157</v>
      </c>
      <c r="H138" s="866" t="s">
        <v>212</v>
      </c>
      <c r="I138" s="864"/>
    </row>
    <row r="139" spans="2:10" ht="16.649999999999999" customHeight="1">
      <c r="B139" s="642"/>
      <c r="D139" s="460"/>
      <c r="E139" s="460"/>
      <c r="F139" s="460"/>
      <c r="G139" s="460"/>
      <c r="H139" s="460"/>
      <c r="I139" s="460"/>
    </row>
    <row r="140" spans="2:10" s="539" customFormat="1" ht="11.4" customHeight="1">
      <c r="B140" s="639"/>
      <c r="C140" s="1365" t="s">
        <v>268</v>
      </c>
      <c r="D140" s="1365"/>
      <c r="E140" s="1365"/>
      <c r="F140" s="1365"/>
      <c r="G140" s="1365"/>
      <c r="H140" s="1365"/>
      <c r="I140" s="1365"/>
      <c r="J140" s="64"/>
    </row>
    <row r="141" spans="2:10" s="539" customFormat="1">
      <c r="B141" s="640"/>
      <c r="C141" s="1365"/>
      <c r="D141" s="1365"/>
      <c r="E141" s="1365"/>
      <c r="F141" s="1365"/>
      <c r="G141" s="1365"/>
      <c r="H141" s="1365"/>
      <c r="I141" s="1365"/>
      <c r="J141" s="64"/>
    </row>
    <row r="142" spans="2:10" hidden="1">
      <c r="B142" s="643"/>
      <c r="C142" s="1342" t="s">
        <v>269</v>
      </c>
      <c r="D142" s="1342"/>
      <c r="E142" s="1342"/>
      <c r="F142" s="1342"/>
      <c r="G142" s="1342"/>
      <c r="H142" s="1342"/>
      <c r="I142" s="1342"/>
    </row>
    <row r="143" spans="2:10" hidden="1">
      <c r="B143" s="643"/>
      <c r="C143" s="1382" t="s">
        <v>270</v>
      </c>
      <c r="D143" s="1382"/>
      <c r="E143" s="1382"/>
      <c r="F143" s="1382"/>
      <c r="G143" s="1336" t="s">
        <v>271</v>
      </c>
      <c r="H143" s="1336"/>
      <c r="I143" s="1336"/>
    </row>
    <row r="144" spans="2:10" hidden="1">
      <c r="B144" s="643"/>
      <c r="C144" s="1382" t="s">
        <v>270</v>
      </c>
      <c r="D144" s="1382"/>
      <c r="E144" s="1382"/>
      <c r="F144" s="1382"/>
      <c r="G144" s="1336" t="s">
        <v>271</v>
      </c>
      <c r="H144" s="1336"/>
      <c r="I144" s="1336"/>
    </row>
    <row r="145" spans="2:10" s="540" customFormat="1" hidden="1">
      <c r="B145" s="644"/>
      <c r="C145" s="1343" t="s">
        <v>272</v>
      </c>
      <c r="D145" s="1343"/>
      <c r="E145" s="1343"/>
      <c r="F145" s="1343"/>
      <c r="G145" s="1343"/>
      <c r="H145" s="1343"/>
      <c r="I145" s="1343"/>
    </row>
    <row r="146" spans="2:10" s="540" customFormat="1" hidden="1">
      <c r="B146" s="644"/>
      <c r="C146" s="1211" t="s">
        <v>126</v>
      </c>
      <c r="D146" s="546" t="s">
        <v>133</v>
      </c>
      <c r="E146" s="549"/>
      <c r="F146" s="549"/>
      <c r="G146" s="549"/>
      <c r="H146" s="549"/>
      <c r="I146" s="549"/>
    </row>
    <row r="147" spans="2:10" s="540" customFormat="1" ht="32.4" hidden="1">
      <c r="B147" s="644"/>
      <c r="C147" s="1212" t="s">
        <v>273</v>
      </c>
      <c r="D147" s="546" t="s">
        <v>274</v>
      </c>
      <c r="E147" s="549"/>
      <c r="F147" s="549"/>
      <c r="G147" s="549"/>
      <c r="H147" s="549"/>
      <c r="I147" s="549"/>
    </row>
    <row r="148" spans="2:10" s="540" customFormat="1" hidden="1">
      <c r="B148" s="644"/>
      <c r="C148" s="1343" t="s">
        <v>275</v>
      </c>
      <c r="D148" s="1343"/>
      <c r="E148" s="1343"/>
      <c r="F148" s="1343"/>
      <c r="G148" s="1343"/>
      <c r="H148" s="1343"/>
      <c r="I148" s="1343"/>
      <c r="J148" s="541"/>
    </row>
    <row r="149" spans="2:10" s="540" customFormat="1" hidden="1">
      <c r="B149" s="644"/>
      <c r="C149" s="1211" t="s">
        <v>126</v>
      </c>
      <c r="D149" s="546" t="s">
        <v>133</v>
      </c>
      <c r="E149" s="548" t="s">
        <v>276</v>
      </c>
      <c r="F149" s="549"/>
      <c r="G149" s="549"/>
      <c r="H149" s="549"/>
      <c r="I149" s="549"/>
    </row>
    <row r="150" spans="2:10" s="540" customFormat="1" ht="32.4" hidden="1">
      <c r="B150" s="644"/>
      <c r="C150" s="1213" t="s">
        <v>277</v>
      </c>
      <c r="D150" s="872" t="s">
        <v>278</v>
      </c>
      <c r="E150" s="873" t="s">
        <v>279</v>
      </c>
      <c r="F150" s="873"/>
      <c r="G150" s="873"/>
      <c r="H150" s="873"/>
      <c r="I150" s="873"/>
    </row>
    <row r="151" spans="2:10">
      <c r="B151" s="637"/>
      <c r="C151" s="1330" t="s">
        <v>280</v>
      </c>
      <c r="D151" s="1330"/>
      <c r="E151" s="1330"/>
      <c r="F151" s="1330"/>
      <c r="G151" s="1330"/>
      <c r="H151" s="1330"/>
      <c r="I151" s="1330"/>
    </row>
    <row r="152" spans="2:10" s="1207" customFormat="1" hidden="1">
      <c r="B152" s="637"/>
      <c r="C152" s="1214" t="s">
        <v>126</v>
      </c>
      <c r="D152" s="547" t="s">
        <v>133</v>
      </c>
      <c r="E152" s="1215" t="s">
        <v>281</v>
      </c>
      <c r="F152" s="550"/>
      <c r="G152" s="550"/>
      <c r="H152" s="550"/>
      <c r="I152" s="550"/>
      <c r="J152" s="64"/>
    </row>
    <row r="153" spans="2:10" ht="21.6" customHeight="1">
      <c r="B153" s="637"/>
      <c r="C153" s="1339" t="s">
        <v>282</v>
      </c>
      <c r="D153" s="547" t="s">
        <v>283</v>
      </c>
      <c r="E153" s="1387" t="s">
        <v>284</v>
      </c>
      <c r="F153" s="1388"/>
      <c r="G153" s="1388"/>
      <c r="H153" s="1388"/>
      <c r="I153" s="1389"/>
    </row>
    <row r="154" spans="2:10" ht="21.6" hidden="1" customHeight="1">
      <c r="B154" s="637"/>
      <c r="C154" s="1339"/>
      <c r="D154" s="547" t="s">
        <v>285</v>
      </c>
      <c r="E154" s="550"/>
      <c r="F154" s="550"/>
      <c r="G154" s="550"/>
      <c r="H154" s="550"/>
      <c r="I154" s="550"/>
    </row>
    <row r="155" spans="2:10" ht="21.6" hidden="1" customHeight="1">
      <c r="B155" s="637"/>
      <c r="C155" s="1339"/>
      <c r="D155" s="537" t="s">
        <v>286</v>
      </c>
      <c r="E155" s="1216"/>
      <c r="F155" s="1216"/>
      <c r="G155" s="1216"/>
      <c r="H155" s="1216"/>
      <c r="I155" s="1216"/>
    </row>
    <row r="156" spans="2:10" ht="21.6" hidden="1" customHeight="1">
      <c r="B156" s="637"/>
      <c r="C156" s="1340"/>
      <c r="D156" s="1217" t="s">
        <v>287</v>
      </c>
      <c r="E156" s="1218"/>
      <c r="F156" s="1218"/>
      <c r="G156" s="1218"/>
      <c r="H156" s="1218"/>
      <c r="I156" s="1218"/>
    </row>
    <row r="157" spans="2:10" ht="21.6" hidden="1" customHeight="1">
      <c r="B157" s="637"/>
      <c r="C157" s="1340"/>
      <c r="D157" s="1217" t="s">
        <v>288</v>
      </c>
      <c r="E157" s="1218"/>
      <c r="F157" s="1218"/>
      <c r="G157" s="1218"/>
      <c r="H157" s="1218"/>
      <c r="I157" s="1218"/>
    </row>
    <row r="158" spans="2:10" ht="21.6" hidden="1" customHeight="1">
      <c r="B158" s="637"/>
      <c r="C158" s="1340"/>
      <c r="D158" s="1217" t="s">
        <v>289</v>
      </c>
      <c r="E158" s="1218"/>
      <c r="F158" s="1218"/>
      <c r="G158" s="1218"/>
      <c r="H158" s="1218"/>
      <c r="I158" s="1218"/>
    </row>
    <row r="159" spans="2:10" ht="21.6" hidden="1" customHeight="1">
      <c r="B159" s="637"/>
      <c r="C159" s="1340"/>
      <c r="D159" s="1217" t="s">
        <v>290</v>
      </c>
      <c r="E159" s="1218"/>
      <c r="F159" s="1218"/>
      <c r="G159" s="1218"/>
      <c r="H159" s="1218"/>
      <c r="I159" s="1218"/>
    </row>
    <row r="160" spans="2:10" ht="21.6" hidden="1" customHeight="1">
      <c r="B160" s="637"/>
      <c r="C160" s="1341"/>
      <c r="D160" s="863" t="s">
        <v>291</v>
      </c>
      <c r="E160" s="864"/>
      <c r="F160" s="864"/>
      <c r="G160" s="864"/>
      <c r="H160" s="864"/>
      <c r="I160" s="864"/>
    </row>
    <row r="161" spans="2:9" s="540" customFormat="1" hidden="1">
      <c r="B161" s="637"/>
      <c r="C161" s="1366" t="s">
        <v>292</v>
      </c>
      <c r="D161" s="1367"/>
      <c r="E161" s="1367"/>
      <c r="F161" s="1367"/>
      <c r="G161" s="1367"/>
      <c r="H161" s="1367"/>
      <c r="I161" s="1367"/>
    </row>
    <row r="162" spans="2:9" s="540" customFormat="1" hidden="1">
      <c r="B162" s="637"/>
      <c r="C162" s="1211" t="s">
        <v>126</v>
      </c>
      <c r="D162" s="546" t="s">
        <v>133</v>
      </c>
      <c r="E162" s="1318"/>
      <c r="F162" s="1319"/>
      <c r="G162" s="1319"/>
      <c r="H162" s="1319"/>
      <c r="I162" s="1320"/>
    </row>
    <row r="163" spans="2:9" s="540" customFormat="1" ht="25.2" hidden="1">
      <c r="B163" s="637"/>
      <c r="C163" s="1386" t="s">
        <v>293</v>
      </c>
      <c r="D163" s="546" t="s">
        <v>294</v>
      </c>
      <c r="E163" s="549"/>
      <c r="F163" s="549"/>
      <c r="G163" s="549"/>
      <c r="H163" s="549"/>
      <c r="I163" s="549"/>
    </row>
    <row r="164" spans="2:9" s="540" customFormat="1" hidden="1">
      <c r="B164" s="637"/>
      <c r="C164" s="1386"/>
      <c r="D164" s="546" t="s">
        <v>295</v>
      </c>
      <c r="E164" s="549"/>
      <c r="F164" s="549"/>
      <c r="G164" s="549"/>
      <c r="H164" s="549"/>
      <c r="I164" s="549"/>
    </row>
    <row r="165" spans="2:9">
      <c r="B165" s="637"/>
      <c r="C165" s="1347" t="s">
        <v>296</v>
      </c>
      <c r="D165" s="1348"/>
      <c r="E165" s="1348"/>
      <c r="F165" s="1348"/>
      <c r="G165" s="1348"/>
      <c r="H165" s="1348"/>
      <c r="I165" s="1348"/>
    </row>
    <row r="166" spans="2:9">
      <c r="B166" s="637"/>
      <c r="C166" s="1214" t="s">
        <v>126</v>
      </c>
      <c r="D166" s="547" t="s">
        <v>133</v>
      </c>
      <c r="E166" s="1352" t="s">
        <v>281</v>
      </c>
      <c r="F166" s="1353"/>
      <c r="G166" s="1353"/>
      <c r="H166" s="1353"/>
      <c r="I166" s="1354"/>
    </row>
    <row r="167" spans="2:9" ht="45" hidden="1" customHeight="1">
      <c r="B167" s="637"/>
      <c r="C167" s="1349" t="s">
        <v>297</v>
      </c>
      <c r="D167" s="547" t="s">
        <v>298</v>
      </c>
      <c r="E167" s="1219" t="s">
        <v>299</v>
      </c>
      <c r="F167" s="550"/>
      <c r="G167" s="550"/>
      <c r="H167" s="550"/>
      <c r="I167" s="550"/>
    </row>
    <row r="168" spans="2:9" ht="30.6" customHeight="1">
      <c r="B168" s="637"/>
      <c r="C168" s="1349"/>
      <c r="D168" s="547" t="s">
        <v>300</v>
      </c>
      <c r="E168" s="1355" t="s">
        <v>301</v>
      </c>
      <c r="F168" s="1356"/>
      <c r="G168" s="1356"/>
      <c r="H168" s="1356"/>
      <c r="I168" s="1357"/>
    </row>
    <row r="169" spans="2:9">
      <c r="B169" s="637"/>
      <c r="C169" s="1347" t="s">
        <v>302</v>
      </c>
      <c r="D169" s="1348"/>
      <c r="E169" s="1348"/>
      <c r="F169" s="1348"/>
      <c r="G169" s="1348"/>
      <c r="H169" s="1348"/>
      <c r="I169" s="1348"/>
    </row>
    <row r="170" spans="2:9">
      <c r="B170" s="637"/>
      <c r="C170" s="1214" t="s">
        <v>126</v>
      </c>
      <c r="D170" s="547" t="s">
        <v>133</v>
      </c>
      <c r="E170" s="1352" t="s">
        <v>281</v>
      </c>
      <c r="F170" s="1353"/>
      <c r="G170" s="1353"/>
      <c r="H170" s="1353"/>
      <c r="I170" s="1354"/>
    </row>
    <row r="171" spans="2:9" ht="32.4">
      <c r="B171" s="637"/>
      <c r="C171" s="1214" t="s">
        <v>303</v>
      </c>
      <c r="D171" s="547" t="s">
        <v>304</v>
      </c>
      <c r="E171" s="1352" t="s">
        <v>305</v>
      </c>
      <c r="F171" s="1353"/>
      <c r="G171" s="1353"/>
      <c r="H171" s="1353"/>
      <c r="I171" s="1354"/>
    </row>
    <row r="172" spans="2:9">
      <c r="B172" s="637"/>
      <c r="C172" s="1330" t="s">
        <v>306</v>
      </c>
      <c r="D172" s="1330"/>
      <c r="E172" s="1330"/>
      <c r="F172" s="1330"/>
      <c r="G172" s="1330"/>
      <c r="H172" s="1330"/>
      <c r="I172" s="1330"/>
    </row>
    <row r="173" spans="2:9">
      <c r="B173" s="637"/>
      <c r="C173" s="651" t="s">
        <v>126</v>
      </c>
      <c r="D173" s="547" t="s">
        <v>133</v>
      </c>
      <c r="E173" s="1352" t="s">
        <v>307</v>
      </c>
      <c r="F173" s="1353"/>
      <c r="G173" s="1353"/>
      <c r="H173" s="1353"/>
      <c r="I173" s="1354"/>
    </row>
    <row r="174" spans="2:9">
      <c r="B174" s="637"/>
      <c r="C174" s="1314" t="s">
        <v>308</v>
      </c>
      <c r="D174" s="547" t="s">
        <v>309</v>
      </c>
      <c r="E174" s="1383" t="s">
        <v>310</v>
      </c>
      <c r="F174" s="1384"/>
      <c r="G174" s="1384"/>
      <c r="H174" s="1384"/>
      <c r="I174" s="1385"/>
    </row>
    <row r="175" spans="2:9">
      <c r="B175" s="637"/>
      <c r="C175" s="1314"/>
      <c r="D175" s="547" t="s">
        <v>311</v>
      </c>
      <c r="E175" s="1344" t="s">
        <v>312</v>
      </c>
      <c r="F175" s="1345"/>
      <c r="G175" s="1345"/>
      <c r="H175" s="1345"/>
      <c r="I175" s="1346"/>
    </row>
    <row r="176" spans="2:9" hidden="1">
      <c r="B176" s="637"/>
      <c r="C176" s="1314"/>
      <c r="D176" s="547" t="s">
        <v>313</v>
      </c>
      <c r="E176" s="553"/>
      <c r="F176" s="550"/>
      <c r="G176" s="550"/>
      <c r="H176" s="550"/>
      <c r="I176" s="550"/>
    </row>
    <row r="177" spans="2:9" hidden="1">
      <c r="B177" s="637"/>
      <c r="C177" s="1350"/>
      <c r="D177" s="863" t="s">
        <v>314</v>
      </c>
      <c r="E177" s="874"/>
      <c r="F177" s="864"/>
      <c r="G177" s="864"/>
      <c r="H177" s="864"/>
      <c r="I177" s="864"/>
    </row>
    <row r="178" spans="2:9">
      <c r="B178" s="637"/>
      <c r="C178" s="1330" t="s">
        <v>315</v>
      </c>
      <c r="D178" s="1330"/>
      <c r="E178" s="1330"/>
      <c r="F178" s="1330"/>
      <c r="G178" s="1330"/>
      <c r="H178" s="1330"/>
      <c r="I178" s="1330"/>
    </row>
    <row r="179" spans="2:9">
      <c r="B179" s="637"/>
      <c r="C179" s="651" t="s">
        <v>126</v>
      </c>
      <c r="D179" s="547" t="s">
        <v>133</v>
      </c>
      <c r="E179" s="1352" t="s">
        <v>281</v>
      </c>
      <c r="F179" s="1353"/>
      <c r="G179" s="1353"/>
      <c r="H179" s="1353"/>
      <c r="I179" s="1354"/>
    </row>
    <row r="180" spans="2:9" ht="32.4">
      <c r="B180" s="637"/>
      <c r="C180" s="862" t="s">
        <v>316</v>
      </c>
      <c r="D180" s="863" t="s">
        <v>317</v>
      </c>
      <c r="E180" s="1333" t="s">
        <v>244</v>
      </c>
      <c r="F180" s="1334"/>
      <c r="G180" s="1334"/>
      <c r="H180" s="1334"/>
      <c r="I180" s="1335"/>
    </row>
    <row r="181" spans="2:9">
      <c r="B181" s="637"/>
      <c r="C181" s="1330" t="s">
        <v>318</v>
      </c>
      <c r="D181" s="1330"/>
      <c r="E181" s="1330"/>
      <c r="F181" s="1330"/>
      <c r="G181" s="1330"/>
      <c r="H181" s="1330"/>
      <c r="I181" s="1330"/>
    </row>
    <row r="182" spans="2:9">
      <c r="B182" s="637"/>
      <c r="C182" s="651" t="s">
        <v>126</v>
      </c>
      <c r="D182" s="547" t="s">
        <v>133</v>
      </c>
      <c r="E182" s="1352" t="s">
        <v>319</v>
      </c>
      <c r="F182" s="1353"/>
      <c r="G182" s="1353"/>
      <c r="H182" s="1353"/>
      <c r="I182" s="1354"/>
    </row>
    <row r="183" spans="2:9" ht="20.399999999999999" customHeight="1">
      <c r="B183" s="637"/>
      <c r="C183" s="1314" t="s">
        <v>320</v>
      </c>
      <c r="D183" s="547" t="s">
        <v>321</v>
      </c>
      <c r="E183" s="1352" t="s">
        <v>322</v>
      </c>
      <c r="F183" s="1353"/>
      <c r="G183" s="1353"/>
      <c r="H183" s="1353"/>
      <c r="I183" s="1354"/>
    </row>
    <row r="184" spans="2:9" ht="29.4" customHeight="1">
      <c r="B184" s="637"/>
      <c r="C184" s="1314"/>
      <c r="D184" s="547" t="s">
        <v>323</v>
      </c>
      <c r="E184" s="1352" t="s">
        <v>324</v>
      </c>
      <c r="F184" s="1353"/>
      <c r="G184" s="1353"/>
      <c r="H184" s="1353"/>
      <c r="I184" s="1354"/>
    </row>
    <row r="185" spans="2:9" ht="20.399999999999999" customHeight="1">
      <c r="B185" s="637"/>
      <c r="C185" s="1350"/>
      <c r="D185" s="865" t="s">
        <v>325</v>
      </c>
      <c r="E185" s="1333" t="s">
        <v>326</v>
      </c>
      <c r="F185" s="1334"/>
      <c r="G185" s="1334"/>
      <c r="H185" s="1334"/>
      <c r="I185" s="1335"/>
    </row>
    <row r="186" spans="2:9">
      <c r="B186" s="637"/>
      <c r="C186" s="1330" t="s">
        <v>327</v>
      </c>
      <c r="D186" s="1330"/>
      <c r="E186" s="1330"/>
      <c r="F186" s="1330"/>
      <c r="G186" s="1330"/>
      <c r="H186" s="1330"/>
      <c r="I186" s="1330"/>
    </row>
    <row r="187" spans="2:9">
      <c r="B187" s="637"/>
      <c r="C187" s="651" t="s">
        <v>126</v>
      </c>
      <c r="D187" s="547" t="s">
        <v>133</v>
      </c>
      <c r="E187" s="1352" t="s">
        <v>328</v>
      </c>
      <c r="F187" s="1353"/>
      <c r="G187" s="1353"/>
      <c r="H187" s="1353"/>
      <c r="I187" s="1354"/>
    </row>
    <row r="188" spans="2:9">
      <c r="B188" s="637"/>
      <c r="C188" s="1314" t="s">
        <v>329</v>
      </c>
      <c r="D188" s="537" t="s">
        <v>330</v>
      </c>
      <c r="E188" s="1315" t="s">
        <v>322</v>
      </c>
      <c r="F188" s="1316"/>
      <c r="G188" s="1316"/>
      <c r="H188" s="1316"/>
      <c r="I188" s="1317"/>
    </row>
    <row r="189" spans="2:9">
      <c r="B189" s="637"/>
      <c r="C189" s="1314"/>
      <c r="D189" s="547" t="s">
        <v>331</v>
      </c>
      <c r="E189" s="1352" t="s">
        <v>332</v>
      </c>
      <c r="F189" s="1353"/>
      <c r="G189" s="1353"/>
      <c r="H189" s="1353"/>
      <c r="I189" s="1354"/>
    </row>
    <row r="190" spans="2:9" ht="25.2">
      <c r="B190" s="637"/>
      <c r="C190" s="1350"/>
      <c r="D190" s="865" t="s">
        <v>333</v>
      </c>
      <c r="E190" s="1333" t="s">
        <v>322</v>
      </c>
      <c r="F190" s="1334"/>
      <c r="G190" s="1334"/>
      <c r="H190" s="1334"/>
      <c r="I190" s="1335"/>
    </row>
    <row r="191" spans="2:9" hidden="1">
      <c r="B191" s="637"/>
      <c r="C191" s="1366" t="s">
        <v>334</v>
      </c>
      <c r="D191" s="1367"/>
      <c r="E191" s="1367"/>
      <c r="F191" s="1367"/>
      <c r="G191" s="1367"/>
      <c r="H191" s="1367"/>
      <c r="I191" s="1367"/>
    </row>
    <row r="192" spans="2:9" hidden="1">
      <c r="B192" s="637"/>
      <c r="C192" s="1211" t="s">
        <v>126</v>
      </c>
      <c r="D192" s="546" t="s">
        <v>133</v>
      </c>
      <c r="E192" s="1318"/>
      <c r="F192" s="1319"/>
      <c r="G192" s="1319"/>
      <c r="H192" s="1319"/>
      <c r="I192" s="1320"/>
    </row>
    <row r="193" spans="2:9" hidden="1">
      <c r="B193" s="637"/>
      <c r="C193" s="1213" t="s">
        <v>335</v>
      </c>
      <c r="D193" s="872" t="s">
        <v>336</v>
      </c>
      <c r="E193" s="1358"/>
      <c r="F193" s="1359"/>
      <c r="G193" s="1359"/>
      <c r="H193" s="1359"/>
      <c r="I193" s="1360"/>
    </row>
    <row r="194" spans="2:9">
      <c r="B194" s="637"/>
      <c r="C194" s="1330" t="s">
        <v>337</v>
      </c>
      <c r="D194" s="1330"/>
      <c r="E194" s="1330"/>
      <c r="F194" s="1330"/>
      <c r="G194" s="1330"/>
      <c r="H194" s="1330"/>
      <c r="I194" s="1330"/>
    </row>
    <row r="195" spans="2:9">
      <c r="B195" s="637"/>
      <c r="C195" s="1205" t="s">
        <v>126</v>
      </c>
      <c r="D195" s="547" t="s">
        <v>133</v>
      </c>
      <c r="E195" s="1315" t="s">
        <v>281</v>
      </c>
      <c r="F195" s="1316"/>
      <c r="G195" s="1316"/>
      <c r="H195" s="1316"/>
      <c r="I195" s="1317"/>
    </row>
    <row r="196" spans="2:9">
      <c r="B196" s="637"/>
      <c r="C196" s="862" t="s">
        <v>338</v>
      </c>
      <c r="D196" s="863" t="s">
        <v>339</v>
      </c>
      <c r="E196" s="1355" t="s">
        <v>340</v>
      </c>
      <c r="F196" s="1356"/>
      <c r="G196" s="1356"/>
      <c r="H196" s="1356"/>
      <c r="I196" s="1357"/>
    </row>
    <row r="197" spans="2:9" ht="15" customHeight="1">
      <c r="B197" s="637"/>
      <c r="C197" s="1330" t="s">
        <v>341</v>
      </c>
      <c r="D197" s="1330"/>
      <c r="E197" s="1330"/>
      <c r="F197" s="1330"/>
      <c r="G197" s="1330"/>
      <c r="H197" s="1330"/>
      <c r="I197" s="1330"/>
    </row>
    <row r="198" spans="2:9">
      <c r="B198" s="637"/>
      <c r="C198" s="651" t="s">
        <v>126</v>
      </c>
      <c r="D198" s="547" t="s">
        <v>133</v>
      </c>
      <c r="E198" s="1315" t="s">
        <v>342</v>
      </c>
      <c r="F198" s="1316"/>
      <c r="G198" s="1316"/>
      <c r="H198" s="1316"/>
      <c r="I198" s="1317"/>
    </row>
    <row r="199" spans="2:9" ht="121.5" customHeight="1">
      <c r="B199" s="637"/>
      <c r="C199" s="1314" t="s">
        <v>343</v>
      </c>
      <c r="D199" s="547" t="s">
        <v>344</v>
      </c>
      <c r="E199" s="1352" t="s">
        <v>345</v>
      </c>
      <c r="F199" s="1353"/>
      <c r="G199" s="1353"/>
      <c r="H199" s="1353"/>
      <c r="I199" s="1354"/>
    </row>
    <row r="200" spans="2:9" ht="27" customHeight="1">
      <c r="B200" s="637"/>
      <c r="C200" s="1350"/>
      <c r="D200" s="863" t="s">
        <v>346</v>
      </c>
      <c r="E200" s="1333" t="s">
        <v>347</v>
      </c>
      <c r="F200" s="1334"/>
      <c r="G200" s="1334"/>
      <c r="H200" s="1334"/>
      <c r="I200" s="1335"/>
    </row>
    <row r="201" spans="2:9">
      <c r="B201" s="637"/>
      <c r="C201" s="1330" t="s">
        <v>348</v>
      </c>
      <c r="D201" s="1330"/>
      <c r="E201" s="1330"/>
      <c r="F201" s="1330"/>
      <c r="G201" s="1330"/>
      <c r="H201" s="1330"/>
      <c r="I201" s="1330"/>
    </row>
    <row r="202" spans="2:9">
      <c r="B202" s="637"/>
      <c r="C202" s="651" t="s">
        <v>126</v>
      </c>
      <c r="D202" s="547" t="s">
        <v>133</v>
      </c>
      <c r="E202" s="1315" t="s">
        <v>342</v>
      </c>
      <c r="F202" s="1316"/>
      <c r="G202" s="1316"/>
      <c r="H202" s="1316"/>
      <c r="I202" s="1317"/>
    </row>
    <row r="203" spans="2:9" ht="122.4" customHeight="1">
      <c r="B203" s="637"/>
      <c r="C203" s="1314" t="s">
        <v>349</v>
      </c>
      <c r="D203" s="547" t="s">
        <v>350</v>
      </c>
      <c r="E203" s="1352" t="s">
        <v>351</v>
      </c>
      <c r="F203" s="1353"/>
      <c r="G203" s="1353"/>
      <c r="H203" s="1353"/>
      <c r="I203" s="1354"/>
    </row>
    <row r="204" spans="2:9" ht="27" customHeight="1">
      <c r="B204" s="637"/>
      <c r="C204" s="1314"/>
      <c r="D204" s="547" t="s">
        <v>352</v>
      </c>
      <c r="E204" s="1352" t="s">
        <v>347</v>
      </c>
      <c r="F204" s="1353"/>
      <c r="G204" s="1353"/>
      <c r="H204" s="1353"/>
      <c r="I204" s="1354"/>
    </row>
    <row r="205" spans="2:9" ht="27" customHeight="1">
      <c r="B205" s="637"/>
      <c r="C205" s="1350"/>
      <c r="D205" s="863" t="s">
        <v>353</v>
      </c>
      <c r="E205" s="1333" t="s">
        <v>347</v>
      </c>
      <c r="F205" s="1334"/>
      <c r="G205" s="1334"/>
      <c r="H205" s="1334"/>
      <c r="I205" s="1335"/>
    </row>
    <row r="206" spans="2:9">
      <c r="B206" s="637"/>
      <c r="C206" s="1330" t="s">
        <v>354</v>
      </c>
      <c r="D206" s="1330"/>
      <c r="E206" s="1330"/>
      <c r="F206" s="1330"/>
      <c r="G206" s="1330"/>
      <c r="H206" s="1330"/>
      <c r="I206" s="1330"/>
    </row>
    <row r="207" spans="2:9">
      <c r="B207" s="637"/>
      <c r="C207" s="651" t="s">
        <v>126</v>
      </c>
      <c r="D207" s="547" t="s">
        <v>133</v>
      </c>
      <c r="E207" s="1315" t="s">
        <v>281</v>
      </c>
      <c r="F207" s="1316"/>
      <c r="G207" s="1316"/>
      <c r="H207" s="1316"/>
      <c r="I207" s="1317"/>
    </row>
    <row r="208" spans="2:9" ht="31.5" customHeight="1">
      <c r="B208" s="638"/>
      <c r="C208" s="862" t="s">
        <v>355</v>
      </c>
      <c r="D208" s="867" t="s">
        <v>356</v>
      </c>
      <c r="E208" s="1333" t="s">
        <v>244</v>
      </c>
      <c r="F208" s="1334"/>
      <c r="G208" s="1334"/>
      <c r="H208" s="1334"/>
      <c r="I208" s="1335"/>
    </row>
  </sheetData>
  <sheetProtection algorithmName="SHA-512" hashValue="eh2PseYYExdG3Z+3D1FfJ4BO0A9YsrOQ0QAKUHJwUWSb6whcuRsGHirE0XgpYxZIxTHMXpJ/jdLaLbPRc4XEbw==" saltValue="AXPyyD1nQRUhD2weYI0HIQ==" spinCount="100000" sheet="1" objects="1" scenarios="1"/>
  <dataConsolidate/>
  <mergeCells count="145">
    <mergeCell ref="E170:I170"/>
    <mergeCell ref="D38:D39"/>
    <mergeCell ref="E179:I179"/>
    <mergeCell ref="G38:G39"/>
    <mergeCell ref="H38:H39"/>
    <mergeCell ref="C178:I178"/>
    <mergeCell ref="C161:I161"/>
    <mergeCell ref="C174:C177"/>
    <mergeCell ref="C172:I172"/>
    <mergeCell ref="C62:I62"/>
    <mergeCell ref="C69:C73"/>
    <mergeCell ref="C101:I101"/>
    <mergeCell ref="F117:F118"/>
    <mergeCell ref="C122:D122"/>
    <mergeCell ref="C148:I148"/>
    <mergeCell ref="C143:F143"/>
    <mergeCell ref="C144:F144"/>
    <mergeCell ref="E173:I173"/>
    <mergeCell ref="E174:I174"/>
    <mergeCell ref="C151:I151"/>
    <mergeCell ref="C163:C164"/>
    <mergeCell ref="G117:G118"/>
    <mergeCell ref="E153:I153"/>
    <mergeCell ref="E166:I166"/>
    <mergeCell ref="E168:I168"/>
    <mergeCell ref="E180:I180"/>
    <mergeCell ref="E171:I171"/>
    <mergeCell ref="M8:R14"/>
    <mergeCell ref="L49:O49"/>
    <mergeCell ref="L44:P46"/>
    <mergeCell ref="C102:C103"/>
    <mergeCell ref="D102:D103"/>
    <mergeCell ref="C64:C66"/>
    <mergeCell ref="I12:I13"/>
    <mergeCell ref="C50:I50"/>
    <mergeCell ref="C14:I14"/>
    <mergeCell ref="C15:C46"/>
    <mergeCell ref="E12:E13"/>
    <mergeCell ref="F12:H12"/>
    <mergeCell ref="C12:C13"/>
    <mergeCell ref="D12:D13"/>
    <mergeCell ref="I20:I46"/>
    <mergeCell ref="F15:I19"/>
    <mergeCell ref="F48:I49"/>
    <mergeCell ref="C48:C49"/>
    <mergeCell ref="D29:D30"/>
    <mergeCell ref="F29:F30"/>
    <mergeCell ref="G29:G30"/>
    <mergeCell ref="H29:H30"/>
    <mergeCell ref="E193:I193"/>
    <mergeCell ref="F38:F39"/>
    <mergeCell ref="B4:C4"/>
    <mergeCell ref="B5:C5"/>
    <mergeCell ref="B2:I2"/>
    <mergeCell ref="C206:I206"/>
    <mergeCell ref="C140:I141"/>
    <mergeCell ref="C114:I114"/>
    <mergeCell ref="C188:C190"/>
    <mergeCell ref="C116:C118"/>
    <mergeCell ref="D117:D118"/>
    <mergeCell ref="C104:C113"/>
    <mergeCell ref="C133:C134"/>
    <mergeCell ref="C201:I201"/>
    <mergeCell ref="C137:C138"/>
    <mergeCell ref="C135:I135"/>
    <mergeCell ref="C194:I194"/>
    <mergeCell ref="C199:C200"/>
    <mergeCell ref="C197:I197"/>
    <mergeCell ref="C186:I186"/>
    <mergeCell ref="C128:I128"/>
    <mergeCell ref="C191:I191"/>
    <mergeCell ref="C131:I131"/>
    <mergeCell ref="E182:I182"/>
    <mergeCell ref="C183:C185"/>
    <mergeCell ref="C181:I181"/>
    <mergeCell ref="E208:I208"/>
    <mergeCell ref="C56:I56"/>
    <mergeCell ref="F102:F103"/>
    <mergeCell ref="G102:G103"/>
    <mergeCell ref="H102:H103"/>
    <mergeCell ref="I102:I103"/>
    <mergeCell ref="E199:I199"/>
    <mergeCell ref="E200:I200"/>
    <mergeCell ref="E202:I202"/>
    <mergeCell ref="E203:I203"/>
    <mergeCell ref="E204:I204"/>
    <mergeCell ref="E188:I188"/>
    <mergeCell ref="E189:I189"/>
    <mergeCell ref="E190:I190"/>
    <mergeCell ref="E196:I196"/>
    <mergeCell ref="E198:I198"/>
    <mergeCell ref="E187:I187"/>
    <mergeCell ref="E183:I183"/>
    <mergeCell ref="E184:I184"/>
    <mergeCell ref="E185:I185"/>
    <mergeCell ref="C57:C58"/>
    <mergeCell ref="E192:I192"/>
    <mergeCell ref="B74:B80"/>
    <mergeCell ref="E195:I195"/>
    <mergeCell ref="B101:B113"/>
    <mergeCell ref="B97:B100"/>
    <mergeCell ref="E205:I205"/>
    <mergeCell ref="C83:C89"/>
    <mergeCell ref="C74:I74"/>
    <mergeCell ref="G143:I143"/>
    <mergeCell ref="G144:I144"/>
    <mergeCell ref="H117:H118"/>
    <mergeCell ref="I117:I118"/>
    <mergeCell ref="C76:C80"/>
    <mergeCell ref="C81:I81"/>
    <mergeCell ref="C90:I90"/>
    <mergeCell ref="C97:I97"/>
    <mergeCell ref="C92:C96"/>
    <mergeCell ref="C153:C160"/>
    <mergeCell ref="C142:I142"/>
    <mergeCell ref="C145:I145"/>
    <mergeCell ref="E175:I175"/>
    <mergeCell ref="C169:I169"/>
    <mergeCell ref="C167:C168"/>
    <mergeCell ref="C165:I165"/>
    <mergeCell ref="C203:C205"/>
    <mergeCell ref="B67:B73"/>
    <mergeCell ref="C99:C100"/>
    <mergeCell ref="E207:I207"/>
    <mergeCell ref="E162:I162"/>
    <mergeCell ref="D4:E4"/>
    <mergeCell ref="D5:E5"/>
    <mergeCell ref="B135:B138"/>
    <mergeCell ref="B114:B118"/>
    <mergeCell ref="B119:B121"/>
    <mergeCell ref="B122:B124"/>
    <mergeCell ref="B125:B127"/>
    <mergeCell ref="B128:B130"/>
    <mergeCell ref="B15:B46"/>
    <mergeCell ref="C52:C55"/>
    <mergeCell ref="B62:B66"/>
    <mergeCell ref="B56:B61"/>
    <mergeCell ref="B50:B55"/>
    <mergeCell ref="D57:D58"/>
    <mergeCell ref="C59:C61"/>
    <mergeCell ref="C67:I67"/>
    <mergeCell ref="B12:B13"/>
    <mergeCell ref="B131:B134"/>
    <mergeCell ref="B90:B96"/>
    <mergeCell ref="B81:B89"/>
  </mergeCells>
  <phoneticPr fontId="3" type="noConversion"/>
  <dataValidations count="1">
    <dataValidation type="list" allowBlank="1" showInputMessage="1" showErrorMessage="1" sqref="G146:G147 G51:G55 G132:G138 G154 G167 G176:G177 G160 G57:G66 G104:G113 G75:G80 G115:G117 G82:G89 G20:G29 G152 G91:G102 G40:G46 G31:G38 G120:G121 G123:G124 G126:G127 G129:G130 G68:G73 G149:G150 G163:G164" xr:uid="{3E06413D-A277-4B91-8837-958EEE26038F}">
      <formula1>"Not applicable,Legal prohibitions,Confidentiality constraints,Information unavailable/incomplete"</formula1>
    </dataValidation>
  </dataValidations>
  <hyperlinks>
    <hyperlink ref="E30" r:id="rId1" location=":~:text=Employees%20must%20avoid%20conflicts%20of,and%20those%20of%20the%20Company.&amp;text=Employees%20are%20responsible%20for%20identifying,or%20others%20and%20disclosing%20them." xr:uid="{41815C1A-FF53-49C9-A3FC-EB853956B5FE}"/>
    <hyperlink ref="E39" r:id="rId2" location="Policies" xr:uid="{95F6AE82-70E3-4EC6-B81D-B4D594BFC2BC}"/>
    <hyperlink ref="E103" r:id="rId3" xr:uid="{37EA65A1-E354-4434-BC15-896C31F39B68}"/>
    <hyperlink ref="E118" r:id="rId4" display="Johnson Matthey Gender Pay Gap Report 2022" xr:uid="{7D21C118-8494-4D61-BCA4-610899863C62}"/>
    <hyperlink ref="E174" r:id="rId5" display="JM Global tax policy" xr:uid="{4D730960-2A50-4AFA-BF58-942571C70002}"/>
    <hyperlink ref="E175" r:id="rId6" xr:uid="{B33CB839-5339-4A8A-941F-49D4CBAF1C5B}"/>
    <hyperlink ref="E58" r:id="rId7" xr:uid="{21DA36BF-CFD7-4B1C-BDC5-55B4E36AC3DD}"/>
    <hyperlink ref="E153" r:id="rId8" xr:uid="{4A4656E3-BB25-4FAC-8C1E-8C0C4808A9BC}"/>
  </hyperlinks>
  <pageMargins left="0.23622047244094491" right="0.23622047244094491" top="0.74803149606299213" bottom="0.74803149606299213" header="0.31496062992125984" footer="0.31496062992125984"/>
  <pageSetup paperSize="9" scale="49" fitToHeight="0" orientation="landscape" verticalDpi="1200" r:id="rId9"/>
  <rowBreaks count="4" manualBreakCount="4">
    <brk id="46" min="1" max="8" man="1"/>
    <brk id="61" min="1" max="8" man="1"/>
    <brk id="96" min="1" max="8" man="1"/>
    <brk id="138" min="1" max="8" man="1"/>
  </rowBreak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FD982-80FE-4EEB-B723-5514EEE85F71}">
  <sheetPr>
    <pageSetUpPr fitToPage="1"/>
  </sheetPr>
  <dimension ref="B2:K35"/>
  <sheetViews>
    <sheetView topLeftCell="A14" zoomScale="80" zoomScaleNormal="80" workbookViewId="0"/>
  </sheetViews>
  <sheetFormatPr defaultColWidth="8.88671875" defaultRowHeight="13.8"/>
  <cols>
    <col min="1" max="1" width="3.88671875" style="64" customWidth="1"/>
    <col min="2" max="2" width="44.109375" style="64" customWidth="1"/>
    <col min="3" max="3" width="68.33203125" style="64" customWidth="1"/>
    <col min="4" max="4" width="15.109375" style="64" bestFit="1" customWidth="1"/>
    <col min="5" max="5" width="32.33203125" style="64" bestFit="1" customWidth="1"/>
    <col min="6" max="6" width="53.88671875" style="64" customWidth="1"/>
    <col min="7" max="16384" width="8.88671875" style="64"/>
  </cols>
  <sheetData>
    <row r="2" spans="2:6" ht="24.6">
      <c r="B2" s="1393" t="s">
        <v>18</v>
      </c>
      <c r="C2" s="1393"/>
      <c r="D2" s="1393"/>
    </row>
    <row r="3" spans="2:6">
      <c r="B3" s="901"/>
      <c r="C3" s="901"/>
      <c r="D3" s="901"/>
    </row>
    <row r="4" spans="2:6" ht="16.2">
      <c r="B4" s="1228" t="s">
        <v>357</v>
      </c>
      <c r="C4" s="901"/>
      <c r="D4" s="901"/>
    </row>
    <row r="5" spans="2:6">
      <c r="B5" s="901"/>
      <c r="C5" s="901"/>
      <c r="D5" s="901"/>
    </row>
    <row r="6" spans="2:6">
      <c r="B6" s="10" t="s">
        <v>50</v>
      </c>
      <c r="C6" s="14"/>
      <c r="D6" s="14"/>
    </row>
    <row r="7" spans="2:6">
      <c r="B7" s="11" t="s">
        <v>51</v>
      </c>
      <c r="C7" s="14"/>
      <c r="D7" s="14"/>
    </row>
    <row r="8" spans="2:6">
      <c r="B8" s="11" t="s">
        <v>52</v>
      </c>
      <c r="C8" s="14"/>
      <c r="D8" s="14"/>
    </row>
    <row r="9" spans="2:6">
      <c r="B9" s="11"/>
      <c r="C9" s="14"/>
      <c r="D9" s="14"/>
    </row>
    <row r="10" spans="2:6">
      <c r="B10" s="898" t="s">
        <v>358</v>
      </c>
      <c r="C10" s="899" t="s">
        <v>359</v>
      </c>
      <c r="D10" s="899" t="s">
        <v>360</v>
      </c>
      <c r="E10" s="900" t="s">
        <v>361</v>
      </c>
      <c r="F10" s="907" t="s">
        <v>362</v>
      </c>
    </row>
    <row r="11" spans="2:6" ht="126">
      <c r="B11" s="1394" t="s">
        <v>363</v>
      </c>
      <c r="C11" s="748" t="s">
        <v>364</v>
      </c>
      <c r="D11" s="749" t="s">
        <v>365</v>
      </c>
      <c r="E11" s="902" t="s">
        <v>366</v>
      </c>
      <c r="F11" s="1242" t="s">
        <v>367</v>
      </c>
    </row>
    <row r="12" spans="2:6" ht="37.799999999999997">
      <c r="B12" s="1395"/>
      <c r="C12" s="750" t="s">
        <v>368</v>
      </c>
      <c r="D12" s="751" t="s">
        <v>369</v>
      </c>
      <c r="E12" s="1159" t="s">
        <v>370</v>
      </c>
      <c r="F12" s="1164"/>
    </row>
    <row r="13" spans="2:6" ht="88.2">
      <c r="B13" s="753" t="s">
        <v>371</v>
      </c>
      <c r="C13" s="1244" t="s">
        <v>372</v>
      </c>
      <c r="D13" s="754" t="s">
        <v>373</v>
      </c>
      <c r="E13" s="1158" t="s">
        <v>178</v>
      </c>
      <c r="F13" s="1243" t="s">
        <v>374</v>
      </c>
    </row>
    <row r="14" spans="2:6" ht="39">
      <c r="B14" s="752" t="s">
        <v>375</v>
      </c>
      <c r="C14" s="1244" t="s">
        <v>376</v>
      </c>
      <c r="D14" s="747" t="s">
        <v>377</v>
      </c>
      <c r="E14" s="1160" t="s">
        <v>366</v>
      </c>
      <c r="F14" s="1164"/>
    </row>
    <row r="15" spans="2:6" ht="25.2">
      <c r="B15" s="1391" t="s">
        <v>378</v>
      </c>
      <c r="C15" s="1246" t="s">
        <v>379</v>
      </c>
      <c r="D15" s="749" t="s">
        <v>380</v>
      </c>
      <c r="E15" s="1161" t="s">
        <v>178</v>
      </c>
      <c r="F15" s="1164"/>
    </row>
    <row r="16" spans="2:6" ht="25.2">
      <c r="B16" s="1396"/>
      <c r="C16" s="1247" t="s">
        <v>381</v>
      </c>
      <c r="D16" s="512" t="s">
        <v>382</v>
      </c>
      <c r="E16" s="1162" t="s">
        <v>178</v>
      </c>
      <c r="F16" s="1164"/>
    </row>
    <row r="17" spans="2:11" ht="25.2">
      <c r="B17" s="1392"/>
      <c r="C17" s="750" t="s">
        <v>383</v>
      </c>
      <c r="D17" s="751" t="s">
        <v>384</v>
      </c>
      <c r="E17" s="1159" t="s">
        <v>178</v>
      </c>
      <c r="F17" s="1164"/>
      <c r="K17" s="536"/>
    </row>
    <row r="18" spans="2:11" ht="25.2">
      <c r="B18" s="752" t="s">
        <v>385</v>
      </c>
      <c r="C18" s="746" t="s">
        <v>386</v>
      </c>
      <c r="D18" s="747" t="s">
        <v>387</v>
      </c>
      <c r="E18" s="1160" t="s">
        <v>178</v>
      </c>
      <c r="F18" s="1164"/>
    </row>
    <row r="19" spans="2:11" ht="25.2">
      <c r="B19" s="752" t="s">
        <v>388</v>
      </c>
      <c r="C19" s="1244" t="s">
        <v>389</v>
      </c>
      <c r="D19" s="754" t="s">
        <v>390</v>
      </c>
      <c r="E19" s="1160" t="s">
        <v>391</v>
      </c>
      <c r="F19" s="1165"/>
    </row>
    <row r="20" spans="2:11" ht="25.2">
      <c r="B20" s="1391" t="s">
        <v>392</v>
      </c>
      <c r="C20" s="748" t="s">
        <v>393</v>
      </c>
      <c r="D20" s="749" t="s">
        <v>394</v>
      </c>
      <c r="E20" s="1161" t="s">
        <v>395</v>
      </c>
      <c r="F20" s="1164"/>
    </row>
    <row r="21" spans="2:11" ht="25.2">
      <c r="B21" s="1392"/>
      <c r="C21" s="750" t="s">
        <v>396</v>
      </c>
      <c r="D21" s="751" t="s">
        <v>397</v>
      </c>
      <c r="E21" s="1159" t="s">
        <v>395</v>
      </c>
      <c r="F21" s="1164"/>
    </row>
    <row r="22" spans="2:11" ht="138.6">
      <c r="B22" s="745" t="s">
        <v>398</v>
      </c>
      <c r="C22" s="1244" t="s">
        <v>399</v>
      </c>
      <c r="D22" s="754" t="s">
        <v>400</v>
      </c>
      <c r="E22" s="1245" t="s">
        <v>401</v>
      </c>
      <c r="F22" s="1243" t="s">
        <v>402</v>
      </c>
    </row>
    <row r="23" spans="2:11" ht="100.8">
      <c r="B23" s="1391" t="s">
        <v>403</v>
      </c>
      <c r="C23" s="748" t="s">
        <v>404</v>
      </c>
      <c r="D23" s="749" t="s">
        <v>405</v>
      </c>
      <c r="E23" s="1161" t="s">
        <v>406</v>
      </c>
      <c r="F23" s="1243" t="s">
        <v>407</v>
      </c>
    </row>
    <row r="24" spans="2:11" ht="126">
      <c r="B24" s="1392"/>
      <c r="C24" s="750" t="s">
        <v>408</v>
      </c>
      <c r="D24" s="751" t="s">
        <v>409</v>
      </c>
      <c r="E24" s="1159" t="s">
        <v>410</v>
      </c>
      <c r="F24" s="1243" t="s">
        <v>411</v>
      </c>
    </row>
    <row r="25" spans="2:11" ht="25.2">
      <c r="B25" s="745" t="s">
        <v>412</v>
      </c>
      <c r="C25" s="746" t="s">
        <v>413</v>
      </c>
      <c r="D25" s="747" t="s">
        <v>414</v>
      </c>
      <c r="E25" s="1158" t="s">
        <v>406</v>
      </c>
      <c r="F25" s="1164"/>
    </row>
    <row r="26" spans="2:11" ht="37.799999999999997">
      <c r="B26" s="745" t="s">
        <v>415</v>
      </c>
      <c r="C26" s="746" t="s">
        <v>416</v>
      </c>
      <c r="D26" s="747" t="s">
        <v>417</v>
      </c>
      <c r="E26" s="1248" t="s">
        <v>418</v>
      </c>
      <c r="F26" s="1164"/>
    </row>
    <row r="27" spans="2:11" ht="39">
      <c r="B27" s="1391" t="s">
        <v>419</v>
      </c>
      <c r="C27" s="748" t="s">
        <v>420</v>
      </c>
      <c r="D27" s="749" t="s">
        <v>421</v>
      </c>
      <c r="E27" s="1161" t="s">
        <v>422</v>
      </c>
      <c r="F27" s="1164"/>
    </row>
    <row r="28" spans="2:11">
      <c r="B28" s="1392"/>
      <c r="C28" s="750" t="s">
        <v>423</v>
      </c>
      <c r="D28" s="751" t="s">
        <v>424</v>
      </c>
      <c r="E28" s="1163" t="s">
        <v>425</v>
      </c>
      <c r="F28" s="1164"/>
    </row>
    <row r="29" spans="2:11">
      <c r="B29" s="745" t="s">
        <v>426</v>
      </c>
      <c r="C29" s="746" t="s">
        <v>427</v>
      </c>
      <c r="D29" s="747" t="s">
        <v>428</v>
      </c>
      <c r="E29" s="1158" t="s">
        <v>429</v>
      </c>
      <c r="F29" s="1164"/>
    </row>
    <row r="30" spans="2:11">
      <c r="B30" s="97"/>
      <c r="C30" s="97"/>
      <c r="D30" s="97"/>
      <c r="E30" s="97"/>
    </row>
    <row r="31" spans="2:11">
      <c r="B31" s="1390" t="s">
        <v>430</v>
      </c>
      <c r="C31" s="1390"/>
      <c r="D31" s="1390"/>
      <c r="E31" s="1390"/>
    </row>
    <row r="32" spans="2:11">
      <c r="B32" s="1390" t="s">
        <v>431</v>
      </c>
      <c r="C32" s="1390"/>
      <c r="D32" s="1390"/>
      <c r="E32" s="1390"/>
      <c r="F32" s="1390"/>
    </row>
    <row r="33" spans="2:6">
      <c r="B33" s="1390" t="s">
        <v>432</v>
      </c>
      <c r="C33" s="1390"/>
      <c r="D33" s="1390"/>
      <c r="E33" s="1390"/>
    </row>
    <row r="34" spans="2:6">
      <c r="B34" s="1390" t="s">
        <v>433</v>
      </c>
      <c r="C34" s="1390"/>
      <c r="D34" s="1390"/>
      <c r="E34" s="1390"/>
    </row>
    <row r="35" spans="2:6">
      <c r="B35" s="1390" t="s">
        <v>434</v>
      </c>
      <c r="C35" s="1390"/>
      <c r="D35" s="1390"/>
      <c r="E35" s="1390"/>
      <c r="F35" s="1390"/>
    </row>
  </sheetData>
  <sheetProtection algorithmName="SHA-512" hashValue="vTlqwRulaXWojAiTiiIFG87d/sdEVRc46Hq97cCDuFVS0ZgLhFW9IyALtw635UpljujX0aF0GNnLfEShQM0LQg==" saltValue="7DsUhriprVr72/8rUH2zDQ==" spinCount="100000" sheet="1" objects="1" scenarios="1"/>
  <mergeCells count="11">
    <mergeCell ref="B2:D2"/>
    <mergeCell ref="B11:B12"/>
    <mergeCell ref="B15:B17"/>
    <mergeCell ref="B20:B21"/>
    <mergeCell ref="B23:B24"/>
    <mergeCell ref="B35:F35"/>
    <mergeCell ref="B27:B28"/>
    <mergeCell ref="B31:E31"/>
    <mergeCell ref="B33:E33"/>
    <mergeCell ref="B34:E34"/>
    <mergeCell ref="B32:F32"/>
  </mergeCells>
  <hyperlinks>
    <hyperlink ref="E26" r:id="rId1" xr:uid="{42F76716-2693-4E81-A18A-75771DAB12A9}"/>
  </hyperlinks>
  <pageMargins left="0.70866141732283472" right="0.70866141732283472" top="0.74803149606299213" bottom="0.74803149606299213" header="0.31496062992125984" footer="0.31496062992125984"/>
  <pageSetup paperSize="9" scale="37"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0327-0661-4142-9CE8-702AC7608113}">
  <sheetPr>
    <pageSetUpPr fitToPage="1"/>
  </sheetPr>
  <dimension ref="B2:K21"/>
  <sheetViews>
    <sheetView zoomScale="80" zoomScaleNormal="80" workbookViewId="0"/>
  </sheetViews>
  <sheetFormatPr defaultColWidth="8.88671875" defaultRowHeight="12.6"/>
  <cols>
    <col min="1" max="1" width="2.88671875" style="460" customWidth="1"/>
    <col min="2" max="2" width="30.44140625" style="460" customWidth="1"/>
    <col min="3" max="3" width="119.109375" style="460" customWidth="1"/>
    <col min="4" max="4" width="27.109375" style="460" customWidth="1"/>
    <col min="5" max="5" width="18.5546875" style="460" customWidth="1"/>
    <col min="6" max="6" width="24.88671875" style="460" customWidth="1"/>
    <col min="7" max="16384" width="8.88671875" style="460"/>
  </cols>
  <sheetData>
    <row r="2" spans="2:5" ht="24.6">
      <c r="B2" s="1393" t="s">
        <v>19</v>
      </c>
      <c r="C2" s="1393"/>
      <c r="D2" s="1393"/>
    </row>
    <row r="3" spans="2:5">
      <c r="B3" s="903"/>
      <c r="C3" s="903"/>
      <c r="D3" s="903"/>
    </row>
    <row r="4" spans="2:5" s="755" customFormat="1" ht="77.099999999999994" customHeight="1">
      <c r="B4" s="1400" t="s">
        <v>435</v>
      </c>
      <c r="C4" s="1400"/>
      <c r="D4" s="1400"/>
      <c r="E4" s="1400"/>
    </row>
    <row r="5" spans="2:5">
      <c r="B5" s="522"/>
      <c r="C5" s="522"/>
      <c r="D5" s="522"/>
    </row>
    <row r="6" spans="2:5">
      <c r="B6" s="523" t="s">
        <v>50</v>
      </c>
      <c r="C6" s="522"/>
      <c r="D6" s="522"/>
    </row>
    <row r="7" spans="2:5" ht="13.8">
      <c r="B7" s="11" t="s">
        <v>51</v>
      </c>
      <c r="C7" s="522"/>
      <c r="D7" s="522"/>
    </row>
    <row r="8" spans="2:5" ht="13.8">
      <c r="B8" s="11" t="s">
        <v>52</v>
      </c>
      <c r="C8" s="522"/>
      <c r="D8" s="522"/>
    </row>
    <row r="9" spans="2:5">
      <c r="B9" s="461"/>
      <c r="C9" s="522"/>
      <c r="D9" s="522"/>
    </row>
    <row r="10" spans="2:5" ht="13.8">
      <c r="B10" s="898" t="s">
        <v>436</v>
      </c>
      <c r="C10" s="899" t="s">
        <v>437</v>
      </c>
      <c r="D10" s="900" t="s">
        <v>361</v>
      </c>
      <c r="E10" s="900" t="s">
        <v>438</v>
      </c>
    </row>
    <row r="11" spans="2:5" ht="63.9" customHeight="1">
      <c r="B11" s="1397" t="s">
        <v>439</v>
      </c>
      <c r="C11" s="737" t="s">
        <v>440</v>
      </c>
      <c r="D11" s="1166" t="s">
        <v>441</v>
      </c>
      <c r="E11" s="1168" t="s">
        <v>442</v>
      </c>
    </row>
    <row r="12" spans="2:5" ht="63.9" customHeight="1">
      <c r="B12" s="1399"/>
      <c r="C12" s="738" t="s">
        <v>443</v>
      </c>
      <c r="D12" s="1166" t="s">
        <v>441</v>
      </c>
      <c r="E12" s="1169" t="s">
        <v>442</v>
      </c>
    </row>
    <row r="13" spans="2:5" ht="42.9" customHeight="1">
      <c r="B13" s="1397" t="s">
        <v>444</v>
      </c>
      <c r="C13" s="737" t="s">
        <v>445</v>
      </c>
      <c r="D13" s="1166" t="s">
        <v>446</v>
      </c>
      <c r="E13" s="1168" t="s">
        <v>447</v>
      </c>
    </row>
    <row r="14" spans="2:5" ht="42.9" customHeight="1">
      <c r="B14" s="1398"/>
      <c r="C14" s="736" t="s">
        <v>448</v>
      </c>
      <c r="D14" s="1166" t="s">
        <v>446</v>
      </c>
      <c r="E14" s="1170" t="s">
        <v>449</v>
      </c>
    </row>
    <row r="15" spans="2:5" ht="42.9" customHeight="1">
      <c r="B15" s="1399"/>
      <c r="C15" s="738" t="s">
        <v>450</v>
      </c>
      <c r="D15" s="1166" t="s">
        <v>446</v>
      </c>
      <c r="E15" s="1169" t="s">
        <v>451</v>
      </c>
    </row>
    <row r="16" spans="2:5" ht="33" customHeight="1">
      <c r="B16" s="1397" t="s">
        <v>452</v>
      </c>
      <c r="C16" s="737" t="s">
        <v>453</v>
      </c>
      <c r="D16" s="1166" t="s">
        <v>454</v>
      </c>
      <c r="E16" s="1168" t="s">
        <v>455</v>
      </c>
    </row>
    <row r="17" spans="2:11" ht="24.9" customHeight="1">
      <c r="B17" s="1398"/>
      <c r="C17" s="736" t="s">
        <v>456</v>
      </c>
      <c r="D17" s="1166" t="s">
        <v>454</v>
      </c>
      <c r="E17" s="1170" t="s">
        <v>455</v>
      </c>
      <c r="K17" s="542"/>
    </row>
    <row r="18" spans="2:11" ht="40.5" customHeight="1">
      <c r="B18" s="1399"/>
      <c r="C18" s="738" t="s">
        <v>457</v>
      </c>
      <c r="D18" s="1166" t="s">
        <v>454</v>
      </c>
      <c r="E18" s="1169" t="s">
        <v>458</v>
      </c>
    </row>
    <row r="19" spans="2:11" ht="43.5" customHeight="1">
      <c r="B19" s="1397" t="s">
        <v>459</v>
      </c>
      <c r="C19" s="737" t="s">
        <v>460</v>
      </c>
      <c r="D19" s="1166" t="s">
        <v>461</v>
      </c>
      <c r="E19" s="1168" t="s">
        <v>462</v>
      </c>
    </row>
    <row r="20" spans="2:11" ht="43.5" customHeight="1">
      <c r="B20" s="1398"/>
      <c r="C20" s="736" t="s">
        <v>463</v>
      </c>
      <c r="D20" s="1166" t="s">
        <v>464</v>
      </c>
      <c r="E20" s="1170" t="s">
        <v>462</v>
      </c>
    </row>
    <row r="21" spans="2:11" ht="43.5" customHeight="1">
      <c r="B21" s="1399"/>
      <c r="C21" s="738" t="s">
        <v>465</v>
      </c>
      <c r="D21" s="1166" t="s">
        <v>461</v>
      </c>
      <c r="E21" s="1169" t="s">
        <v>466</v>
      </c>
    </row>
  </sheetData>
  <sheetProtection algorithmName="SHA-512" hashValue="Tr1TctenxVMlIXyCuscP7jZtTBzujqvBt/w4G/RCPsDs08HfQa5QOgZM2vdP2gF0CGHKvxbwxXi0cWKG3SKfiw==" saltValue="Ez8FLuiuuz/eukZnOqcfSQ==" spinCount="100000" sheet="1" objects="1" scenarios="1"/>
  <mergeCells count="6">
    <mergeCell ref="B13:B15"/>
    <mergeCell ref="B11:B12"/>
    <mergeCell ref="B16:B18"/>
    <mergeCell ref="B19:B21"/>
    <mergeCell ref="B2:D2"/>
    <mergeCell ref="B4:E4"/>
  </mergeCells>
  <phoneticPr fontId="3" type="noConversion"/>
  <pageMargins left="0.70866141732283472" right="0.70866141732283472" top="0.74803149606299213" bottom="0.74803149606299213" header="0.31496062992125984" footer="0.31496062992125984"/>
  <pageSetup paperSize="9" scale="7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2:M29"/>
  <sheetViews>
    <sheetView tabSelected="1" zoomScale="80" zoomScaleNormal="80" workbookViewId="0"/>
  </sheetViews>
  <sheetFormatPr defaultColWidth="8.88671875" defaultRowHeight="12.6"/>
  <cols>
    <col min="1" max="1" width="5.88671875" style="460" customWidth="1"/>
    <col min="2" max="2" width="16.5546875" style="460" customWidth="1"/>
    <col min="3" max="3" width="47.109375" style="460" customWidth="1"/>
    <col min="4" max="4" width="56.88671875" style="460" customWidth="1"/>
    <col min="5" max="5" width="65" style="462" hidden="1" customWidth="1"/>
    <col min="6" max="6" width="65" style="463" hidden="1" customWidth="1"/>
    <col min="7" max="7" width="35.5546875" style="460" customWidth="1"/>
    <col min="8" max="8" width="54" style="460" customWidth="1"/>
    <col min="9" max="9" width="50.44140625" style="460" customWidth="1"/>
    <col min="10" max="10" width="9.88671875" style="460" bestFit="1" customWidth="1"/>
    <col min="11" max="12" width="8.88671875" style="460"/>
    <col min="13" max="13" width="10.88671875" style="460" bestFit="1" customWidth="1"/>
    <col min="14" max="16384" width="8.88671875" style="460"/>
  </cols>
  <sheetData>
    <row r="2" spans="2:9" ht="24.6">
      <c r="B2" s="1393" t="s">
        <v>467</v>
      </c>
      <c r="C2" s="1393"/>
      <c r="D2" s="1393"/>
      <c r="E2" s="1393"/>
      <c r="F2" s="1393"/>
    </row>
    <row r="4" spans="2:9" ht="13.8">
      <c r="B4" s="10" t="s">
        <v>50</v>
      </c>
    </row>
    <row r="5" spans="2:9" ht="13.8">
      <c r="B5" s="11" t="s">
        <v>51</v>
      </c>
    </row>
    <row r="6" spans="2:9" ht="13.8">
      <c r="B6" s="11" t="s">
        <v>52</v>
      </c>
    </row>
    <row r="8" spans="2:9" s="533" customFormat="1" ht="17.399999999999999" customHeight="1">
      <c r="B8" s="906" t="s">
        <v>468</v>
      </c>
      <c r="C8" s="906" t="s">
        <v>469</v>
      </c>
      <c r="D8" s="906" t="s">
        <v>470</v>
      </c>
      <c r="E8" s="906" t="s">
        <v>468</v>
      </c>
      <c r="F8" s="906" t="s">
        <v>468</v>
      </c>
      <c r="G8" s="907" t="s">
        <v>361</v>
      </c>
      <c r="H8" s="907" t="s">
        <v>362</v>
      </c>
    </row>
    <row r="9" spans="2:9" ht="25.2">
      <c r="B9" s="1401" t="s">
        <v>183</v>
      </c>
      <c r="C9" s="1411" t="s">
        <v>471</v>
      </c>
      <c r="D9" s="759" t="s">
        <v>472</v>
      </c>
      <c r="E9" s="760"/>
      <c r="F9" s="1404" t="s">
        <v>473</v>
      </c>
      <c r="G9" s="1235" t="s">
        <v>474</v>
      </c>
      <c r="H9" s="1094" t="str">
        <f>TEXT(ROUNDDOWN(Environment!D10,0),"#,###")&amp;" tonnes CO₂e"</f>
        <v>215,429 tonnes CO₂e</v>
      </c>
    </row>
    <row r="10" spans="2:9" ht="25.2">
      <c r="B10" s="1402"/>
      <c r="C10" s="1412"/>
      <c r="D10" s="543" t="s">
        <v>475</v>
      </c>
      <c r="E10" s="646"/>
      <c r="F10" s="1405"/>
      <c r="G10" s="1235" t="s">
        <v>474</v>
      </c>
      <c r="H10" s="1094" t="str">
        <f>TEXT(ROUNDDOWN(Environment!D11,0),"#,###")&amp;" tonnes CO₂e"</f>
        <v>66,974 tonnes CO₂e</v>
      </c>
      <c r="I10" s="1167"/>
    </row>
    <row r="11" spans="2:9" ht="25.2">
      <c r="B11" s="1402"/>
      <c r="C11" s="1412"/>
      <c r="D11" s="543" t="s">
        <v>476</v>
      </c>
      <c r="E11" s="646"/>
      <c r="F11" s="1405"/>
      <c r="G11" s="1235" t="s">
        <v>474</v>
      </c>
      <c r="H11" s="1094" t="str">
        <f>TEXT(ROUNDUP(Environment!D33,0),"#,###")&amp;" tonnes CO₂e"</f>
        <v>3,026,405 tonnes CO₂e</v>
      </c>
    </row>
    <row r="12" spans="2:9" ht="30.9" customHeight="1">
      <c r="B12" s="1402"/>
      <c r="C12" s="1412"/>
      <c r="D12" s="543" t="s">
        <v>477</v>
      </c>
      <c r="E12" s="646"/>
      <c r="F12" s="1405"/>
      <c r="G12" s="1234" t="s">
        <v>366</v>
      </c>
      <c r="H12" s="1094" t="str">
        <f>TEXT(ROUNDUP(Environment!D40,0),"#,###")&amp;" tonnes CO₂e"</f>
        <v>3,308,808 tonnes CO₂e</v>
      </c>
    </row>
    <row r="13" spans="2:9" ht="54" hidden="1" customHeight="1">
      <c r="B13" s="1402"/>
      <c r="C13" s="646" t="s">
        <v>478</v>
      </c>
      <c r="D13" s="646" t="s">
        <v>478</v>
      </c>
      <c r="E13" s="646"/>
      <c r="F13" s="648" t="s">
        <v>479</v>
      </c>
      <c r="G13" s="1229"/>
      <c r="H13" s="1094" t="str">
        <f>TEXT(ROUNDUP(Environment!D41,0),"#,###")&amp;" tonnes CO₂e"</f>
        <v>31 tonnes CO₂e</v>
      </c>
    </row>
    <row r="14" spans="2:9" ht="30.9" customHeight="1">
      <c r="B14" s="1402"/>
      <c r="C14" s="647" t="s">
        <v>480</v>
      </c>
      <c r="D14" s="543" t="s">
        <v>481</v>
      </c>
      <c r="E14" s="646"/>
      <c r="F14" s="648" t="s">
        <v>482</v>
      </c>
      <c r="G14" s="1234" t="s">
        <v>483</v>
      </c>
      <c r="H14" s="1094" t="str">
        <f>TEXT(Environment!D42,"0.0")&amp;" tonnes CO2e/£ million revenue"</f>
        <v>257.6 tonnes CO2e/£ million revenue</v>
      </c>
      <c r="I14" s="531"/>
    </row>
    <row r="15" spans="2:9" ht="30.9" customHeight="1">
      <c r="B15" s="1402"/>
      <c r="C15" s="544" t="s">
        <v>484</v>
      </c>
      <c r="D15" s="544" t="s">
        <v>485</v>
      </c>
      <c r="E15" s="545" t="s">
        <v>486</v>
      </c>
      <c r="F15" s="649" t="s">
        <v>487</v>
      </c>
      <c r="G15" s="1234" t="s">
        <v>488</v>
      </c>
      <c r="H15" s="1094" t="s">
        <v>489</v>
      </c>
      <c r="I15" s="1232"/>
    </row>
    <row r="16" spans="2:9" ht="48.9" customHeight="1">
      <c r="B16" s="1402"/>
      <c r="C16" s="647" t="s">
        <v>490</v>
      </c>
      <c r="D16" s="647" t="s">
        <v>491</v>
      </c>
      <c r="E16" s="546" t="s">
        <v>492</v>
      </c>
      <c r="F16" s="648" t="s">
        <v>493</v>
      </c>
      <c r="G16" s="1234" t="s">
        <v>366</v>
      </c>
      <c r="H16" s="1095" t="s">
        <v>494</v>
      </c>
      <c r="I16" s="1233"/>
    </row>
    <row r="17" spans="2:13" ht="30" customHeight="1">
      <c r="B17" s="1403"/>
      <c r="C17" s="761" t="s">
        <v>495</v>
      </c>
      <c r="D17" s="761" t="s">
        <v>496</v>
      </c>
      <c r="E17" s="762" t="s">
        <v>497</v>
      </c>
      <c r="F17" s="763" t="s">
        <v>498</v>
      </c>
      <c r="G17" s="1236" t="s">
        <v>474</v>
      </c>
      <c r="H17" s="1094" t="s">
        <v>499</v>
      </c>
    </row>
    <row r="18" spans="2:13" ht="60.9" customHeight="1">
      <c r="B18" s="778" t="s">
        <v>280</v>
      </c>
      <c r="C18" s="756" t="s">
        <v>500</v>
      </c>
      <c r="D18" s="756" t="s">
        <v>501</v>
      </c>
      <c r="E18" s="757" t="s">
        <v>502</v>
      </c>
      <c r="F18" s="758" t="s">
        <v>503</v>
      </c>
      <c r="G18" s="1237" t="s">
        <v>504</v>
      </c>
      <c r="H18" s="1096" t="s">
        <v>505</v>
      </c>
    </row>
    <row r="19" spans="2:13" ht="75.599999999999994">
      <c r="B19" s="779" t="s">
        <v>506</v>
      </c>
      <c r="C19" s="663" t="s">
        <v>507</v>
      </c>
      <c r="D19" s="660" t="s">
        <v>508</v>
      </c>
      <c r="E19" s="661" t="s">
        <v>509</v>
      </c>
      <c r="F19" s="662" t="s">
        <v>510</v>
      </c>
      <c r="G19" s="1238" t="s">
        <v>178</v>
      </c>
      <c r="H19" s="1097" t="s">
        <v>511</v>
      </c>
      <c r="L19" s="532"/>
    </row>
    <row r="20" spans="2:13" ht="33.6" customHeight="1">
      <c r="B20" s="779" t="s">
        <v>196</v>
      </c>
      <c r="C20" s="660" t="s">
        <v>512</v>
      </c>
      <c r="D20" s="660" t="s">
        <v>513</v>
      </c>
      <c r="E20" s="661" t="s">
        <v>514</v>
      </c>
      <c r="F20" s="662" t="s">
        <v>515</v>
      </c>
      <c r="G20" s="1238" t="s">
        <v>178</v>
      </c>
      <c r="H20" s="1097" t="s">
        <v>516</v>
      </c>
    </row>
    <row r="21" spans="2:13" ht="57" customHeight="1">
      <c r="B21" s="1406" t="s">
        <v>517</v>
      </c>
      <c r="C21" s="658" t="s">
        <v>518</v>
      </c>
      <c r="D21" s="658" t="s">
        <v>518</v>
      </c>
      <c r="E21" s="664"/>
      <c r="F21" s="657" t="s">
        <v>519</v>
      </c>
      <c r="G21" s="1230"/>
      <c r="H21" s="904" t="s">
        <v>520</v>
      </c>
    </row>
    <row r="22" spans="2:13" ht="36.9" customHeight="1">
      <c r="B22" s="1407"/>
      <c r="C22" s="1409" t="s">
        <v>521</v>
      </c>
      <c r="D22" s="1409" t="s">
        <v>522</v>
      </c>
      <c r="E22" s="549"/>
      <c r="F22" s="650" t="s">
        <v>523</v>
      </c>
      <c r="G22" s="1413" t="s">
        <v>524</v>
      </c>
      <c r="H22" s="1410" t="s">
        <v>525</v>
      </c>
      <c r="M22" s="527"/>
    </row>
    <row r="23" spans="2:13" ht="34.5" customHeight="1">
      <c r="B23" s="1407"/>
      <c r="C23" s="1409"/>
      <c r="D23" s="1409"/>
      <c r="E23" s="549"/>
      <c r="F23" s="650"/>
      <c r="G23" s="1414"/>
      <c r="H23" s="1410"/>
      <c r="M23" s="527"/>
    </row>
    <row r="24" spans="2:13" ht="26.4" customHeight="1">
      <c r="B24" s="1407"/>
      <c r="C24" s="1409" t="s">
        <v>526</v>
      </c>
      <c r="D24" s="1409" t="s">
        <v>527</v>
      </c>
      <c r="E24" s="549"/>
      <c r="F24" s="650" t="s">
        <v>528</v>
      </c>
      <c r="G24" s="1240" t="s">
        <v>326</v>
      </c>
      <c r="H24" s="1410" t="s">
        <v>529</v>
      </c>
    </row>
    <row r="25" spans="2:13" ht="26.4" customHeight="1">
      <c r="B25" s="1407"/>
      <c r="C25" s="1409"/>
      <c r="D25" s="1409"/>
      <c r="E25" s="549"/>
      <c r="F25" s="650"/>
      <c r="G25" s="1239" t="s">
        <v>239</v>
      </c>
      <c r="H25" s="1410"/>
    </row>
    <row r="26" spans="2:13" ht="37.5" customHeight="1">
      <c r="B26" s="1407"/>
      <c r="C26" s="647" t="s">
        <v>530</v>
      </c>
      <c r="D26" s="647" t="s">
        <v>531</v>
      </c>
      <c r="E26" s="549"/>
      <c r="F26" s="648" t="s">
        <v>532</v>
      </c>
      <c r="G26" s="1241" t="s">
        <v>533</v>
      </c>
      <c r="H26" s="1093" t="s">
        <v>534</v>
      </c>
    </row>
    <row r="27" spans="2:13" ht="46.5" customHeight="1">
      <c r="B27" s="1408"/>
      <c r="C27" s="659" t="s">
        <v>535</v>
      </c>
      <c r="D27" s="659" t="s">
        <v>536</v>
      </c>
      <c r="E27" s="665"/>
      <c r="F27" s="666" t="s">
        <v>537</v>
      </c>
      <c r="G27" s="1231"/>
      <c r="H27" s="905" t="s">
        <v>538</v>
      </c>
    </row>
    <row r="28" spans="2:13">
      <c r="E28" s="464"/>
      <c r="H28" s="772"/>
    </row>
    <row r="29" spans="2:13">
      <c r="E29" s="464"/>
    </row>
  </sheetData>
  <sheetProtection algorithmName="SHA-512" hashValue="Apk9axLNBPoH2Y3r2zmhYZiiyqnQLznHMuAQBE1uKHLslEV6DLZ/a9KedbaylKW1H4Epjyc+5UMojvDqCaR4Ww==" saltValue="StwwsnTXAyGo/ymkNX0Bsg==" spinCount="100000" sheet="1" objects="1" scenarios="1"/>
  <mergeCells count="12">
    <mergeCell ref="H24:H25"/>
    <mergeCell ref="C22:C23"/>
    <mergeCell ref="D22:D23"/>
    <mergeCell ref="H22:H23"/>
    <mergeCell ref="C9:C12"/>
    <mergeCell ref="G22:G23"/>
    <mergeCell ref="B9:B17"/>
    <mergeCell ref="F9:F12"/>
    <mergeCell ref="B21:B27"/>
    <mergeCell ref="B2:F2"/>
    <mergeCell ref="C24:C25"/>
    <mergeCell ref="D24:D25"/>
  </mergeCells>
  <hyperlinks>
    <hyperlink ref="G18" r:id="rId1" display="https://matthey.com/contact-us?assetCategoryIds=&amp;sort=ddm__keyword__232321__Country" xr:uid="{90784D5D-E25B-480A-B107-1751B6F184AB}"/>
    <hyperlink ref="G25" r:id="rId2" xr:uid="{56E27788-FCB8-4905-9EE0-9BB306062DAD}"/>
    <hyperlink ref="G22" r:id="rId3" xr:uid="{EC01C020-7808-4B6D-AB2F-7636701D8CA0}"/>
  </hyperlinks>
  <pageMargins left="0.70866141732283472" right="0.70866141732283472" top="0.74803149606299213" bottom="0.74803149606299213" header="0.31496062992125984" footer="0.31496062992125984"/>
  <pageSetup paperSize="9" scale="60" orientation="landscape" r:id="rId4"/>
  <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238B-A4B7-4785-97C8-68FD2F1B1373}">
  <sheetPr>
    <pageSetUpPr fitToPage="1"/>
  </sheetPr>
  <dimension ref="B2:T32"/>
  <sheetViews>
    <sheetView zoomScale="80" zoomScaleNormal="80" workbookViewId="0"/>
  </sheetViews>
  <sheetFormatPr defaultColWidth="8.88671875" defaultRowHeight="13.8"/>
  <cols>
    <col min="1" max="1" width="3.88671875" style="64" customWidth="1"/>
    <col min="2" max="2" width="68.6640625" style="64" customWidth="1"/>
    <col min="3" max="3" width="19" style="64" customWidth="1"/>
    <col min="4" max="4" width="16.44140625" style="64" bestFit="1" customWidth="1"/>
    <col min="5" max="5" width="15.109375" style="64" bestFit="1" customWidth="1"/>
    <col min="6" max="6" width="14" style="64" customWidth="1"/>
    <col min="7" max="7" width="16.33203125" style="64" customWidth="1"/>
    <col min="8" max="8" width="12.33203125" style="64" customWidth="1"/>
    <col min="9" max="9" width="14.33203125" style="64" customWidth="1"/>
    <col min="10" max="10" width="14.6640625" style="64" customWidth="1"/>
    <col min="11" max="11" width="12.44140625" style="64" customWidth="1"/>
    <col min="12" max="12" width="12.88671875" style="64" customWidth="1"/>
    <col min="13" max="13" width="17" style="64" customWidth="1"/>
    <col min="14" max="14" width="12.44140625" style="64" customWidth="1"/>
    <col min="15" max="15" width="13.109375" style="64" customWidth="1"/>
    <col min="16" max="16" width="15" style="64" bestFit="1" customWidth="1"/>
    <col min="17" max="17" width="14.44140625" style="64" customWidth="1"/>
    <col min="18" max="18" width="12.5546875" style="64" customWidth="1"/>
    <col min="19" max="16384" width="8.88671875" style="64"/>
  </cols>
  <sheetData>
    <row r="2" spans="2:20" ht="24.6">
      <c r="B2" s="1053" t="s">
        <v>539</v>
      </c>
      <c r="C2" s="1053"/>
      <c r="D2" s="1053"/>
    </row>
    <row r="3" spans="2:20">
      <c r="B3" s="901"/>
      <c r="C3" s="901"/>
      <c r="D3" s="901"/>
    </row>
    <row r="4" spans="2:20" ht="3" customHeight="1">
      <c r="B4" s="1415" t="s">
        <v>540</v>
      </c>
      <c r="C4" s="1416"/>
      <c r="D4" s="1416"/>
      <c r="E4" s="1416"/>
      <c r="F4" s="1416"/>
      <c r="G4" s="1416"/>
      <c r="H4" s="1416"/>
      <c r="I4" s="1416"/>
      <c r="J4" s="1416"/>
      <c r="K4" s="1416"/>
      <c r="L4" s="1416"/>
      <c r="M4" s="1416"/>
      <c r="N4" s="1416"/>
      <c r="O4" s="1416"/>
      <c r="P4" s="1416"/>
      <c r="Q4" s="1416"/>
      <c r="R4" s="1416"/>
    </row>
    <row r="5" spans="2:20" ht="13.5" customHeight="1">
      <c r="B5" s="1416"/>
      <c r="C5" s="1416"/>
      <c r="D5" s="1416"/>
      <c r="E5" s="1416"/>
      <c r="F5" s="1416"/>
      <c r="G5" s="1416"/>
      <c r="H5" s="1416"/>
      <c r="I5" s="1416"/>
      <c r="J5" s="1416"/>
      <c r="K5" s="1416"/>
      <c r="L5" s="1416"/>
      <c r="M5" s="1416"/>
      <c r="N5" s="1416"/>
      <c r="O5" s="1416"/>
      <c r="P5" s="1416"/>
      <c r="Q5" s="1416"/>
      <c r="R5" s="1416"/>
    </row>
    <row r="6" spans="2:20" ht="81.900000000000006" customHeight="1">
      <c r="B6" s="1416"/>
      <c r="C6" s="1416"/>
      <c r="D6" s="1416"/>
      <c r="E6" s="1416"/>
      <c r="F6" s="1416"/>
      <c r="G6" s="1416"/>
      <c r="H6" s="1416"/>
      <c r="I6" s="1416"/>
      <c r="J6" s="1416"/>
      <c r="K6" s="1416"/>
      <c r="L6" s="1416"/>
      <c r="M6" s="1416"/>
      <c r="N6" s="1416"/>
      <c r="O6" s="1416"/>
      <c r="P6" s="1416"/>
      <c r="Q6" s="1416"/>
      <c r="R6" s="1416"/>
    </row>
    <row r="7" spans="2:20">
      <c r="B7" s="10" t="s">
        <v>541</v>
      </c>
      <c r="C7" s="14"/>
      <c r="D7" s="14"/>
    </row>
    <row r="8" spans="2:20">
      <c r="B8" s="11" t="s">
        <v>542</v>
      </c>
      <c r="C8" s="14"/>
      <c r="D8" s="14"/>
    </row>
    <row r="9" spans="2:20">
      <c r="B9" s="11"/>
      <c r="C9" s="14"/>
      <c r="D9" s="14"/>
    </row>
    <row r="10" spans="2:20" ht="13.5" customHeight="1">
      <c r="B10" s="1427" t="s">
        <v>543</v>
      </c>
      <c r="C10" s="1428" t="s">
        <v>544</v>
      </c>
      <c r="D10" s="1424" t="s">
        <v>545</v>
      </c>
      <c r="E10" s="1425"/>
      <c r="F10" s="1426"/>
      <c r="G10" s="1417" t="s">
        <v>546</v>
      </c>
      <c r="H10" s="1418"/>
      <c r="I10" s="1419"/>
      <c r="J10" s="1417" t="s">
        <v>547</v>
      </c>
      <c r="K10" s="1418"/>
      <c r="L10" s="1419"/>
      <c r="M10" s="1417" t="s">
        <v>548</v>
      </c>
      <c r="N10" s="1418"/>
      <c r="O10" s="1419"/>
      <c r="P10" s="1417" t="s">
        <v>549</v>
      </c>
      <c r="Q10" s="1418"/>
      <c r="R10" s="1419"/>
    </row>
    <row r="11" spans="2:20">
      <c r="B11" s="1427"/>
      <c r="C11" s="1428"/>
      <c r="D11" s="926" t="s">
        <v>550</v>
      </c>
      <c r="E11" s="926" t="s">
        <v>551</v>
      </c>
      <c r="F11" s="926" t="s">
        <v>552</v>
      </c>
      <c r="G11" s="926" t="s">
        <v>550</v>
      </c>
      <c r="H11" s="926" t="s">
        <v>551</v>
      </c>
      <c r="I11" s="926" t="s">
        <v>552</v>
      </c>
      <c r="J11" s="926" t="s">
        <v>550</v>
      </c>
      <c r="K11" s="926" t="s">
        <v>551</v>
      </c>
      <c r="L11" s="926" t="s">
        <v>552</v>
      </c>
      <c r="M11" s="926" t="s">
        <v>550</v>
      </c>
      <c r="N11" s="926" t="s">
        <v>551</v>
      </c>
      <c r="O11" s="926" t="s">
        <v>552</v>
      </c>
      <c r="P11" s="926" t="s">
        <v>550</v>
      </c>
      <c r="Q11" s="926" t="s">
        <v>551</v>
      </c>
      <c r="R11" s="926" t="s">
        <v>552</v>
      </c>
    </row>
    <row r="12" spans="2:20" ht="18.600000000000001">
      <c r="B12" s="626" t="s">
        <v>472</v>
      </c>
      <c r="C12" s="823" t="s">
        <v>553</v>
      </c>
      <c r="D12" s="922">
        <v>215429</v>
      </c>
      <c r="E12" s="922">
        <v>103022</v>
      </c>
      <c r="F12" s="922">
        <f>D12-E12</f>
        <v>112407</v>
      </c>
      <c r="G12" s="627">
        <v>215368</v>
      </c>
      <c r="H12" s="627">
        <v>102084</v>
      </c>
      <c r="I12" s="627">
        <f>G12-H12</f>
        <v>113284</v>
      </c>
      <c r="J12" s="627">
        <v>226536</v>
      </c>
      <c r="K12" s="627">
        <v>104922</v>
      </c>
      <c r="L12" s="627">
        <f>J12-K12</f>
        <v>121614</v>
      </c>
      <c r="M12" s="627">
        <v>229356</v>
      </c>
      <c r="N12" s="627">
        <v>114568</v>
      </c>
      <c r="O12" s="627">
        <f>M12-N12</f>
        <v>114788</v>
      </c>
      <c r="P12" s="627">
        <v>228143</v>
      </c>
      <c r="Q12" s="627">
        <v>110387</v>
      </c>
      <c r="R12" s="627">
        <f>P12-Q12</f>
        <v>117756</v>
      </c>
      <c r="S12" s="96"/>
      <c r="T12" s="96"/>
    </row>
    <row r="13" spans="2:20" ht="18.600000000000001">
      <c r="B13" s="626" t="s">
        <v>475</v>
      </c>
      <c r="C13" s="823" t="s">
        <v>553</v>
      </c>
      <c r="D13" s="922">
        <v>66974</v>
      </c>
      <c r="E13" s="922">
        <v>634</v>
      </c>
      <c r="F13" s="922">
        <f>D13-E13</f>
        <v>66340</v>
      </c>
      <c r="G13" s="627">
        <v>129542</v>
      </c>
      <c r="H13" s="627">
        <v>1024</v>
      </c>
      <c r="I13" s="627">
        <f>G13-H13</f>
        <v>128518</v>
      </c>
      <c r="J13" s="627">
        <v>168715</v>
      </c>
      <c r="K13" s="627">
        <v>1265</v>
      </c>
      <c r="L13" s="627">
        <f>J13-K13</f>
        <v>167450</v>
      </c>
      <c r="M13" s="627">
        <v>167529</v>
      </c>
      <c r="N13" s="627">
        <v>3969</v>
      </c>
      <c r="O13" s="627">
        <f>M13-N13</f>
        <v>163560</v>
      </c>
      <c r="P13" s="627">
        <v>177627</v>
      </c>
      <c r="Q13" s="627">
        <v>3761</v>
      </c>
      <c r="R13" s="627">
        <f>P13-Q13</f>
        <v>173866</v>
      </c>
      <c r="S13" s="96"/>
      <c r="T13" s="96"/>
    </row>
    <row r="14" spans="2:20" ht="18.600000000000001">
      <c r="B14" s="626" t="s">
        <v>554</v>
      </c>
      <c r="C14" s="823" t="s">
        <v>553</v>
      </c>
      <c r="D14" s="922">
        <v>196812</v>
      </c>
      <c r="E14" s="922">
        <v>21677</v>
      </c>
      <c r="F14" s="922">
        <f>D14-E14</f>
        <v>175135</v>
      </c>
      <c r="G14" s="627">
        <v>204018</v>
      </c>
      <c r="H14" s="627">
        <v>21710</v>
      </c>
      <c r="I14" s="627">
        <f>G14-H14</f>
        <v>182308</v>
      </c>
      <c r="J14" s="627">
        <v>225058</v>
      </c>
      <c r="K14" s="627">
        <v>24705</v>
      </c>
      <c r="L14" s="627">
        <f>J14-K14</f>
        <v>200353</v>
      </c>
      <c r="M14" s="627">
        <v>207296</v>
      </c>
      <c r="N14" s="627">
        <v>29487</v>
      </c>
      <c r="O14" s="627">
        <f>M14-N14</f>
        <v>177809</v>
      </c>
      <c r="P14" s="627">
        <v>228885</v>
      </c>
      <c r="Q14" s="627">
        <v>34441</v>
      </c>
      <c r="R14" s="627">
        <f>P14-Q14</f>
        <v>194444</v>
      </c>
      <c r="S14" s="96"/>
      <c r="T14" s="96"/>
    </row>
    <row r="15" spans="2:20" ht="18.600000000000001">
      <c r="B15" s="628" t="s">
        <v>555</v>
      </c>
      <c r="C15" s="824" t="s">
        <v>556</v>
      </c>
      <c r="D15" s="922">
        <v>282403</v>
      </c>
      <c r="E15" s="922">
        <v>103656</v>
      </c>
      <c r="F15" s="922">
        <f>D15-E15</f>
        <v>178747</v>
      </c>
      <c r="G15" s="627">
        <v>344910</v>
      </c>
      <c r="H15" s="627">
        <v>103108</v>
      </c>
      <c r="I15" s="627">
        <f>G15-H15</f>
        <v>241802</v>
      </c>
      <c r="J15" s="627">
        <v>395251</v>
      </c>
      <c r="K15" s="627">
        <v>106187</v>
      </c>
      <c r="L15" s="627">
        <f>J15-K15</f>
        <v>289064</v>
      </c>
      <c r="M15" s="627">
        <v>396885</v>
      </c>
      <c r="N15" s="627">
        <v>118537</v>
      </c>
      <c r="O15" s="627">
        <f>M15-N15</f>
        <v>278348</v>
      </c>
      <c r="P15" s="627">
        <v>405770</v>
      </c>
      <c r="Q15" s="627">
        <v>114149</v>
      </c>
      <c r="R15" s="627">
        <f>P15-Q15</f>
        <v>291621</v>
      </c>
      <c r="S15" s="96"/>
      <c r="T15" s="96"/>
    </row>
    <row r="16" spans="2:20" ht="18.600000000000001">
      <c r="B16" s="626" t="s">
        <v>557</v>
      </c>
      <c r="C16" s="823" t="s">
        <v>553</v>
      </c>
      <c r="D16" s="922">
        <v>412241</v>
      </c>
      <c r="E16" s="922">
        <v>124699</v>
      </c>
      <c r="F16" s="922">
        <f>D16-E16</f>
        <v>287542</v>
      </c>
      <c r="G16" s="627">
        <v>419386</v>
      </c>
      <c r="H16" s="627">
        <v>123795</v>
      </c>
      <c r="I16" s="627">
        <f>G16-H16</f>
        <v>295591</v>
      </c>
      <c r="J16" s="627">
        <v>451594</v>
      </c>
      <c r="K16" s="627">
        <v>129627</v>
      </c>
      <c r="L16" s="627">
        <f>J16-K16</f>
        <v>321967</v>
      </c>
      <c r="M16" s="627">
        <v>436652</v>
      </c>
      <c r="N16" s="627">
        <v>144055</v>
      </c>
      <c r="O16" s="627">
        <f>M16-N16</f>
        <v>292597</v>
      </c>
      <c r="P16" s="627">
        <v>457027</v>
      </c>
      <c r="Q16" s="627">
        <v>144828</v>
      </c>
      <c r="R16" s="627">
        <f>P16-Q16</f>
        <v>312199</v>
      </c>
      <c r="S16" s="96"/>
      <c r="T16" s="96"/>
    </row>
    <row r="17" spans="2:20" ht="49.5" customHeight="1">
      <c r="B17" s="628" t="s">
        <v>558</v>
      </c>
      <c r="C17" s="825" t="s">
        <v>559</v>
      </c>
      <c r="D17" s="1070">
        <v>2.6</v>
      </c>
      <c r="E17" s="1070">
        <v>21.6</v>
      </c>
      <c r="F17" s="1070">
        <v>1.1000000000000001</v>
      </c>
      <c r="G17" s="1088">
        <v>3.19</v>
      </c>
      <c r="H17" s="1088">
        <v>22.7</v>
      </c>
      <c r="I17" s="1088">
        <v>2.2999999999999998</v>
      </c>
      <c r="J17" s="1088">
        <v>3.61</v>
      </c>
      <c r="K17" s="1088">
        <v>20.2</v>
      </c>
      <c r="L17" s="1088">
        <v>2.8</v>
      </c>
      <c r="M17" s="1088">
        <v>3.74</v>
      </c>
      <c r="N17" s="1088">
        <v>12.1</v>
      </c>
      <c r="O17" s="1088">
        <v>2.9</v>
      </c>
      <c r="P17" s="1088">
        <v>3.59</v>
      </c>
      <c r="Q17" s="1088">
        <v>4.7</v>
      </c>
      <c r="R17" s="1088">
        <v>3.3</v>
      </c>
      <c r="S17" s="96"/>
      <c r="T17" s="96"/>
    </row>
    <row r="18" spans="2:20">
      <c r="S18" s="96"/>
      <c r="T18" s="96"/>
    </row>
    <row r="19" spans="2:20" ht="40.5" customHeight="1">
      <c r="B19" s="1420" t="s">
        <v>560</v>
      </c>
      <c r="C19" s="1422" t="s">
        <v>544</v>
      </c>
      <c r="D19" s="1424" t="s">
        <v>545</v>
      </c>
      <c r="E19" s="1425"/>
      <c r="F19" s="1426"/>
      <c r="G19" s="1417" t="s">
        <v>546</v>
      </c>
      <c r="H19" s="1418"/>
      <c r="I19" s="1419"/>
      <c r="J19" s="1417" t="s">
        <v>547</v>
      </c>
      <c r="K19" s="1418"/>
      <c r="L19" s="1419"/>
      <c r="M19" s="1417" t="s">
        <v>548</v>
      </c>
      <c r="N19" s="1418"/>
      <c r="O19" s="1419"/>
      <c r="P19" s="1417" t="s">
        <v>549</v>
      </c>
      <c r="Q19" s="1418"/>
      <c r="R19" s="1419"/>
      <c r="S19" s="96"/>
      <c r="T19" s="96"/>
    </row>
    <row r="20" spans="2:20">
      <c r="B20" s="1421"/>
      <c r="C20" s="1423"/>
      <c r="D20" s="926" t="s">
        <v>550</v>
      </c>
      <c r="E20" s="926" t="s">
        <v>551</v>
      </c>
      <c r="F20" s="926" t="s">
        <v>552</v>
      </c>
      <c r="G20" s="926" t="s">
        <v>550</v>
      </c>
      <c r="H20" s="926" t="s">
        <v>551</v>
      </c>
      <c r="I20" s="926" t="s">
        <v>552</v>
      </c>
      <c r="J20" s="926" t="s">
        <v>550</v>
      </c>
      <c r="K20" s="926" t="s">
        <v>551</v>
      </c>
      <c r="L20" s="926" t="s">
        <v>552</v>
      </c>
      <c r="M20" s="926" t="s">
        <v>550</v>
      </c>
      <c r="N20" s="926" t="s">
        <v>551</v>
      </c>
      <c r="O20" s="926" t="s">
        <v>552</v>
      </c>
      <c r="P20" s="926" t="s">
        <v>550</v>
      </c>
      <c r="Q20" s="926" t="s">
        <v>551</v>
      </c>
      <c r="R20" s="926" t="s">
        <v>552</v>
      </c>
      <c r="S20" s="96"/>
      <c r="T20" s="96"/>
    </row>
    <row r="21" spans="2:20" ht="16.2">
      <c r="B21" s="619" t="s">
        <v>561</v>
      </c>
      <c r="C21" s="832" t="s">
        <v>562</v>
      </c>
      <c r="D21" s="673">
        <v>1211683</v>
      </c>
      <c r="E21" s="673">
        <v>348473</v>
      </c>
      <c r="F21" s="673">
        <f>D21-E21</f>
        <v>863210</v>
      </c>
      <c r="G21" s="620">
        <v>1208836</v>
      </c>
      <c r="H21" s="1074">
        <v>337748</v>
      </c>
      <c r="I21" s="620">
        <f>G21-H21</f>
        <v>871088</v>
      </c>
      <c r="J21" s="620">
        <v>1275821</v>
      </c>
      <c r="K21" s="1074">
        <v>371401</v>
      </c>
      <c r="L21" s="620">
        <f>J21-K21</f>
        <v>904420</v>
      </c>
      <c r="M21" s="620">
        <v>1204571</v>
      </c>
      <c r="N21" s="1074">
        <v>387584</v>
      </c>
      <c r="O21" s="620">
        <f>M21-N21</f>
        <v>816987</v>
      </c>
      <c r="P21" s="620">
        <v>1236160</v>
      </c>
      <c r="Q21" s="1074">
        <v>375505</v>
      </c>
      <c r="R21" s="620">
        <f>P21-Q21</f>
        <v>860655</v>
      </c>
      <c r="S21" s="96"/>
      <c r="T21" s="141"/>
    </row>
    <row r="22" spans="2:20" ht="16.2">
      <c r="B22" s="619" t="s">
        <v>563</v>
      </c>
      <c r="C22" s="833" t="s">
        <v>564</v>
      </c>
      <c r="D22" s="674">
        <v>11.23</v>
      </c>
      <c r="E22" s="674">
        <f>E21/4803</f>
        <v>72.55319591921716</v>
      </c>
      <c r="F22" s="674">
        <f>F21/103097</f>
        <v>8.3727945527027945</v>
      </c>
      <c r="G22" s="621">
        <v>11.18</v>
      </c>
      <c r="H22" s="621">
        <v>74.3</v>
      </c>
      <c r="I22" s="621">
        <v>8.4</v>
      </c>
      <c r="J22" s="621">
        <v>11.65</v>
      </c>
      <c r="K22" s="621">
        <v>70.599999999999994</v>
      </c>
      <c r="L22" s="621">
        <v>8.6999999999999993</v>
      </c>
      <c r="M22" s="621">
        <v>11.34</v>
      </c>
      <c r="N22" s="621">
        <v>39.4</v>
      </c>
      <c r="O22" s="621">
        <v>8.5</v>
      </c>
      <c r="P22" s="621">
        <v>10.92</v>
      </c>
      <c r="Q22" s="621">
        <v>15.4</v>
      </c>
      <c r="R22" s="621">
        <v>9.6999999999999993</v>
      </c>
      <c r="S22" s="96"/>
      <c r="T22" s="141"/>
    </row>
    <row r="23" spans="2:20">
      <c r="T23" s="1206"/>
    </row>
    <row r="25" spans="2:20">
      <c r="H25" s="135"/>
    </row>
    <row r="26" spans="2:20">
      <c r="G26" s="324"/>
      <c r="H26" s="324"/>
      <c r="I26" s="324"/>
      <c r="J26" s="324"/>
      <c r="K26" s="324"/>
      <c r="L26" s="324"/>
      <c r="M26" s="324"/>
      <c r="N26" s="324"/>
      <c r="O26" s="324"/>
      <c r="P26" s="324"/>
      <c r="Q26" s="324"/>
      <c r="R26" s="324"/>
    </row>
    <row r="27" spans="2:20">
      <c r="E27" s="135"/>
    </row>
    <row r="29" spans="2:20" ht="20.399999999999999" customHeight="1"/>
    <row r="32" spans="2:20" ht="20.399999999999999" customHeight="1"/>
  </sheetData>
  <sheetProtection algorithmName="SHA-512" hashValue="BoNrp7tGKYeA6pcKpvWb/k4a+aex0RmCZR9S2kvPFRiE4IgpzdSv8qrh8X2ovS0Lv5yR1WqY0J5mrlSUK5P6NA==" saltValue="k3FQesjCFEzzGRGYZh6qtQ==" spinCount="100000" sheet="1" objects="1" scenarios="1"/>
  <mergeCells count="15">
    <mergeCell ref="B4:R6"/>
    <mergeCell ref="P10:R10"/>
    <mergeCell ref="B19:B20"/>
    <mergeCell ref="C19:C20"/>
    <mergeCell ref="D19:F19"/>
    <mergeCell ref="G19:I19"/>
    <mergeCell ref="J19:L19"/>
    <mergeCell ref="M19:O19"/>
    <mergeCell ref="P19:R19"/>
    <mergeCell ref="B10:B11"/>
    <mergeCell ref="C10:C11"/>
    <mergeCell ref="D10:F10"/>
    <mergeCell ref="G10:I10"/>
    <mergeCell ref="J10:L10"/>
    <mergeCell ref="M10:O10"/>
  </mergeCells>
  <pageMargins left="0.70866141732283472" right="0.70866141732283472" top="0.74803149606299213" bottom="0.74803149606299213" header="0.31496062992125984" footer="0.31496062992125984"/>
  <pageSetup paperSize="9" scale="8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6BC3519A9821459CAE9896547791FC" ma:contentTypeVersion="14" ma:contentTypeDescription="Create a new document." ma:contentTypeScope="" ma:versionID="72365b406da037298a3a196f4295a1f8">
  <xsd:schema xmlns:xsd="http://www.w3.org/2001/XMLSchema" xmlns:xs="http://www.w3.org/2001/XMLSchema" xmlns:p="http://schemas.microsoft.com/office/2006/metadata/properties" xmlns:ns2="f98cb1f0-f958-4ba5-84d3-07d8d0011955" xmlns:ns3="d6e49cbe-523e-4e8b-8e1c-da176b91bea9" targetNamespace="http://schemas.microsoft.com/office/2006/metadata/properties" ma:root="true" ma:fieldsID="dcb5c20d294207a73a2c37caadfb4f59" ns2:_="" ns3:_="">
    <xsd:import namespace="f98cb1f0-f958-4ba5-84d3-07d8d0011955"/>
    <xsd:import namespace="d6e49cbe-523e-4e8b-8e1c-da176b91bea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cb1f0-f958-4ba5-84d3-07d8d00119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9f579ce-fdda-4824-a47d-a5db31f0c8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49cbe-523e-4e8b-8e1c-da176b91bea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846ceb5-f36c-4446-8084-88738c5e6936}" ma:internalName="TaxCatchAll" ma:showField="CatchAllData" ma:web="d6e49cbe-523e-4e8b-8e1c-da176b91b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49cbe-523e-4e8b-8e1c-da176b91bea9" xsi:nil="true"/>
    <lcf76f155ced4ddcb4097134ff3c332f xmlns="f98cb1f0-f958-4ba5-84d3-07d8d0011955">
      <Terms xmlns="http://schemas.microsoft.com/office/infopath/2007/PartnerControls"/>
    </lcf76f155ced4ddcb4097134ff3c332f>
    <SharedWithUsers xmlns="d6e49cbe-523e-4e8b-8e1c-da176b91bea9">
      <UserInfo>
        <DisplayName>Ben Leach</DisplayName>
        <AccountId>113</AccountId>
        <AccountType/>
      </UserInfo>
      <UserInfo>
        <DisplayName>Ellen Briggs-Coquio</DisplayName>
        <AccountId>155</AccountId>
        <AccountType/>
      </UserInfo>
    </SharedWithUsers>
  </documentManagement>
</p:properties>
</file>

<file path=customXml/itemProps1.xml><?xml version="1.0" encoding="utf-8"?>
<ds:datastoreItem xmlns:ds="http://schemas.openxmlformats.org/officeDocument/2006/customXml" ds:itemID="{47EAA61E-8633-454A-9578-38005D3BD72C}">
  <ds:schemaRefs>
    <ds:schemaRef ds:uri="http://schemas.microsoft.com/sharepoint/v3/contenttype/forms"/>
  </ds:schemaRefs>
</ds:datastoreItem>
</file>

<file path=customXml/itemProps2.xml><?xml version="1.0" encoding="utf-8"?>
<ds:datastoreItem xmlns:ds="http://schemas.openxmlformats.org/officeDocument/2006/customXml" ds:itemID="{5A32299D-13F5-489A-99C8-DD298AF5A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cb1f0-f958-4ba5-84d3-07d8d0011955"/>
    <ds:schemaRef ds:uri="d6e49cbe-523e-4e8b-8e1c-da176b91b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1BA9B-8476-4E9B-98B4-E64B30113A62}">
  <ds:schemaRefs>
    <ds:schemaRef ds:uri="http://schemas.microsoft.com/office/2006/metadata/properties"/>
    <ds:schemaRef ds:uri="http://schemas.microsoft.com/office/infopath/2007/PartnerControls"/>
    <ds:schemaRef ds:uri="d6e49cbe-523e-4e8b-8e1c-da176b91bea9"/>
    <ds:schemaRef ds:uri="f98cb1f0-f958-4ba5-84d3-07d8d00119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Cover</vt:lpstr>
      <vt:lpstr>Home</vt:lpstr>
      <vt:lpstr>Contents</vt:lpstr>
      <vt:lpstr>Material Topics</vt:lpstr>
      <vt:lpstr>GRI Content index in accordance</vt:lpstr>
      <vt:lpstr>SASB Index</vt:lpstr>
      <vt:lpstr>TCFD Compliance Table</vt:lpstr>
      <vt:lpstr>PAI statement</vt:lpstr>
      <vt:lpstr>UK SECR</vt:lpstr>
      <vt:lpstr>ERM CVS assured metrics</vt:lpstr>
      <vt:lpstr>2030 targets</vt:lpstr>
      <vt:lpstr>Environment (pre-divest Data)</vt:lpstr>
      <vt:lpstr>Environment</vt:lpstr>
      <vt:lpstr>People</vt:lpstr>
      <vt:lpstr>Health and Safety</vt:lpstr>
      <vt:lpstr>Ethics and Compliance</vt:lpstr>
      <vt:lpstr>Community Investment</vt:lpstr>
      <vt:lpstr>Responsible Sourcing</vt:lpstr>
      <vt:lpstr>Environment (original)</vt:lpstr>
      <vt:lpstr>People (Internal)</vt:lpstr>
      <vt:lpstr>'2030 targets'!Print_Area</vt:lpstr>
      <vt:lpstr>'Community Investment'!Print_Area</vt:lpstr>
      <vt:lpstr>Contents!Print_Area</vt:lpstr>
      <vt:lpstr>Cover!Print_Area</vt:lpstr>
      <vt:lpstr>Environment!Print_Area</vt:lpstr>
      <vt:lpstr>'ERM CVS assured metrics'!Print_Area</vt:lpstr>
      <vt:lpstr>'Ethics and Compliance'!Print_Area</vt:lpstr>
      <vt:lpstr>'GRI Content index in accordance'!Print_Area</vt:lpstr>
      <vt:lpstr>'Health and Safety'!Print_Area</vt:lpstr>
      <vt:lpstr>Home!Print_Area</vt:lpstr>
      <vt:lpstr>'Material Topics'!Print_Area</vt:lpstr>
      <vt:lpstr>'PAI statement'!Print_Area</vt:lpstr>
      <vt:lpstr>People!Print_Area</vt:lpstr>
      <vt:lpstr>'Responsible Sourcing'!Print_Area</vt:lpstr>
      <vt:lpstr>'SASB Index'!Print_Area</vt:lpstr>
      <vt:lpstr>'TCFD Compliance Table'!Print_Area</vt:lpstr>
      <vt:lpstr>'UK SECR'!Print_Area</vt:lpstr>
    </vt:vector>
  </TitlesOfParts>
  <Manager/>
  <Company>BNP Paribas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Gayner</dc:creator>
  <cp:keywords/>
  <dc:description/>
  <cp:lastModifiedBy>Ellen Briggs-Coquio</cp:lastModifiedBy>
  <cp:revision/>
  <dcterms:created xsi:type="dcterms:W3CDTF">2022-08-26T08:41:21Z</dcterms:created>
  <dcterms:modified xsi:type="dcterms:W3CDTF">2025-06-11T17:32:21Z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2022-08-30T17:25:58Z</vt:lpwstr>
  </property>
  <property fmtid="{D5CDD505-2E9C-101B-9397-08002B2CF9AE}" pid="4" name="MSIP_Label_8ffbc0b8-e97b-47d1-beac-cb0955d66f3b_Method">
    <vt:lpwstr>Standard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ed44937c-fb3e-4020-aa7b-34a0e87db4fb</vt:lpwstr>
  </property>
  <property fmtid="{D5CDD505-2E9C-101B-9397-08002B2CF9AE}" pid="8" name="MSIP_Label_8ffbc0b8-e97b-47d1-beac-cb0955d66f3b_ContentBits">
    <vt:lpwstr>2</vt:lpwstr>
  </property>
  <property fmtid="{D5CDD505-2E9C-101B-9397-08002B2CF9AE}" pid="9" name="MSIP_Label_4e511531-3b62-4ad0-a3e4-a04202c385ac_Enabled">
    <vt:lpwstr>true</vt:lpwstr>
  </property>
  <property fmtid="{D5CDD505-2E9C-101B-9397-08002B2CF9AE}" pid="10" name="MSIP_Label_4e511531-3b62-4ad0-a3e4-a04202c385ac_SetDate">
    <vt:lpwstr>2023-03-10T09:51:16Z</vt:lpwstr>
  </property>
  <property fmtid="{D5CDD505-2E9C-101B-9397-08002B2CF9AE}" pid="11" name="MSIP_Label_4e511531-3b62-4ad0-a3e4-a04202c385ac_Method">
    <vt:lpwstr>Standard</vt:lpwstr>
  </property>
  <property fmtid="{D5CDD505-2E9C-101B-9397-08002B2CF9AE}" pid="12" name="MSIP_Label_4e511531-3b62-4ad0-a3e4-a04202c385ac_Name">
    <vt:lpwstr>4e511531-3b62-4ad0-a3e4-a04202c385ac</vt:lpwstr>
  </property>
  <property fmtid="{D5CDD505-2E9C-101B-9397-08002B2CF9AE}" pid="13" name="MSIP_Label_4e511531-3b62-4ad0-a3e4-a04202c385ac_SiteId">
    <vt:lpwstr>cc7f83dd-bc5a-4682-9b3e-062a900202a2</vt:lpwstr>
  </property>
  <property fmtid="{D5CDD505-2E9C-101B-9397-08002B2CF9AE}" pid="14" name="MSIP_Label_4e511531-3b62-4ad0-a3e4-a04202c385ac_ActionId">
    <vt:lpwstr>ce526ce4-865d-46b9-a3ad-20f5fb347403</vt:lpwstr>
  </property>
  <property fmtid="{D5CDD505-2E9C-101B-9397-08002B2CF9AE}" pid="15" name="MSIP_Label_4e511531-3b62-4ad0-a3e4-a04202c385ac_ContentBits">
    <vt:lpwstr>0</vt:lpwstr>
  </property>
  <property fmtid="{D5CDD505-2E9C-101B-9397-08002B2CF9AE}" pid="16" name="ContentTypeId">
    <vt:lpwstr>0x010100476BC3519A9821459CAE9896547791FC</vt:lpwstr>
  </property>
  <property fmtid="{D5CDD505-2E9C-101B-9397-08002B2CF9AE}" pid="17" name="MediaServiceImageTags">
    <vt:lpwstr/>
  </property>
</Properties>
</file>