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threadedComments/threadedComment3.xml" ContentType="application/vnd.ms-excel.threaded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omments10.xml" ContentType="application/vnd.openxmlformats-officedocument.spreadsheetml.comments+xml"/>
  <Override PartName="/xl/threadedComments/threadedComment4.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ggE01\Downloads\"/>
    </mc:Choice>
  </mc:AlternateContent>
  <xr:revisionPtr revIDLastSave="0" documentId="8_{627EAAA7-DD32-42F8-902F-D86A2930EB58}" xr6:coauthVersionLast="47" xr6:coauthVersionMax="47" xr10:uidLastSave="{00000000-0000-0000-0000-000000000000}"/>
  <workbookProtection workbookAlgorithmName="SHA-512" workbookHashValue="p1vcLB7an9q2dsbebiGFZKuTN01qxLW61NopbTMOIRPaRNwE7sRdUJ8R61Gw+nVfBob58QJqesRKJiIDk5hS7g==" workbookSaltValue="P1+sGziFv2TB6MyQDcsJlQ==" workbookSpinCount="100000" lockStructure="1"/>
  <bookViews>
    <workbookView xWindow="-108" yWindow="-108" windowWidth="23256" windowHeight="12456" tabRatio="707" activeTab="5" xr2:uid="{9DF090DB-5E5B-4E20-A9EE-1CAEF866F515}"/>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UN SDGs" sheetId="29" r:id="rId12"/>
    <sheet name="Environment" sheetId="21" r:id="rId13"/>
    <sheet name="Environment (pre-divest Data)" sheetId="3" state="hidden" r:id="rId14"/>
    <sheet name="People" sheetId="23" r:id="rId15"/>
    <sheet name="Health and Safety" sheetId="6" r:id="rId16"/>
    <sheet name="Ethics and Compliance" sheetId="10" r:id="rId17"/>
    <sheet name="Community Investment" sheetId="8" r:id="rId18"/>
    <sheet name="Responsible Sourcing" sheetId="16" r:id="rId19"/>
    <sheet name="Product Stewardship" sheetId="32" r:id="rId20"/>
    <sheet name="Basis of Reporting" sheetId="30" r:id="rId21"/>
    <sheet name="Environment (original)" sheetId="14" state="hidden" r:id="rId22"/>
    <sheet name="People (Internal)" sheetId="22" state="hidden" r:id="rId23"/>
  </sheets>
  <definedNames>
    <definedName name="_xlnm.Print_Area" localSheetId="10">'2030 targets'!$B$2:$P$32</definedName>
    <definedName name="_xlnm.Print_Area" localSheetId="17">'Community Investment'!$B$1:$I$22</definedName>
    <definedName name="_xlnm.Print_Area" localSheetId="2">Contents!$A$1:$E$21</definedName>
    <definedName name="_xlnm.Print_Area" localSheetId="0">Cover!$A$1:$P$34</definedName>
    <definedName name="_xlnm.Print_Area" localSheetId="12">Environment!$B$2:$J$163</definedName>
    <definedName name="_xlnm.Print_Area" localSheetId="9">'ERM CVS assured metrics'!$A$2:$D$54</definedName>
    <definedName name="_xlnm.Print_Area" localSheetId="16">'Ethics and Compliance'!$E$1:$P$31</definedName>
    <definedName name="_xlnm.Print_Area" localSheetId="4">'GRI Content index in accordance'!$B$2:$I$234</definedName>
    <definedName name="_xlnm.Print_Area" localSheetId="15">'Health and Safety'!$B$2:$T$40</definedName>
    <definedName name="_xlnm.Print_Area" localSheetId="1">Home!$A$2:$K$23</definedName>
    <definedName name="_xlnm.Print_Area" localSheetId="3">'Material Topics'!$B$1:$Q$17</definedName>
    <definedName name="_xlnm.Print_Area" localSheetId="7">'PAI statement'!$B$2:$H$27</definedName>
    <definedName name="_xlnm.Print_Area" localSheetId="14">People!$B$1:$AB$149</definedName>
    <definedName name="_xlnm.Print_Area" localSheetId="19">'Product Stewardship'!$B$1:$K$10</definedName>
    <definedName name="_xlnm.Print_Area" localSheetId="18">'Responsible Sourcing'!$B$1:$L$20</definedName>
    <definedName name="_xlnm.Print_Area" localSheetId="5">'SASB Index'!$A$1:$E$38</definedName>
    <definedName name="_xlnm.Print_Area" localSheetId="6">'TCFD Compliance Table'!$B$2:$D$21</definedName>
    <definedName name="_xlnm.Print_Area" localSheetId="8">'UK SECR'!$A$1:$E$33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8" l="1"/>
  <c r="D49" i="18"/>
  <c r="D50" i="18"/>
  <c r="D51" i="18"/>
  <c r="D52" i="18"/>
  <c r="D53" i="18"/>
  <c r="D54" i="18"/>
  <c r="D55" i="18"/>
  <c r="D41" i="18"/>
  <c r="D42" i="18"/>
  <c r="D43" i="18"/>
  <c r="D44" i="18"/>
  <c r="D46" i="18"/>
  <c r="D47" i="18"/>
  <c r="D48" i="18"/>
  <c r="D33" i="18"/>
  <c r="D34" i="18"/>
  <c r="D35" i="18"/>
  <c r="D36" i="18"/>
  <c r="D37" i="18"/>
  <c r="D38" i="18"/>
  <c r="D39" i="18"/>
  <c r="D17" i="18"/>
  <c r="D18" i="18"/>
  <c r="D19" i="18"/>
  <c r="D21" i="18"/>
  <c r="D22" i="18"/>
  <c r="D23" i="18"/>
  <c r="D24" i="18"/>
  <c r="D25" i="18"/>
  <c r="D26" i="18"/>
  <c r="D27" i="18"/>
  <c r="D28" i="18"/>
  <c r="D29" i="18"/>
  <c r="D30" i="18"/>
  <c r="D31" i="18"/>
  <c r="D32" i="18"/>
  <c r="D8" i="18"/>
  <c r="D9" i="18"/>
  <c r="D10" i="18"/>
  <c r="D11" i="18"/>
  <c r="D14" i="18"/>
  <c r="D15" i="18"/>
  <c r="D16" i="18"/>
  <c r="AA34" i="23" l="1"/>
  <c r="G36" i="21"/>
  <c r="F36" i="21"/>
  <c r="E36" i="21"/>
  <c r="E35" i="21"/>
  <c r="E34" i="21"/>
  <c r="D35" i="21"/>
  <c r="D34" i="21"/>
  <c r="H39" i="21"/>
  <c r="I39" i="21"/>
  <c r="H40" i="21"/>
  <c r="I40" i="21"/>
  <c r="F39" i="21"/>
  <c r="G39" i="21"/>
  <c r="F40" i="21"/>
  <c r="G40" i="21"/>
  <c r="E40" i="21"/>
  <c r="E39" i="21"/>
  <c r="D40" i="21"/>
  <c r="D39" i="21"/>
  <c r="D41" i="21"/>
  <c r="I22" i="28"/>
  <c r="E28" i="28" l="1"/>
  <c r="D22" i="28"/>
  <c r="AA31" i="23"/>
  <c r="Y37" i="23"/>
  <c r="Y34" i="23"/>
  <c r="Y35" i="23"/>
  <c r="Y36" i="23"/>
  <c r="Y33" i="23"/>
  <c r="Y31" i="23"/>
  <c r="S41" i="23" l="1"/>
  <c r="W37" i="23"/>
  <c r="W36" i="23"/>
  <c r="W33" i="23"/>
  <c r="W32" i="23"/>
  <c r="W31" i="23"/>
  <c r="K27" i="6"/>
  <c r="D104" i="21" l="1"/>
  <c r="D16" i="28"/>
  <c r="E15" i="28"/>
  <c r="D15" i="28"/>
  <c r="D13" i="28"/>
  <c r="D12" i="28"/>
  <c r="H31" i="28"/>
  <c r="G31" i="28"/>
  <c r="F31" i="28"/>
  <c r="E31" i="28"/>
  <c r="D31" i="28"/>
  <c r="H30" i="28"/>
  <c r="G30" i="28"/>
  <c r="F30" i="28"/>
  <c r="E30" i="28"/>
  <c r="D29" i="28"/>
  <c r="E29" i="28"/>
  <c r="F29" i="28"/>
  <c r="G29" i="28"/>
  <c r="H29" i="28"/>
  <c r="H28" i="28"/>
  <c r="G28" i="28"/>
  <c r="F28" i="28"/>
  <c r="D28" i="28"/>
  <c r="E32" i="28"/>
  <c r="F32" i="28"/>
  <c r="G32" i="28"/>
  <c r="C28" i="28"/>
  <c r="C29" i="28"/>
  <c r="D36" i="21"/>
  <c r="B32" i="28"/>
  <c r="B31" i="28"/>
  <c r="B30" i="28"/>
  <c r="B29" i="28"/>
  <c r="B28" i="28"/>
  <c r="V22" i="28"/>
  <c r="V23" i="28"/>
  <c r="V17" i="28"/>
  <c r="D20" i="18" l="1"/>
  <c r="H11" i="2"/>
  <c r="D42" i="21"/>
  <c r="D43" i="21" s="1"/>
  <c r="D32" i="28"/>
  <c r="D30" i="28"/>
  <c r="H12" i="2" l="1"/>
  <c r="D45" i="21"/>
  <c r="H14" i="2" s="1"/>
  <c r="D16" i="21"/>
  <c r="D12" i="18" l="1"/>
  <c r="E42" i="21"/>
  <c r="J39" i="21" l="1"/>
  <c r="C21" i="10" l="1"/>
  <c r="G132" i="23"/>
  <c r="G133" i="23"/>
  <c r="G134" i="23"/>
  <c r="G135" i="23"/>
  <c r="G136" i="23"/>
  <c r="G131" i="23"/>
  <c r="K131" i="23"/>
  <c r="O131" i="23"/>
  <c r="K132" i="23"/>
  <c r="H121" i="23"/>
  <c r="K121" i="23"/>
  <c r="D147" i="23"/>
  <c r="S51" i="23"/>
  <c r="D94" i="23"/>
  <c r="D93" i="23"/>
  <c r="D92" i="23"/>
  <c r="D91" i="23"/>
  <c r="D90" i="23"/>
  <c r="D89" i="23"/>
  <c r="D88" i="23"/>
  <c r="D85" i="23"/>
  <c r="D84" i="23"/>
  <c r="D83" i="23"/>
  <c r="D82" i="23"/>
  <c r="D78" i="23"/>
  <c r="D79" i="23"/>
  <c r="D77" i="23"/>
  <c r="S56" i="23"/>
  <c r="S55" i="23"/>
  <c r="S54" i="23"/>
  <c r="S53" i="23"/>
  <c r="S52" i="23"/>
  <c r="S31" i="23"/>
  <c r="H20" i="2"/>
  <c r="H10" i="2"/>
  <c r="H9" i="2"/>
  <c r="C67" i="23"/>
  <c r="AE33" i="23"/>
  <c r="J14" i="21"/>
  <c r="J74" i="21" l="1"/>
  <c r="R40" i="23"/>
  <c r="J15" i="21"/>
  <c r="J12" i="21"/>
  <c r="J13" i="21"/>
  <c r="J11" i="21"/>
  <c r="I36" i="21"/>
  <c r="K101" i="21" l="1"/>
  <c r="I104" i="21"/>
  <c r="J94" i="21"/>
  <c r="J93" i="21"/>
  <c r="J92" i="21"/>
  <c r="K90" i="21"/>
  <c r="J90" i="21"/>
  <c r="D61" i="23"/>
  <c r="J102" i="21"/>
  <c r="J101" i="21"/>
  <c r="K104" i="21" l="1"/>
  <c r="I27" i="19" s="1"/>
  <c r="D65" i="23"/>
  <c r="D64" i="23"/>
  <c r="D66" i="23"/>
  <c r="D67" i="23" l="1"/>
  <c r="K11" i="8"/>
  <c r="S13" i="28"/>
  <c r="S14" i="28"/>
  <c r="S15" i="28"/>
  <c r="S16" i="28"/>
  <c r="S12" i="28"/>
  <c r="P13" i="28"/>
  <c r="P14" i="28"/>
  <c r="P15" i="28"/>
  <c r="P16" i="28"/>
  <c r="P12" i="28"/>
  <c r="M13" i="28"/>
  <c r="M14" i="28"/>
  <c r="M15" i="28"/>
  <c r="M16" i="28"/>
  <c r="M12" i="28"/>
  <c r="J13" i="28"/>
  <c r="J14" i="28"/>
  <c r="J15" i="28"/>
  <c r="J16" i="28"/>
  <c r="J12" i="28"/>
  <c r="G13" i="28"/>
  <c r="G14" i="28"/>
  <c r="G15" i="28"/>
  <c r="G16" i="28"/>
  <c r="G12" i="28"/>
  <c r="V12" i="28" s="1"/>
  <c r="D14" i="28"/>
  <c r="E55" i="21"/>
  <c r="J55" i="21" s="1"/>
  <c r="F55" i="21"/>
  <c r="G55" i="21"/>
  <c r="H55" i="21"/>
  <c r="I55" i="21"/>
  <c r="D55" i="21"/>
  <c r="D86" i="23"/>
  <c r="D80" i="23"/>
  <c r="E147" i="23"/>
  <c r="J77" i="21"/>
  <c r="AE35" i="23"/>
  <c r="C147" i="23"/>
  <c r="F147" i="23"/>
  <c r="I16" i="21"/>
  <c r="H16" i="21"/>
  <c r="G16" i="21"/>
  <c r="F16" i="21"/>
  <c r="E16" i="21"/>
  <c r="J16" i="21" s="1"/>
  <c r="D13" i="18" s="1"/>
  <c r="AE34" i="23"/>
  <c r="X35" i="23"/>
  <c r="X34" i="23"/>
  <c r="AA33" i="23"/>
  <c r="AE32" i="23"/>
  <c r="AE31" i="23"/>
  <c r="X36" i="23"/>
  <c r="X33" i="23"/>
  <c r="X32" i="23"/>
  <c r="X31" i="23"/>
  <c r="L27" i="6"/>
  <c r="L23" i="6"/>
  <c r="K30" i="6"/>
  <c r="K21" i="6"/>
  <c r="K22" i="6"/>
  <c r="K23" i="6"/>
  <c r="K24" i="6"/>
  <c r="K25" i="6"/>
  <c r="K26" i="6"/>
  <c r="K28" i="6"/>
  <c r="K29" i="6"/>
  <c r="K20" i="6"/>
  <c r="K86" i="21"/>
  <c r="J86" i="21"/>
  <c r="K78" i="21"/>
  <c r="J78" i="21"/>
  <c r="J79" i="21"/>
  <c r="J72" i="21"/>
  <c r="K72" i="21"/>
  <c r="J73" i="21"/>
  <c r="K73" i="21"/>
  <c r="K74" i="21"/>
  <c r="J75" i="21"/>
  <c r="K75" i="21"/>
  <c r="J76" i="21"/>
  <c r="K76" i="21"/>
  <c r="K79" i="21"/>
  <c r="K71" i="21"/>
  <c r="J71" i="21"/>
  <c r="J57" i="21"/>
  <c r="J56" i="21"/>
  <c r="J54" i="21"/>
  <c r="K48" i="21"/>
  <c r="J48" i="21"/>
  <c r="J40" i="21"/>
  <c r="K19" i="21"/>
  <c r="J19" i="21"/>
  <c r="K15" i="21"/>
  <c r="K11" i="21"/>
  <c r="J117" i="21"/>
  <c r="K117" i="21"/>
  <c r="J118" i="21"/>
  <c r="K118" i="21"/>
  <c r="J119" i="21"/>
  <c r="K119" i="21"/>
  <c r="J120" i="21"/>
  <c r="K120" i="21"/>
  <c r="J121" i="21"/>
  <c r="K121" i="21"/>
  <c r="K116" i="21"/>
  <c r="J116" i="21"/>
  <c r="J109" i="21"/>
  <c r="K109" i="21"/>
  <c r="J110" i="21"/>
  <c r="K110" i="21"/>
  <c r="J111" i="21"/>
  <c r="K111" i="21"/>
  <c r="J112" i="21"/>
  <c r="K112" i="21"/>
  <c r="J113" i="21"/>
  <c r="K113" i="21"/>
  <c r="K108" i="21"/>
  <c r="J108" i="21"/>
  <c r="K102" i="21"/>
  <c r="K103" i="21"/>
  <c r="J103" i="21"/>
  <c r="K92" i="21"/>
  <c r="K93" i="21"/>
  <c r="K94" i="21"/>
  <c r="K88" i="21"/>
  <c r="J88" i="21"/>
  <c r="K12" i="21"/>
  <c r="K13" i="21"/>
  <c r="K14" i="21"/>
  <c r="K30" i="21"/>
  <c r="K28" i="21"/>
  <c r="K20" i="21"/>
  <c r="K21" i="21"/>
  <c r="K22" i="21"/>
  <c r="K23" i="21"/>
  <c r="K24" i="21"/>
  <c r="K25" i="21"/>
  <c r="K26" i="21"/>
  <c r="J30" i="21"/>
  <c r="J28" i="21"/>
  <c r="J20" i="21"/>
  <c r="J21" i="21"/>
  <c r="J22" i="21"/>
  <c r="J23" i="21"/>
  <c r="J24" i="21"/>
  <c r="J25" i="21"/>
  <c r="J26" i="21"/>
  <c r="K9" i="8"/>
  <c r="K8" i="8"/>
  <c r="K7" i="8"/>
  <c r="Y16" i="10"/>
  <c r="D7" i="23"/>
  <c r="C7" i="23"/>
  <c r="C42" i="29"/>
  <c r="B42" i="29"/>
  <c r="AA35" i="23"/>
  <c r="AA32" i="23"/>
  <c r="S42" i="23"/>
  <c r="S38" i="23"/>
  <c r="S39" i="23"/>
  <c r="S40" i="23"/>
  <c r="S37" i="23"/>
  <c r="S36" i="23"/>
  <c r="S35" i="23"/>
  <c r="S33" i="23"/>
  <c r="S34" i="23"/>
  <c r="S32" i="23"/>
  <c r="I29" i="19"/>
  <c r="I28" i="19"/>
  <c r="I26" i="19"/>
  <c r="I24" i="19"/>
  <c r="I23" i="19"/>
  <c r="K23" i="19"/>
  <c r="I22" i="19"/>
  <c r="H28" i="19"/>
  <c r="V14" i="28" l="1"/>
  <c r="V13" i="28"/>
  <c r="V16" i="28"/>
  <c r="V15" i="28"/>
  <c r="K16" i="21"/>
  <c r="I31" i="19"/>
  <c r="J33" i="21"/>
  <c r="K33" i="21"/>
  <c r="V27" i="6"/>
  <c r="V23" i="6"/>
  <c r="V20" i="6"/>
  <c r="V19" i="6"/>
  <c r="C94" i="23" l="1"/>
  <c r="L153" i="23"/>
  <c r="C75" i="23"/>
  <c r="L17" i="23"/>
  <c r="S17" i="23" s="1"/>
  <c r="O17" i="23"/>
  <c r="R17" i="23"/>
  <c r="V17" i="23"/>
  <c r="L18" i="23"/>
  <c r="S18" i="23" s="1"/>
  <c r="V18" i="23"/>
  <c r="L19" i="23"/>
  <c r="S19" i="23" s="1"/>
  <c r="O19" i="23"/>
  <c r="R19" i="23"/>
  <c r="V19" i="23"/>
  <c r="L20" i="23"/>
  <c r="S20" i="23" s="1"/>
  <c r="O20" i="23"/>
  <c r="R20" i="23"/>
  <c r="V20" i="23"/>
  <c r="L21" i="23"/>
  <c r="O21" i="23"/>
  <c r="R21" i="23"/>
  <c r="V21" i="23"/>
  <c r="J22" i="23"/>
  <c r="K22" i="23"/>
  <c r="M22" i="23"/>
  <c r="N22" i="23"/>
  <c r="P22" i="23"/>
  <c r="Q22" i="23"/>
  <c r="L24" i="23"/>
  <c r="O24" i="23"/>
  <c r="R24" i="23"/>
  <c r="L25" i="23"/>
  <c r="S25" i="23" s="1"/>
  <c r="L26" i="23"/>
  <c r="O26" i="23"/>
  <c r="R26" i="23"/>
  <c r="L27" i="23"/>
  <c r="S27" i="23" s="1"/>
  <c r="O27" i="23"/>
  <c r="R27" i="23"/>
  <c r="L28" i="23"/>
  <c r="S28" i="23" s="1"/>
  <c r="O28" i="23"/>
  <c r="R28" i="23"/>
  <c r="J29" i="23"/>
  <c r="K29" i="23"/>
  <c r="M29" i="23"/>
  <c r="N29" i="23"/>
  <c r="P29" i="23"/>
  <c r="Q29" i="23"/>
  <c r="W29" i="23"/>
  <c r="X29" i="23"/>
  <c r="I31" i="23"/>
  <c r="J31" i="23"/>
  <c r="K31" i="23"/>
  <c r="M31" i="23"/>
  <c r="N31" i="23"/>
  <c r="P31" i="23"/>
  <c r="Q31" i="23"/>
  <c r="V31" i="23"/>
  <c r="Z31" i="23"/>
  <c r="I32" i="23"/>
  <c r="J32" i="23"/>
  <c r="K32" i="23"/>
  <c r="V32" i="23"/>
  <c r="Z32" i="23"/>
  <c r="I33" i="23"/>
  <c r="J33" i="23"/>
  <c r="K33" i="23"/>
  <c r="M33" i="23"/>
  <c r="N33" i="23"/>
  <c r="P33" i="23"/>
  <c r="Q33" i="23"/>
  <c r="V33" i="23"/>
  <c r="Z33" i="23"/>
  <c r="I34" i="23"/>
  <c r="J34" i="23"/>
  <c r="K34" i="23"/>
  <c r="M34" i="23"/>
  <c r="N34" i="23"/>
  <c r="P34" i="23"/>
  <c r="Q34" i="23"/>
  <c r="Z34" i="23"/>
  <c r="I35" i="23"/>
  <c r="J35" i="23"/>
  <c r="K35" i="23"/>
  <c r="M35" i="23"/>
  <c r="N35" i="23"/>
  <c r="P35" i="23"/>
  <c r="Q35" i="23"/>
  <c r="Z35" i="23"/>
  <c r="G36" i="23"/>
  <c r="H36" i="23"/>
  <c r="V36" i="23"/>
  <c r="I37" i="23"/>
  <c r="L37" i="23"/>
  <c r="O37" i="23"/>
  <c r="R37" i="23"/>
  <c r="I38" i="23"/>
  <c r="L38" i="23"/>
  <c r="O38" i="23"/>
  <c r="R38" i="23"/>
  <c r="I39" i="23"/>
  <c r="L39" i="23"/>
  <c r="O39" i="23"/>
  <c r="R39" i="23"/>
  <c r="I40" i="23"/>
  <c r="L40" i="23"/>
  <c r="O40" i="23"/>
  <c r="I41" i="23"/>
  <c r="L41" i="23"/>
  <c r="O41" i="23"/>
  <c r="I42" i="23"/>
  <c r="L42" i="23"/>
  <c r="O42" i="23"/>
  <c r="R42" i="23"/>
  <c r="I47" i="23"/>
  <c r="L47" i="23"/>
  <c r="O47" i="23"/>
  <c r="I48" i="23"/>
  <c r="L48" i="23"/>
  <c r="O48" i="23"/>
  <c r="I49" i="23"/>
  <c r="L49" i="23"/>
  <c r="O49" i="23"/>
  <c r="I50" i="23"/>
  <c r="L50" i="23"/>
  <c r="O50" i="23"/>
  <c r="G51" i="23"/>
  <c r="H51" i="23"/>
  <c r="J51" i="23"/>
  <c r="K51" i="23"/>
  <c r="M51" i="23"/>
  <c r="N51" i="23"/>
  <c r="P51" i="23"/>
  <c r="Q51" i="23"/>
  <c r="I52" i="23"/>
  <c r="L52" i="23"/>
  <c r="O52" i="23"/>
  <c r="R52" i="23"/>
  <c r="I53" i="23"/>
  <c r="L53" i="23"/>
  <c r="O53" i="23"/>
  <c r="R53" i="23"/>
  <c r="I54" i="23"/>
  <c r="L54" i="23"/>
  <c r="I55" i="23"/>
  <c r="L55" i="23"/>
  <c r="O55" i="23"/>
  <c r="R55" i="23"/>
  <c r="G56" i="23"/>
  <c r="H56" i="23"/>
  <c r="J56" i="23"/>
  <c r="K56" i="23"/>
  <c r="M56" i="23"/>
  <c r="N56" i="23"/>
  <c r="P56" i="23"/>
  <c r="Q56" i="23"/>
  <c r="E75" i="23"/>
  <c r="F75" i="23"/>
  <c r="G75" i="23"/>
  <c r="H75" i="23"/>
  <c r="I75" i="23"/>
  <c r="J75" i="23"/>
  <c r="E80" i="23"/>
  <c r="F80" i="23"/>
  <c r="G80" i="23"/>
  <c r="H80" i="23"/>
  <c r="I80" i="23"/>
  <c r="J80" i="23"/>
  <c r="E86" i="23"/>
  <c r="F86" i="23"/>
  <c r="G86" i="23"/>
  <c r="H86" i="23"/>
  <c r="I86" i="23"/>
  <c r="J86" i="23"/>
  <c r="E94" i="23"/>
  <c r="F94" i="23"/>
  <c r="G94" i="23"/>
  <c r="H94" i="23"/>
  <c r="I99" i="23"/>
  <c r="L99" i="23"/>
  <c r="O99" i="23"/>
  <c r="R99" i="23"/>
  <c r="I100" i="23"/>
  <c r="L100" i="23"/>
  <c r="O100" i="23"/>
  <c r="R100" i="23"/>
  <c r="I101" i="23"/>
  <c r="I102" i="23"/>
  <c r="L102" i="23"/>
  <c r="O102" i="23"/>
  <c r="R102" i="23"/>
  <c r="I103" i="23"/>
  <c r="G106" i="23"/>
  <c r="H106" i="23"/>
  <c r="I106" i="23"/>
  <c r="J106" i="23"/>
  <c r="K106" i="23"/>
  <c r="L106" i="23"/>
  <c r="M106" i="23"/>
  <c r="P106" i="23"/>
  <c r="F112" i="23"/>
  <c r="I112" i="23"/>
  <c r="F113" i="23"/>
  <c r="I113" i="23"/>
  <c r="F114" i="23"/>
  <c r="I114" i="23"/>
  <c r="F115" i="23"/>
  <c r="I115" i="23"/>
  <c r="F116" i="23"/>
  <c r="I116" i="23"/>
  <c r="E117" i="23"/>
  <c r="F117" i="23" s="1"/>
  <c r="G117" i="23"/>
  <c r="H117" i="23"/>
  <c r="H122" i="23"/>
  <c r="K122" i="23"/>
  <c r="H123" i="23"/>
  <c r="K123" i="23"/>
  <c r="F124" i="23"/>
  <c r="H124" i="23" s="1"/>
  <c r="I124" i="23"/>
  <c r="K124" i="23" s="1"/>
  <c r="H125" i="23"/>
  <c r="K125" i="23"/>
  <c r="H126" i="23"/>
  <c r="K126" i="23"/>
  <c r="H127" i="23"/>
  <c r="J127" i="23"/>
  <c r="K127" i="23" s="1"/>
  <c r="J131" i="23"/>
  <c r="J132" i="23"/>
  <c r="J133" i="23"/>
  <c r="K133" i="23" s="1"/>
  <c r="J134" i="23"/>
  <c r="J135" i="23"/>
  <c r="J136" i="23"/>
  <c r="L136" i="23"/>
  <c r="M136" i="23"/>
  <c r="N136" i="23"/>
  <c r="I140" i="23"/>
  <c r="L140" i="23"/>
  <c r="I141" i="23"/>
  <c r="L141" i="23"/>
  <c r="M151" i="23"/>
  <c r="M152" i="23"/>
  <c r="K153" i="23"/>
  <c r="N42" i="21" l="1"/>
  <c r="D74" i="23"/>
  <c r="D72" i="23"/>
  <c r="D73" i="23"/>
  <c r="O31" i="23"/>
  <c r="O33" i="23"/>
  <c r="N36" i="23"/>
  <c r="R35" i="23"/>
  <c r="M153" i="23"/>
  <c r="I36" i="23"/>
  <c r="G147" i="23" s="1"/>
  <c r="I56" i="23"/>
  <c r="O35" i="23"/>
  <c r="K135" i="23"/>
  <c r="R56" i="23"/>
  <c r="Q36" i="23"/>
  <c r="R22" i="23"/>
  <c r="K134" i="23"/>
  <c r="I51" i="23"/>
  <c r="W19" i="23"/>
  <c r="W21" i="23"/>
  <c r="R33" i="23"/>
  <c r="O22" i="23"/>
  <c r="L34" i="23"/>
  <c r="O134" i="23" s="1"/>
  <c r="M36" i="23"/>
  <c r="I117" i="23"/>
  <c r="L32" i="23"/>
  <c r="O132" i="23" s="1"/>
  <c r="L22" i="23"/>
  <c r="S22" i="23" s="1"/>
  <c r="O51" i="23"/>
  <c r="R34" i="23"/>
  <c r="L51" i="23"/>
  <c r="O34" i="23"/>
  <c r="L56" i="23"/>
  <c r="O29" i="23"/>
  <c r="R31" i="23"/>
  <c r="W20" i="23"/>
  <c r="O56" i="23"/>
  <c r="L29" i="23"/>
  <c r="S29" i="23" s="1"/>
  <c r="K36" i="23"/>
  <c r="S21" i="23"/>
  <c r="P36" i="23"/>
  <c r="W18" i="23"/>
  <c r="L31" i="23"/>
  <c r="S24" i="23"/>
  <c r="W17" i="23"/>
  <c r="L33" i="23"/>
  <c r="O133" i="23" s="1"/>
  <c r="R29" i="23"/>
  <c r="L35" i="23"/>
  <c r="O135" i="23" s="1"/>
  <c r="S26" i="23"/>
  <c r="J36" i="23"/>
  <c r="N40" i="21" l="1"/>
  <c r="N39" i="21"/>
  <c r="N41" i="21"/>
  <c r="D44" i="21"/>
  <c r="D75" i="23"/>
  <c r="H147" i="23"/>
  <c r="I147" i="23"/>
  <c r="O36" i="23"/>
  <c r="F8" i="23" s="1"/>
  <c r="F7" i="23" s="1"/>
  <c r="L36" i="23"/>
  <c r="O136" i="23" s="1"/>
  <c r="K136" i="23"/>
  <c r="R36" i="23"/>
  <c r="G8" i="23" s="1"/>
  <c r="G7" i="23" s="1"/>
  <c r="N43" i="21" l="1"/>
  <c r="E8" i="23"/>
  <c r="E7" i="23" s="1"/>
  <c r="AA36" i="23"/>
  <c r="X37" i="23"/>
  <c r="J31" i="19" l="1"/>
  <c r="J30" i="19"/>
  <c r="F34" i="21" l="1"/>
  <c r="G34" i="21"/>
  <c r="H34" i="21"/>
  <c r="I34" i="21"/>
  <c r="F35" i="21"/>
  <c r="G35" i="21"/>
  <c r="H35" i="21"/>
  <c r="I35" i="21"/>
  <c r="J36" i="21" l="1"/>
  <c r="E41" i="21"/>
  <c r="J41" i="21" s="1"/>
  <c r="L30" i="19" l="1"/>
  <c r="N31" i="19" l="1"/>
  <c r="N30" i="19"/>
  <c r="H31" i="19"/>
  <c r="H30" i="19"/>
  <c r="M23" i="19"/>
  <c r="M22" i="19"/>
  <c r="M24" i="19"/>
  <c r="M26" i="19"/>
  <c r="M28" i="19"/>
  <c r="M29" i="19"/>
  <c r="J42" i="21"/>
  <c r="F29" i="19"/>
  <c r="F28" i="19"/>
  <c r="J28" i="19" s="1"/>
  <c r="H29" i="19" l="1"/>
  <c r="J29" i="19"/>
  <c r="E43" i="21"/>
  <c r="J43" i="21" s="1"/>
  <c r="N29" i="19"/>
  <c r="N28" i="19"/>
  <c r="J155" i="21"/>
  <c r="J154" i="21"/>
  <c r="J153" i="21"/>
  <c r="J152" i="21"/>
  <c r="J151" i="21"/>
  <c r="J150" i="21"/>
  <c r="E45" i="21" l="1"/>
  <c r="J45" i="21" s="1"/>
  <c r="E44" i="21"/>
  <c r="J44" i="21" s="1"/>
  <c r="H13" i="2" l="1"/>
  <c r="F22" i="19" l="1"/>
  <c r="K22" i="19"/>
  <c r="F26" i="19"/>
  <c r="J26" i="19" s="1"/>
  <c r="F24" i="19"/>
  <c r="F23" i="19"/>
  <c r="J23" i="19" l="1"/>
  <c r="G23" i="19"/>
  <c r="H23" i="19" s="1"/>
  <c r="J24" i="19"/>
  <c r="L22" i="19"/>
  <c r="J22" i="19"/>
  <c r="H22" i="19"/>
  <c r="N24" i="19"/>
  <c r="N26" i="19"/>
  <c r="N23" i="19"/>
  <c r="N22" i="19"/>
  <c r="G24" i="19"/>
  <c r="H24" i="19" s="1"/>
  <c r="U27" i="6" l="1"/>
  <c r="T27" i="6"/>
  <c r="U23" i="6"/>
  <c r="T23" i="6"/>
  <c r="U20" i="6"/>
  <c r="Q20" i="6"/>
  <c r="R20" i="6"/>
  <c r="S20" i="6"/>
  <c r="T20" i="6"/>
  <c r="U19" i="6"/>
  <c r="T19" i="6"/>
  <c r="I8" i="6" l="1"/>
  <c r="K29" i="19" l="1"/>
  <c r="L29" i="19" s="1"/>
  <c r="K28" i="19"/>
  <c r="L28" i="19" s="1"/>
  <c r="K26" i="19"/>
  <c r="L26" i="19" s="1"/>
  <c r="K24" i="19"/>
  <c r="L24" i="19" s="1"/>
  <c r="L23" i="19"/>
  <c r="F21" i="10" l="1"/>
  <c r="X16" i="10" l="1"/>
  <c r="G68" i="21" l="1"/>
  <c r="H68" i="21"/>
  <c r="I68" i="21"/>
  <c r="F68" i="21"/>
  <c r="K70" i="21"/>
  <c r="J70" i="21"/>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G42" i="21"/>
  <c r="G38" i="21"/>
  <c r="G157" i="21" s="1"/>
  <c r="G41" i="21"/>
  <c r="H67" i="21"/>
  <c r="G67" i="21"/>
  <c r="F67" i="21"/>
  <c r="K67" i="21" s="1"/>
  <c r="I66" i="21"/>
  <c r="H66" i="21"/>
  <c r="G66" i="21"/>
  <c r="F66" i="21"/>
  <c r="I65" i="21"/>
  <c r="H65" i="21"/>
  <c r="G65" i="21"/>
  <c r="F65" i="21"/>
  <c r="I64" i="21"/>
  <c r="H64" i="21"/>
  <c r="G64" i="21"/>
  <c r="F64" i="21"/>
  <c r="I63" i="21"/>
  <c r="H63" i="21"/>
  <c r="G63" i="21"/>
  <c r="F63" i="21"/>
  <c r="I62" i="21"/>
  <c r="H62" i="21"/>
  <c r="G62" i="21"/>
  <c r="F62" i="21"/>
  <c r="I61" i="21"/>
  <c r="H61" i="21"/>
  <c r="G61" i="21"/>
  <c r="F61" i="21"/>
  <c r="I60" i="21"/>
  <c r="H60" i="21"/>
  <c r="G60" i="21"/>
  <c r="F60" i="21"/>
  <c r="B42" i="21"/>
  <c r="M42" i="21" s="1"/>
  <c r="I41" i="21"/>
  <c r="K41" i="21" s="1"/>
  <c r="H41" i="21"/>
  <c r="F41" i="21"/>
  <c r="B41" i="21"/>
  <c r="M41" i="21" s="1"/>
  <c r="K40" i="21"/>
  <c r="B40" i="21"/>
  <c r="M40" i="21" s="1"/>
  <c r="K39" i="21"/>
  <c r="B39" i="21"/>
  <c r="M39" i="21" s="1"/>
  <c r="I38" i="21"/>
  <c r="I157" i="21" s="1"/>
  <c r="H38" i="21"/>
  <c r="H157" i="21" s="1"/>
  <c r="F38" i="21"/>
  <c r="F157" i="21" s="1"/>
  <c r="K36" i="21"/>
  <c r="H36" i="21"/>
  <c r="K84" i="21"/>
  <c r="K106" i="21" s="1"/>
  <c r="J84" i="21"/>
  <c r="H42" i="21" l="1"/>
  <c r="H43" i="21" s="1"/>
  <c r="H45" i="21" s="1"/>
  <c r="H32" i="28"/>
  <c r="F42" i="21"/>
  <c r="F43" i="21" s="1"/>
  <c r="I42" i="21"/>
  <c r="K42" i="21" s="1"/>
  <c r="J106" i="21"/>
  <c r="J52" i="21" s="1"/>
  <c r="J149" i="21"/>
  <c r="K63" i="21"/>
  <c r="J61" i="21"/>
  <c r="J65" i="21"/>
  <c r="J66" i="21"/>
  <c r="K62" i="21"/>
  <c r="K64" i="21"/>
  <c r="K60" i="21"/>
  <c r="J62" i="21"/>
  <c r="J68" i="21"/>
  <c r="K61" i="21"/>
  <c r="J63" i="21"/>
  <c r="J60" i="21"/>
  <c r="J64" i="21"/>
  <c r="J67" i="21"/>
  <c r="K66" i="21"/>
  <c r="K65" i="21"/>
  <c r="K68" i="21"/>
  <c r="M28" i="22"/>
  <c r="D92" i="22"/>
  <c r="G121" i="22"/>
  <c r="G122" i="22"/>
  <c r="G43" i="21"/>
  <c r="G45" i="21" s="1"/>
  <c r="I43" i="21" l="1"/>
  <c r="K43" i="21" s="1"/>
  <c r="L31" i="19"/>
  <c r="H44" i="21"/>
  <c r="G44" i="21"/>
  <c r="I44" i="21" l="1"/>
  <c r="K44" i="21" s="1"/>
  <c r="I45" i="21"/>
  <c r="K45" i="21" s="1"/>
  <c r="F45" i="21"/>
  <c r="F44" i="21"/>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J49" i="14" l="1"/>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G9" i="8"/>
  <c r="H9" i="8"/>
  <c r="J9" i="8"/>
  <c r="I9" i="8"/>
  <c r="F28" i="6"/>
  <c r="G28" i="6"/>
  <c r="H28" i="6"/>
  <c r="I28" i="6"/>
  <c r="J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H8" i="6"/>
  <c r="I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O23" i="6"/>
  <c r="O20" i="6"/>
  <c r="P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R22" i="10"/>
  <c r="T16" i="10" s="1"/>
  <c r="O22" i="10"/>
  <c r="U16" i="10" s="1"/>
  <c r="L24" i="10"/>
  <c r="V16"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S27" i="6"/>
  <c r="R27" i="6"/>
  <c r="Q27" i="6"/>
  <c r="P27" i="6"/>
  <c r="O27" i="6"/>
  <c r="P23" i="6"/>
  <c r="Q23" i="6"/>
  <c r="R23" i="6"/>
  <c r="S23" i="6"/>
  <c r="S19" i="6"/>
  <c r="R19" i="6"/>
  <c r="Q19" i="6"/>
  <c r="P19" i="6"/>
  <c r="F92" i="3"/>
  <c r="F83" i="3"/>
  <c r="F81" i="3"/>
  <c r="G92" i="3"/>
  <c r="G83" i="3"/>
  <c r="G81" i="3"/>
  <c r="H92" i="3"/>
  <c r="H83" i="3"/>
  <c r="H77" i="3"/>
  <c r="H81" i="3"/>
  <c r="F77" i="3"/>
  <c r="G77" i="3"/>
  <c r="F72" i="14"/>
  <c r="G72" i="14"/>
  <c r="E52" i="14"/>
  <c r="E56" i="14" s="1"/>
  <c r="F52" i="14"/>
  <c r="G52" i="14"/>
  <c r="H52" i="14"/>
  <c r="M14" i="14"/>
  <c r="I19" i="10"/>
  <c r="W16"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N36" i="14" l="1"/>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G19" authorId="0" shapeId="0" xr:uid="{DB3F3AC2-0932-4A7A-8611-73D24758C4C7}">
      <text>
        <r>
          <rPr>
            <sz val="9"/>
            <color indexed="81"/>
            <rFont val="Tahoma"/>
            <family val="2"/>
          </rPr>
          <t>FY2024/25 numbers still to be confirmed and will be done so post publication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UK - This is the (UK) total scope 1 GHG emissions and  Scope 2 GHG emissions based on the market values factored against the weight of product manufatured in the UK and sold.</t>
        </r>
      </text>
    </comment>
    <comment ref="B22"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3"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tc={28CD9136-3778-4ED6-8BA8-1625F9C05E17}</author>
  </authors>
  <commentList>
    <comment ref="C2" authorId="0" shapeId="0" xr:uid="{28CD9136-3778-4ED6-8BA8-1625F9C05E17}">
      <text>
        <t>[Threaded comment]
Your version of Excel allows you to read this threaded comment; however, any edits to it will get removed if the file is opened in a newer version of Excel. Learn more: https://go.microsoft.com/fwlink/?linkid=870924
Comment:
    @Ellen Briggs-Coquio UN SDG data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Ketan Chavda</author>
  </authors>
  <commentList>
    <comment ref="B11"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2"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3"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4"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5"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6"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9" authorId="1" shapeId="0" xr:uid="{5D83FC05-CC51-4E43-BB76-D768C15E441A}">
      <text>
        <r>
          <rPr>
            <sz val="9"/>
            <color indexed="81"/>
            <rFont val="Tahom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20" authorId="1" shapeId="0" xr:uid="{37AA0882-DB2F-4673-B90C-2DDD2AA9BD38}">
      <text>
        <r>
          <rPr>
            <sz val="9"/>
            <color indexed="81"/>
            <rFont val="Tahoma"/>
            <family val="2"/>
          </rPr>
          <t>Financial allocation (EEIO model) using geographical breakdown of data shown in Accounting note 11 “Property, plant &amp; equipment” on page [168 in ara2024 - property, plant and equipment].</t>
        </r>
      </text>
    </comment>
    <comment ref="B21" authorId="1" shapeId="0" xr:uid="{D6401EE6-66E0-4409-B1F8-C1B4D6899D5A}">
      <text>
        <r>
          <rPr>
            <sz val="9"/>
            <color indexed="81"/>
            <rFont val="Tahoma"/>
            <family val="2"/>
          </rPr>
          <t>DEFRA’s GHG reporting conversion factors 2024 were used to calculate well-to-tank GHG emissions from fuel usage, transmission and distribution losses from purchased electricity, and well-to-tank and transmission and distribution losses of energy from steam.</t>
        </r>
      </text>
    </comment>
    <comment ref="B22" authorId="1" shapeId="0" xr:uid="{AFC974E7-C4AA-40FD-BC80-FE98C97FE1C1}">
      <text>
        <r>
          <rPr>
            <sz val="9"/>
            <color indexed="81"/>
            <rFont val="Tahoma"/>
            <family val="2"/>
          </rPr>
          <t>Emissions data was provided by our suppliers where available. Otherwise, a financial allocation was made based on spend and intensity factors from the EEIO model.</t>
        </r>
      </text>
    </comment>
    <comment ref="B23" authorId="1" shapeId="0" xr:uid="{8B274B4F-5F45-40BA-8F3F-4A9AC597F850}">
      <text>
        <r>
          <rPr>
            <sz val="9"/>
            <color indexed="81"/>
            <rFont val="Tahoma"/>
            <family val="2"/>
          </rPr>
          <t>Where GHG footprints were available from waste service providers they were used, otherwise DEFRA’s GHG reporting conversion factors 2024 were used according to mass of waste disposal by destination.</t>
        </r>
      </text>
    </comment>
    <comment ref="B24" authorId="1" shapeId="0" xr:uid="{42023213-188E-4083-85EA-A0B5EBC1E511}">
      <text>
        <r>
          <rPr>
            <sz val="9"/>
            <color indexed="81"/>
            <rFont val="Tahoma"/>
            <family val="2"/>
          </rPr>
          <t xml:space="preserve">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
</t>
        </r>
      </text>
    </comment>
    <comment ref="B25" authorId="1" shapeId="0" xr:uid="{C7307CD6-7D39-4B5D-97A1-B93A2B1A4464}">
      <text>
        <r>
          <rPr>
            <sz val="9"/>
            <color indexed="81"/>
            <rFont val="Tahoma"/>
            <family val="2"/>
          </rPr>
          <t xml:space="preserve">Data is obtained through an annual employee survey of distance travelled per week by modes of transport. DEFRA’s GHG reporting conversion factors 2024 are used to calculate the GHG intensity of each transport type.
</t>
        </r>
      </text>
    </comment>
    <comment ref="B26" authorId="1" shapeId="0" xr:uid="{B9F9CB17-386D-4261-B1BC-C3BE215DBE2D}">
      <text>
        <r>
          <rPr>
            <sz val="9"/>
            <color indexed="81"/>
            <rFont val="Tahoma"/>
            <family val="2"/>
          </rPr>
          <t xml:space="preserve">Activity-based secondary emission factors were used on floor space and geographical data.
</t>
        </r>
      </text>
    </comment>
    <comment ref="B27" authorId="1" shapeId="0" xr:uid="{AEA9442A-0909-4BEC-9081-88C16ECD7EBE}">
      <text>
        <r>
          <rPr>
            <sz val="9"/>
            <color indexed="81"/>
            <rFont val="Tahoma"/>
            <family val="2"/>
          </rPr>
          <t xml:space="preserve">Emissions data was provided by our suppliers where available. Otherwise, a financial allocation was made based on spend and intensity factors from the EEIO model.
</t>
        </r>
      </text>
    </comment>
    <comment ref="B28" authorId="1" shapeId="0" xr:uid="{BB29B88B-C75D-4801-95FB-5A22DF254B77}">
      <text>
        <r>
          <rPr>
            <sz val="9"/>
            <color indexed="81"/>
            <rFont val="Tahoma"/>
            <family val="2"/>
          </rPr>
          <t xml:space="preserve">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
</t>
        </r>
      </text>
    </comment>
    <comment ref="B29" authorId="1" shapeId="0" xr:uid="{E7F900BC-0C23-4B7F-9EA6-5BE27A069052}">
      <text>
        <r>
          <rPr>
            <sz val="9"/>
            <color indexed="81"/>
            <rFont val="Tahoma"/>
            <family val="2"/>
          </rPr>
          <t xml:space="preserve">We have removed Use of sold products from our footprint by agreement with SBTi, as it determined that the emissions we reported in this category were ‘indirect’ and should not, therefore, be included.
</t>
        </r>
      </text>
    </comment>
    <comment ref="B30" authorId="1" shapeId="0" xr:uid="{E5E525C3-E6C5-4512-9C44-A8C9FDF45795}">
      <text>
        <r>
          <rPr>
            <sz val="9"/>
            <color indexed="81"/>
            <rFont val="Tahoma"/>
            <family val="2"/>
          </rPr>
          <t xml:space="preserve">Given no visibility of the end-of-life treatment/use of JM products, the mass of sold products has been mapped against an emission factor associated with the recycling of PGMs to retain the precious metals, with remainder mass associated with GHG emissions for landfill activities.
</t>
        </r>
      </text>
    </comment>
    <comment ref="B31" authorId="1" shapeId="0" xr:uid="{0918E711-CEC0-485A-A948-806E6EFF0F43}">
      <text>
        <r>
          <rPr>
            <sz val="9"/>
            <color indexed="81"/>
            <rFont val="Tahoma"/>
            <family val="2"/>
          </rPr>
          <t xml:space="preserve">Activity-based secondary emission factors were used on floor space and geographical data.
</t>
        </r>
      </text>
    </comment>
    <comment ref="B32" authorId="1" shapeId="0" xr:uid="{099E499A-DE95-494D-B3E7-2EB597BE9EE4}">
      <text>
        <r>
          <rPr>
            <sz val="9"/>
            <color indexed="81"/>
            <rFont val="Tahoma"/>
            <family val="2"/>
          </rPr>
          <t xml:space="preserve">JM does not have any franchises.
</t>
        </r>
      </text>
    </comment>
    <comment ref="B33" authorId="1" shapeId="0" xr:uid="{5ACE571B-B028-4C0F-A42A-BE1C3F39DF1B}">
      <text>
        <r>
          <rPr>
            <sz val="9"/>
            <color indexed="81"/>
            <rFont val="Tahoma"/>
            <family val="2"/>
          </rPr>
          <t>GHG intensity factors from our Pensions trustee providers were used and applied to pension-related financials. Due to missing data JM’s from joint ventures’ emissions, historical JM data for the divested business was used as a substitute.</t>
        </r>
      </text>
    </comment>
    <comment ref="B54"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5" authorId="0" shapeId="0" xr:uid="{2A23E601-09FE-4E99-902D-E1D17CBD8BE7}">
      <text>
        <r>
          <rPr>
            <sz val="10"/>
            <color indexed="81"/>
            <rFont val="Verdana"/>
            <family val="2"/>
          </rPr>
          <t>This is the total energy used by the business divided by amount of materials sold to customers.</t>
        </r>
      </text>
    </comment>
    <comment ref="B56"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71"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72"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3"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4" authorId="0" shapeId="0" xr:uid="{E8422A88-33D1-4043-8DB3-0961CBFD049E}">
      <text>
        <r>
          <rPr>
            <sz val="10"/>
            <color indexed="81"/>
            <rFont val="Verdana"/>
            <family val="2"/>
          </rPr>
          <t>This is the total energy consumed by JM (expressed in kWh)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5"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6"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7"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8" authorId="0" shapeId="0" xr:uid="{065C91CC-65CB-42B7-9625-F1C4B7BA3D40}">
      <text>
        <r>
          <rPr>
            <sz val="10"/>
            <color indexed="81"/>
            <rFont val="Verdana"/>
            <family val="2"/>
          </rPr>
          <t>This is the total amount of renewable energy (expressed as kWh) supplied to site or generated on site for use in our operations. The energy is certified renewable or is purchased as a renewable supply.</t>
        </r>
      </text>
    </comment>
    <comment ref="B86" authorId="0" shapeId="0" xr:uid="{B78E1880-0FE3-4FC5-B0DC-D1A2AAAA14AD}">
      <text>
        <r>
          <rPr>
            <sz val="10"/>
            <color indexed="81"/>
            <rFont val="Verdana"/>
            <family val="2"/>
          </rPr>
          <t>This is fresh water that is supplied to site via mains pipework.</t>
        </r>
      </text>
    </comment>
    <comment ref="B87" authorId="0" shapeId="0" xr:uid="{5A9B5874-4EC5-4110-A0AA-E0A4471A8B9B}">
      <text>
        <r>
          <rPr>
            <sz val="10"/>
            <color indexed="81"/>
            <rFont val="Verdana"/>
            <family val="2"/>
          </rPr>
          <t>This is water that is extracted from fresh surface water</t>
        </r>
      </text>
    </comment>
    <comment ref="B88"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90"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92"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4"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7"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8" authorId="0" shapeId="0" xr:uid="{1D2AE209-BACE-41BF-AA77-788F74423ED0}">
      <text>
        <r>
          <rPr>
            <sz val="10"/>
            <color indexed="81"/>
            <rFont val="Verdana"/>
            <family val="2"/>
          </rPr>
          <t>This represents the amount of wastewater at JM where COD is routinely measured.</t>
        </r>
      </text>
    </comment>
    <comment ref="B101" authorId="0" shapeId="0" xr:uid="{54613D08-4F79-4EEE-8E84-416221D70952}">
      <text>
        <r>
          <rPr>
            <sz val="10"/>
            <color indexed="81"/>
            <rFont val="Verdana"/>
            <family val="2"/>
          </rPr>
          <t>This indicator equates the net fresh water usage indicator as per the DJSI reporting criteria. This equates to the fresh water takn into site from mains, surface and groundwater which is adjusted for any water that is returned to fresh surface or groundwater.</t>
        </r>
      </text>
    </comment>
    <comment ref="B102"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4" authorId="0" shapeId="0" xr:uid="{34FF1621-B836-416C-93D5-F25796F4CAEC}">
      <text>
        <r>
          <rPr>
            <sz val="9"/>
            <color indexed="81"/>
            <rFont val="Tahoma"/>
            <family val="2"/>
          </rPr>
          <t>Calculated in line with ESG rebaslining</t>
        </r>
      </text>
    </comment>
    <comment ref="B108" authorId="0" shapeId="0" xr:uid="{FA2F564E-B36B-4578-99F7-959530EEBDC9}">
      <text>
        <r>
          <rPr>
            <sz val="10"/>
            <color indexed="81"/>
            <rFont val="Verdana"/>
            <family val="2"/>
          </rPr>
          <t xml:space="preserve">
Hazardous waste is material deemed hazardous under the terms of the Basel Convention Annex I, II, III, 179 and VIII.  A liquid waste is any item that can be poured and is transported in IBC, tanker or sealed container</t>
        </r>
      </text>
    </comment>
    <comment ref="B109" authorId="0" shapeId="0" xr:uid="{D05EF9B7-5C0D-4D73-B64F-D2D74859B98D}">
      <text>
        <r>
          <rPr>
            <sz val="10"/>
            <color indexed="81"/>
            <rFont val="Verdana"/>
            <family val="2"/>
          </rPr>
          <t xml:space="preserve">Hazardous waste is material deemed hazardous under the terms of the Basel Convention Annex I, II, III, 179 and VIII.  A solid waste is any item that is transported in a skip or similar container that cannot be poured
</t>
        </r>
      </text>
    </comment>
    <comment ref="B110" authorId="0" shapeId="0" xr:uid="{A604139C-0B5E-4EBF-A6FF-B39F92979AC3}">
      <text>
        <r>
          <rPr>
            <sz val="10"/>
            <color indexed="81"/>
            <rFont val="Verdana"/>
            <family val="2"/>
          </rPr>
          <t xml:space="preserve">Non Hazardous waste is material not deemed hazardous under the terms of the Basel Convention Annex I, II, III, 179 and VIII.  A liquid waste is any item that can be poured and is transported in IBC, tanker or sealed container
</t>
        </r>
      </text>
    </comment>
    <comment ref="B111" authorId="0" shapeId="0" xr:uid="{33B8DA16-C17E-46E0-8D31-BCD65959C278}">
      <text>
        <r>
          <rPr>
            <sz val="10"/>
            <color indexed="81"/>
            <rFont val="Verdana"/>
            <family val="2"/>
          </rPr>
          <t xml:space="preserve">
Non Hazardous waste is material that is not deemed hazardous under the terms of the Basel Convention Annex I, II, III, 179 and VIII.  A solid waste is any item that is transported in a skip or similar container that cannot be poured</t>
        </r>
      </text>
    </comment>
    <comment ref="B112"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3"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6" authorId="0" shapeId="0" xr:uid="{86218217-3B07-497E-AFF1-2A842D99E105}">
      <text>
        <r>
          <rPr>
            <sz val="10"/>
            <color indexed="81"/>
            <rFont val="Verdana"/>
            <family val="2"/>
          </rPr>
          <t xml:space="preserve">Total waste represents both liquid and solid waste. Total waste includes both hazardous and non hazardous waste.
Reused waste is that waste that can be reused in its original or some other purpose without any modification to the waste material.
</t>
        </r>
      </text>
    </comment>
    <comment ref="B117" authorId="0" shapeId="0" xr:uid="{787AAE8A-F516-4D8F-ABFA-588D4A58489C}">
      <text>
        <r>
          <rPr>
            <sz val="10"/>
            <color indexed="81"/>
            <rFont val="Verdana"/>
            <family val="2"/>
          </rPr>
          <t xml:space="preserve">Total waste represents both liquid and solid waste. Total waste includes both hazardous and non hazardous waste.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
</t>
        </r>
      </text>
    </comment>
    <comment ref="B118" authorId="0" shapeId="0" xr:uid="{FA78FCB2-6FC7-4F94-AD33-DD16054892E2}">
      <text>
        <r>
          <rPr>
            <sz val="10"/>
            <color indexed="81"/>
            <rFont val="Verdana"/>
            <family val="2"/>
          </rPr>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r>
      </text>
    </comment>
    <comment ref="B119" authorId="0" shapeId="0" xr:uid="{624B0787-01F9-4EE1-BC47-DEA00D71F57C}">
      <text>
        <r>
          <rPr>
            <sz val="10"/>
            <color indexed="81"/>
            <rFont val="Verdana"/>
            <family val="2"/>
          </rPr>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r>
      </text>
    </comment>
    <comment ref="B120" authorId="0" shapeId="0" xr:uid="{DB4F006C-14FC-421D-9907-E7B52146202F}">
      <text>
        <r>
          <rPr>
            <sz val="10"/>
            <color indexed="81"/>
            <rFont val="Verdana"/>
            <family val="2"/>
          </rPr>
          <t xml:space="preserve">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 or landfilling. This is a sum of the above total waste indicators.
</t>
        </r>
      </text>
    </comment>
    <comment ref="B121"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4" authorId="0" shapeId="0" xr:uid="{24B939B1-7BBA-4799-8988-6D363BB5DBC7}">
      <text>
        <r>
          <rPr>
            <sz val="10"/>
            <color indexed="81"/>
            <rFont val="Verdana"/>
            <family val="2"/>
          </rPr>
          <t>A solid waste is any item that is transported in a skip or similar container that cannot be poured. 
The total solid waste is the total of all solid hazardous and non hazardous waste sent offsite by JM.</t>
        </r>
      </text>
    </comment>
    <comment ref="B145" authorId="0" shapeId="0" xr:uid="{E2C4305F-04CD-4F74-A041-422CD9DD9AA3}">
      <text>
        <r>
          <rPr>
            <sz val="10"/>
            <color indexed="81"/>
            <rFont val="Verdana"/>
            <family val="2"/>
          </rPr>
          <t xml:space="preserve">A solid waste is any item that is transported in a skip or similar container that cannot be poured. This represents the total hazardous and non hazardous waste sent offsite by JM for reuse. </t>
        </r>
      </text>
    </comment>
    <comment ref="B146" authorId="0" shapeId="0" xr:uid="{49CCA6FC-FC4A-4EE2-9523-5A3C86AF3237}">
      <text>
        <r>
          <rPr>
            <sz val="10"/>
            <color indexed="81"/>
            <rFont val="Verdana"/>
            <family val="2"/>
          </rPr>
          <t xml:space="preserve">A solid waste is any item that is transported in a skip or similar container that cannot be poured. This represents the total hazardous and non hazardous waste sent offsite by JM for recycling. </t>
        </r>
      </text>
    </comment>
    <comment ref="B147" authorId="0" shapeId="0" xr:uid="{2416605F-3E00-421C-98E2-5EC78AB6D9BA}">
      <text>
        <r>
          <rPr>
            <sz val="10"/>
            <color indexed="81"/>
            <rFont val="Verdana"/>
            <family val="2"/>
          </rPr>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r>
      </text>
    </comment>
    <comment ref="B150"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51"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52" authorId="0" shapeId="0" xr:uid="{92F0347C-D34D-4268-9F6F-DBE08E9994F8}">
      <text>
        <r>
          <rPr>
            <sz val="10"/>
            <color indexed="81"/>
            <rFont val="Verdan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53" authorId="0" shapeId="0" xr:uid="{29FE0B95-2A28-47E1-8E25-FBC5E12774DE}">
      <text>
        <r>
          <rPr>
            <sz val="10"/>
            <color indexed="81"/>
            <rFont val="Verdana"/>
            <family val="2"/>
          </rPr>
          <t>This represents the percentage of JM operational sites reporting NOx values.</t>
        </r>
      </text>
    </comment>
    <comment ref="B154" authorId="0" shapeId="0" xr:uid="{1036AD0F-FD46-48E7-AAE0-094325A388D6}">
      <text>
        <r>
          <rPr>
            <sz val="10"/>
            <color indexed="81"/>
            <rFont val="Verdana"/>
            <family val="2"/>
          </rPr>
          <t>This represents the percentage of JM operational sites reporting SOx values.</t>
        </r>
      </text>
    </comment>
    <comment ref="B155" authorId="0" shapeId="0" xr:uid="{CE5B0161-FA42-418B-A9CC-7FE82ED10256}">
      <text>
        <r>
          <rPr>
            <sz val="10"/>
            <color indexed="81"/>
            <rFont val="Verdana"/>
            <family val="2"/>
          </rPr>
          <t>This represents the percentage of JM operational sites reporting VOCs values.</t>
        </r>
      </text>
    </comment>
    <comment ref="B158" authorId="0" shapeId="0" xr:uid="{86A61306-4B5B-4F55-AB5C-F224BB40BF33}">
      <text>
        <r>
          <rPr>
            <sz val="10"/>
            <color indexed="81"/>
            <rFont val="Verdana"/>
            <family val="2"/>
          </rPr>
          <t xml:space="preserve">Global Weight of product sold. </t>
        </r>
      </text>
    </comment>
    <comment ref="B163"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Xin Ngfat</author>
    <author>Giovanna Cantore</author>
  </authors>
  <commentList>
    <comment ref="B7" authorId="0" shapeId="0" xr:uid="{1C39D8EE-32E2-4A23-91CC-65A6E657D2FF}">
      <text>
        <r>
          <rPr>
            <sz val="12"/>
            <color indexed="81"/>
            <rFont val="Verdana"/>
            <family val="2"/>
          </rPr>
          <t>Total number of employees, contractors and agency staff - does not include Non Executive Board members</t>
        </r>
      </text>
    </comment>
    <comment ref="B8" authorId="0" shapeId="0" xr:uid="{19033548-F4E3-4225-B9F5-63738352521C}">
      <text>
        <r>
          <rPr>
            <sz val="12"/>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2"/>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2"/>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C923DA4B-C0F4-4B95-BBCE-1D52F061ECAD}">
      <text>
        <r>
          <rPr>
            <sz val="11"/>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27"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41" authorId="0" shapeId="0" xr:uid="{9F1F840C-1548-450C-AE0C-5CB4014D4FA1}">
      <text>
        <r>
          <rPr>
            <sz val="11"/>
            <color indexed="81"/>
            <rFont val="Verdana"/>
            <family val="2"/>
          </rPr>
          <t>All employees whether they are a people manager or not, at a minimum compensation grade</t>
        </r>
      </text>
    </comment>
    <comment ref="B45" authorId="0" shapeId="0" xr:uid="{86588985-16FF-4252-90DF-9FFB2953907A}">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59" authorId="0" shapeId="0" xr:uid="{8AE9B8C5-5E51-4FF1-B424-050E36567616}">
      <text>
        <r>
          <rPr>
            <sz val="11"/>
            <color indexed="81"/>
            <rFont val="Verdana"/>
            <family val="2"/>
          </rPr>
          <t>Senior Management defined as Group Leadership Team (GLT) and GLT-1 members</t>
        </r>
      </text>
    </comment>
    <comment ref="B98" authorId="0" shapeId="0" xr:uid="{D1E947F7-B2EC-4694-9532-E43D265E3FE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99" authorId="1" shapeId="0" xr:uid="{8931A637-B256-4CC5-A549-3DC442473925}">
      <text>
        <r>
          <rPr>
            <sz val="11"/>
            <color theme="1"/>
            <rFont val="Verdana"/>
            <family val="2"/>
          </rPr>
          <t>External joiners</t>
        </r>
      </text>
    </comment>
    <comment ref="B100" authorId="0" shapeId="0" xr:uid="{E6CA7531-8F7C-4848-85A6-A122A9D96EE3}">
      <text>
        <r>
          <rPr>
            <sz val="11"/>
            <color theme="1"/>
            <rFont val="Verdana"/>
            <family val="2"/>
          </rPr>
          <t>Resignation only</t>
        </r>
      </text>
    </comment>
    <comment ref="B101"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04" authorId="1" shapeId="0" xr:uid="{CE6902F5-71B7-488B-AB59-5574094BA2DE}">
      <text>
        <r>
          <rPr>
            <sz val="11"/>
            <color theme="1"/>
            <rFont val="Verdana"/>
            <family val="2"/>
          </rPr>
          <t>Resignation only
Number of leavers over last 12 months divided by average headcount as at data points 1 April and the following 31 March</t>
        </r>
      </text>
    </comment>
    <comment ref="B105" authorId="1" shapeId="0" xr:uid="{6A6189F2-4131-4B9E-A62D-8092F04A51B0}">
      <text>
        <r>
          <rPr>
            <sz val="11"/>
            <color theme="1"/>
            <rFont val="Verdana"/>
            <family val="2"/>
          </rPr>
          <t>Employee turnover rate initiated by employer 
Number of leavers over last 12 months divided by average headcount as at data points 1 April and the following 31 March</t>
        </r>
      </text>
    </comment>
    <comment ref="B106" authorId="1" shapeId="0" xr:uid="{E63E1660-F1EB-4377-B6B9-5ACA18889591}">
      <text>
        <r>
          <rPr>
            <sz val="11"/>
            <color theme="1"/>
            <rFont val="Verdana"/>
            <family val="2"/>
          </rPr>
          <t>Voluntary and involuntary leavers
Number of leavers over last 12 months divided by average headcount as at data points 1 April and the following 31 March</t>
        </r>
      </text>
    </comment>
    <comment ref="B110"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2" authorId="0" shapeId="0" xr:uid="{6E5A78F8-5D62-4A1B-9799-B80525D98EC7}">
      <text>
        <r>
          <rPr>
            <sz val="9"/>
            <color indexed="81"/>
            <rFont val="Tahoma"/>
            <family val="2"/>
          </rPr>
          <t xml:space="preserve">
Some employees may still be on leave</t>
        </r>
      </text>
    </comment>
    <comment ref="B117" authorId="0" shapeId="0" xr:uid="{4BB481B6-8D2F-4699-A8FC-2B933B44DB2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9" authorId="1" shapeId="0" xr:uid="{2B5ECD50-668B-4F9F-8796-EE81EF0B7248}">
      <text>
        <r>
          <rPr>
            <sz val="11"/>
            <color theme="1"/>
            <rFont val="Verdan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Training and education,
Complaints mechanism,
The right to refuse unsafe work, 
Periodic inspections
</t>
        </r>
      </text>
    </comment>
    <comment ref="B129" authorId="0" shapeId="0" xr:uid="{CD11A43D-4F03-4BE7-AFD5-0050A37F8708}">
      <text>
        <r>
          <rPr>
            <sz val="11"/>
            <color theme="1"/>
            <rFont val="Verdana"/>
            <family val="2"/>
          </rPr>
          <t>An internal promotion happens when an internal candidate is promoted to a new position — instead of the organization hiring an external candidate.</t>
        </r>
      </text>
    </comment>
    <comment ref="B130" authorId="0" shapeId="0" xr:uid="{27D765B3-A90E-4676-AFB7-E3AA51381101}">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39" authorId="0" shapeId="0" xr:uid="{CCB2E77B-4FB5-48BD-80E6-8E7EDEEC0C2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6" authorId="0" shapeId="0" xr:uid="{A528844E-0A96-4A1E-9D6C-842415B83294}">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7" authorId="0" shapeId="0" xr:uid="{A73EE3DA-F770-42CB-AC13-269536938385}">
      <text>
        <r>
          <rPr>
            <sz val="12"/>
            <color indexed="81"/>
            <rFont val="Verdana"/>
            <family val="2"/>
          </rPr>
          <t xml:space="preserve">Johnson Matthey is accredited as a Living Wage Employer in the UK, meaning we voluntarily pay our employees at or above the Living Wage rate. </t>
        </r>
      </text>
    </comment>
    <comment ref="B150" authorId="0" shapeId="0" xr:uid="{1622E667-C6FA-4E1F-8341-303532A74AC7}">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2" authorId="0" shapeId="0" xr:uid="{C5C6FD71-C439-42EA-81B2-6E180389A5F8}">
      <text>
        <r>
          <rPr>
            <sz val="11"/>
            <color indexed="81"/>
            <rFont val="Verdana"/>
            <family val="2"/>
          </rPr>
          <t>Employees are assigned training 
based on their role and requirement to understand the topic</t>
        </r>
      </text>
    </comment>
    <comment ref="B164" authorId="1" shapeId="0" xr:uid="{24693847-4AA7-4D04-8A15-71D838C1428B}">
      <text>
        <r>
          <rPr>
            <sz val="11"/>
            <color theme="1"/>
            <rFont val="Verdana"/>
            <family val="2"/>
          </rPr>
          <t>Eligible employees and contractors are offered the Code of Ethics training, subject to local laws, union agreements, long-term leave arrangements and start date before the cutoff period</t>
        </r>
      </text>
    </comment>
    <comment ref="B166" authorId="0" shapeId="0" xr:uid="{2FA0543E-2A7A-4317-A870-B0AB387E227C}">
      <text>
        <r>
          <rPr>
            <sz val="11"/>
            <color indexed="81"/>
            <rFont val="Verdana"/>
            <family val="2"/>
          </rPr>
          <t>Also known as Antitrust training</t>
        </r>
      </text>
    </comment>
    <comment ref="C166" authorId="0" shapeId="0" xr:uid="{72685B02-577C-4051-B196-9A53C85C8439}">
      <text>
        <r>
          <rPr>
            <sz val="11"/>
            <color indexed="81"/>
            <rFont val="Verdana"/>
            <family val="2"/>
          </rPr>
          <t>Enrollment date 1st April 2025 and so data for 2024/25 = 0</t>
        </r>
      </text>
    </comment>
    <comment ref="B176" authorId="1" shapeId="0" xr:uid="{945CF54B-E990-4A5E-B835-40C37A84DCA5}">
      <text>
        <r>
          <rPr>
            <sz val="12"/>
            <color theme="1"/>
            <rFont val="Verdana"/>
            <family val="2"/>
          </rPr>
          <t>Average score given by survey respondents in response to three engagement questions (engagement, loyalty, satisfaction)</t>
        </r>
        <r>
          <rPr>
            <sz val="11"/>
            <color theme="1"/>
            <rFont val="Calibri"/>
            <family val="2"/>
            <scheme val="minor"/>
          </rPr>
          <t> </t>
        </r>
      </text>
    </comment>
    <comment ref="C181" authorId="0" shapeId="0" xr:uid="{8F1C22CD-F416-4B15-92B9-4D00747A9708}">
      <text>
        <r>
          <rPr>
            <sz val="12"/>
            <color indexed="81"/>
            <rFont val="Verdana"/>
            <family val="2"/>
          </rPr>
          <t xml:space="preserve">Bonus data for UK employees was left out of the 2024/25 calculation because it was not administratively possible to calculate these bonuses before the publication of the ARA2025 and this databook. 
However, the calculation will be revised to include these bonuses once available and will be disclosed in the 2026 annual report and accounts.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Xin Ngfat</author>
    <author>Gary Machin</author>
  </authors>
  <commentList>
    <comment ref="B7" authorId="0"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temporary staff and agency employees). The total number of injuries is multiplied by the 200,000 OSHA standardised factor and divided by the total number of hours worked (by employees, temps and agency employees).
</t>
        </r>
      </text>
    </comment>
    <comment ref="F7" authorId="1"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H7" authorId="1"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J7" authorId="0"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0"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F8" authorId="1" shapeId="0" xr:uid="{714C4DDE-E507-47C0-9332-FFC52BC6CACA}">
      <text>
        <r>
          <rPr>
            <b/>
            <sz val="12"/>
            <color indexed="81"/>
            <rFont val="Verdana"/>
            <family val="2"/>
          </rPr>
          <t>Restatement:</t>
        </r>
        <r>
          <rPr>
            <sz val="12"/>
            <color indexed="81"/>
            <rFont val="Verdana"/>
            <family val="2"/>
          </rPr>
          <t xml:space="preserve">
Number restated due to further information received post submission</t>
        </r>
      </text>
    </comment>
    <comment ref="B9" authorId="0"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F9" authorId="1" shapeId="0" xr:uid="{FEA2DA7A-264C-4709-9177-34E5F2B0F298}">
      <text>
        <r>
          <rPr>
            <sz val="12"/>
            <color indexed="81"/>
            <rFont val="Verdana"/>
            <family val="2"/>
          </rPr>
          <t>Re-stated due to lchanges after Mar-24</t>
        </r>
      </text>
    </comment>
    <comment ref="B10" authorId="0"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H10" authorId="1"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0"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0"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G20" authorId="0"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0"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0"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0"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0"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0"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0"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0"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G27" authorId="0"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0"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0"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0"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F30" authorId="1"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0"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25" authorId="0" shapeId="0" xr:uid="{F2E3C276-28DD-434E-B05D-5A8C3DF64714}">
      <text>
        <r>
          <rPr>
            <sz val="10"/>
            <color indexed="81"/>
            <rFont val="Verdana"/>
            <family val="2"/>
          </rPr>
          <t>*as defined by our CMRT/EMRT procedure</t>
        </r>
      </text>
    </comment>
    <comment ref="B29" authorId="0" shapeId="0" xr:uid="{1C19DB05-27D4-4B99-BBA4-AC581F7134EB}">
      <text>
        <r>
          <rPr>
            <sz val="10"/>
            <color indexed="81"/>
            <rFont val="Verdana"/>
            <family val="2"/>
          </rPr>
          <t>*as defined by our CMRT/EMRT procedure</t>
        </r>
      </text>
    </comment>
    <comment ref="B33" authorId="0" shapeId="0" xr:uid="{04563571-50B7-4FC0-A4B3-660E0D196437}">
      <text>
        <r>
          <rPr>
            <sz val="10"/>
            <color indexed="81"/>
            <rFont val="Tahoma"/>
            <family val="2"/>
          </rPr>
          <t>Assumption: Using the registered address of the supplier as the country from which the good/service was sourced from.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<sst xmlns="http://schemas.openxmlformats.org/spreadsheetml/2006/main" count="3486" uniqueCount="1453">
  <si>
    <t>About this workbook</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</si>
  <si>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</si>
  <si>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</si>
  <si>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</si>
  <si>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2024 to 31 March 2025),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</si>
  <si>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</si>
  <si>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Medical Devices and our Battery Systems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</si>
  <si>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</si>
  <si>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Externally audited KPIs</t>
  </si>
  <si>
    <t>ERM Certification and Verification Services Limited (ERM CVS) were engaged to provide limited assurance of selected information. Information assured by ERM CVS is provided on the following tab</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</si>
  <si>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</si>
  <si>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</si>
  <si>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</si>
  <si>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</si>
  <si>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</si>
  <si>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</si>
  <si>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</si>
  <si>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</si>
  <si>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</si>
  <si>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</si>
  <si>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</si>
  <si>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UN SDGs</t>
  </si>
  <si>
    <t>Environment</t>
  </si>
  <si>
    <t>People</t>
  </si>
  <si>
    <t>Health and Safety</t>
  </si>
  <si>
    <t>Ethics and Compliance</t>
  </si>
  <si>
    <t>Community Investment</t>
  </si>
  <si>
    <t>Responsible Sourcing</t>
  </si>
  <si>
    <t>Product Stewardship</t>
  </si>
  <si>
    <t>Basis of reporting</t>
  </si>
  <si>
    <t>Our material topics were identified as:</t>
  </si>
  <si>
    <t>Planet</t>
  </si>
  <si>
    <t>Climate Change</t>
  </si>
  <si>
    <t>Pollution</t>
  </si>
  <si>
    <t>Water</t>
  </si>
  <si>
    <t>Biodiversity</t>
  </si>
  <si>
    <t>Resource use and circular economy</t>
  </si>
  <si>
    <t>Own Workforce</t>
  </si>
  <si>
    <t>Workers in the value chain</t>
  </si>
  <si>
    <t>Affected communities</t>
  </si>
  <si>
    <t>Business conduct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</si>
  <si>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</si>
  <si>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</si>
  <si>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2024 to 31</t>
    </r>
    <r>
      <rPr>
        <vertAlign val="superscript"/>
        <sz val="12"/>
        <rFont val="Verdana"/>
        <family val="2"/>
      </rPr>
      <t>st</t>
    </r>
    <r>
      <rPr>
        <sz val="12"/>
        <rFont val="Verdana"/>
        <family val="2"/>
      </rPr>
      <t xml:space="preserve"> March 2025</t>
    </r>
  </si>
  <si>
    <t>GRI 1 used</t>
  </si>
  <si>
    <t>GRI 1: Foundation 2021</t>
  </si>
  <si>
    <t>Applicable GRI Sector Standard(s)</t>
  </si>
  <si>
    <t>N/A</t>
  </si>
  <si>
    <t>Key to location references:</t>
  </si>
  <si>
    <t>ARA = Annual Report and Accounts 2025</t>
  </si>
  <si>
    <t>SPD = Sustainability Performance Databook 2025</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</si>
  <si>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</si>
  <si>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</si>
  <si>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</si>
  <si>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</si>
  <si>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</si>
  <si>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</si>
  <si>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</si>
  <si>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</si>
  <si>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</si>
  <si>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</si>
  <si>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</si>
  <si>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</si>
  <si>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Reasons for omission are not permitted for the disclosure or that a GRI Sector Standard reference number is not available.</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</si>
  <si>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</si>
  <si>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</si>
  <si>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</si>
  <si>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</si>
  <si>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</si>
  <si>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</si>
  <si>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</si>
  <si>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</si>
  <si>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</si>
  <si>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</si>
  <si>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</si>
  <si>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</si>
  <si>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</si>
  <si>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</si>
  <si>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Johnson Matthey Global Conflicts of Interest Policy</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</si>
  <si>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</si>
  <si>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</si>
  <si>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</si>
  <si>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</si>
  <si>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</si>
  <si>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</si>
  <si>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</si>
  <si>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</si>
  <si>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Johnson Matthey Policies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</si>
  <si>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</si>
  <si>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</si>
  <si>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</si>
  <si>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</si>
  <si>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</si>
  <si>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</si>
  <si>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</si>
  <si>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Material topics</t>
  </si>
  <si>
    <t>GRI 3: Material Topics 2021</t>
  </si>
  <si>
    <t>3-1 Process to determine material topics</t>
  </si>
  <si>
    <t>3-2 List of material topics</t>
  </si>
  <si>
    <t>Business Conduct</t>
  </si>
  <si>
    <t>Economic performance</t>
  </si>
  <si>
    <t>3-3 Management of material topics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</si>
  <si>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</si>
  <si>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</si>
  <si>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</si>
  <si>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</si>
  <si>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</si>
  <si>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Anti-corruption</t>
  </si>
  <si>
    <t>Johnson Matthey Anti-Bribery and Corruption Policy</t>
  </si>
  <si>
    <t>GRI 205: Anti-corruption 2016</t>
  </si>
  <si>
    <t>205-1 Operations assessed for risks related to corruption</t>
  </si>
  <si>
    <t>205-2 Communication and training about anti-corruption policies and procedures</t>
  </si>
  <si>
    <t>205-3 Confirmed incidents of corruption and actions taken</t>
  </si>
  <si>
    <t>Anti-competitive behavior</t>
  </si>
  <si>
    <t>GRI 206: Anti-competitive Behavior 2016</t>
  </si>
  <si>
    <t>206-1 Legal actions for anti-competitive behavior, anti-trust, and monopoly practices</t>
  </si>
  <si>
    <t>Materials</t>
  </si>
  <si>
    <t>GRI 301: Materials 2016</t>
  </si>
  <si>
    <t>301-1 Materials used by weight or volume</t>
  </si>
  <si>
    <t xml:space="preserve">a. </t>
  </si>
  <si>
    <t>Information unavailable/incomplete</t>
  </si>
  <si>
    <t>not disclosed as not relevant KPI to aggregate across our business</t>
  </si>
  <si>
    <t>301-2 Recycled input materials used</t>
  </si>
  <si>
    <t>301-3 Reclaimed products and their packaging materials</t>
  </si>
  <si>
    <t xml:space="preserve">a. b. </t>
  </si>
  <si>
    <t>only dislosed for platinum group metal use</t>
  </si>
  <si>
    <t>Energy</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</si>
  <si>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</si>
  <si>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</si>
  <si>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</si>
  <si>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</si>
  <si>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</si>
  <si>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</si>
  <si>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Water and effluents</t>
  </si>
  <si>
    <t>GRI 303: Water and Effluents 2018</t>
  </si>
  <si>
    <t>303-1 Interactions with water as a shared resource</t>
  </si>
  <si>
    <t>303-2 Management of water discharge-related impacts</t>
  </si>
  <si>
    <t>303-3 Water withdrawal</t>
  </si>
  <si>
    <t>303-4 Water discharge</t>
  </si>
  <si>
    <t>303-5 Water consumption</t>
  </si>
  <si>
    <t>Emissions</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</si>
  <si>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</si>
  <si>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</si>
  <si>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</si>
  <si>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</si>
  <si>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</si>
  <si>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</si>
  <si>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</si>
  <si>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</si>
  <si>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</si>
  <si>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</si>
  <si>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</si>
  <si>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</si>
  <si>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</si>
  <si>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</si>
  <si>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</si>
  <si>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GRI 101: Biodiversity 2024</t>
  </si>
  <si>
    <t>101-1 Policies to halt and reverse biodiversity loss</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</si>
  <si>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</si>
  <si>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</si>
  <si>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</si>
  <si>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</si>
  <si>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</si>
  <si>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</si>
  <si>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101-8 Ecosystem services</t>
  </si>
  <si>
    <t>Supplier environmental assessment</t>
  </si>
  <si>
    <t>GRI 308: Supplier Environmental Assessment 2016</t>
  </si>
  <si>
    <t>308-1 New suppliers that were screened using environmental criteria</t>
  </si>
  <si>
    <t>308-2 Negative environmental impacts in the supply chain and actions taken</t>
  </si>
  <si>
    <t>risks disclosed but not impacts or actions taken</t>
  </si>
  <si>
    <t>Employment</t>
  </si>
  <si>
    <t>GRI 401: Employment 2016</t>
  </si>
  <si>
    <t>401-1 New employee hires and employee turnover</t>
  </si>
  <si>
    <t>SPD People tab</t>
  </si>
  <si>
    <t>401-2 Benefits provided to full-time employees that are not provided to temporary or part-time employees</t>
  </si>
  <si>
    <t>401-3 Parental leave</t>
  </si>
  <si>
    <t>Own workforce</t>
  </si>
  <si>
    <t>Occupational health and safety</t>
  </si>
  <si>
    <t>Johnson Matthey Environmental, Health and Safety Policy Statement</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</si>
  <si>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</si>
  <si>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</si>
  <si>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</si>
  <si>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</si>
  <si>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</si>
  <si>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</si>
  <si>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</si>
  <si>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</si>
  <si>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</si>
  <si>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</si>
  <si>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SPD Health and Safety tab</t>
  </si>
  <si>
    <t>403-10 Work-related ill health</t>
  </si>
  <si>
    <t>Training and education</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</si>
  <si>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</si>
  <si>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</si>
  <si>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</si>
  <si>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</si>
  <si>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</si>
  <si>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</si>
  <si>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</si>
  <si>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405-2 Ratio of basic salary and remuneration of women to men</t>
  </si>
  <si>
    <t>a. b.</t>
  </si>
  <si>
    <t>data only available for UK employees</t>
  </si>
  <si>
    <t>Non-discrimination</t>
  </si>
  <si>
    <t>GRI 406: Non-discrimination 2016</t>
  </si>
  <si>
    <t>406-1 Incidents of discrimination and corrective actions taken</t>
  </si>
  <si>
    <t>Freedom of association and collective bargaining</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</si>
  <si>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</si>
  <si>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</si>
  <si>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</si>
  <si>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</si>
  <si>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</si>
  <si>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</si>
  <si>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</si>
  <si>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</si>
  <si>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</si>
  <si>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</si>
  <si>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GRI 413: Local Communities 2016</t>
  </si>
  <si>
    <t>413-1 Operations with local community engagement, impact assessments, and development programs</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</si>
  <si>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</si>
  <si>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</si>
  <si>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</si>
  <si>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</si>
  <si>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</si>
  <si>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</si>
  <si>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t>Consumers and end-users</t>
  </si>
  <si>
    <t>Customer health and safety</t>
  </si>
  <si>
    <t>GRI 416: Customer Health and Safety 2016</t>
  </si>
  <si>
    <t>416-1 Assessment of the health and safety impacts of product and service categories</t>
  </si>
  <si>
    <t>SPD Product Stewardship tab</t>
  </si>
  <si>
    <t>416-2 Incidents of non-compliance concerning the health and safety impacts of products and services</t>
  </si>
  <si>
    <t>Marketing and labeling</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</si>
  <si>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</si>
  <si>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</si>
  <si>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</si>
  <si>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</si>
  <si>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</si>
  <si>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</si>
  <si>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</si>
  <si>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r>
      <t>Topics in the applica</t>
    </r>
    <r>
      <rPr>
        <b/>
        <sz val="10"/>
        <color theme="0"/>
        <rFont val="Verdana"/>
        <family val="2"/>
      </rPr>
      <t>ble GRI Sector Standards determined as not material to JM but disclosure important to our stakeholers</t>
    </r>
  </si>
  <si>
    <t>GRI 411: Rights of Indigenous Peoples 2016</t>
  </si>
  <si>
    <t>411-1 Incidents of violations involving rights of indigenous peoples</t>
  </si>
  <si>
    <t>GRI 402: Labor/Management Relations 2016</t>
  </si>
  <si>
    <t>402-1 Minimum notice periods regarding operational changes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</si>
  <si>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</si>
  <si>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</si>
  <si>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</si>
  <si>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</si>
  <si>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</si>
  <si>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</si>
  <si>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</si>
  <si>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203-2 Significant indirect economic impacts</t>
  </si>
  <si>
    <t>Procurement practices</t>
  </si>
  <si>
    <t>GRI 204: Procurement Practices 2016</t>
  </si>
  <si>
    <t>204-1 Proportion of spending on local suppliers</t>
  </si>
  <si>
    <t>Tax</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</si>
  <si>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</si>
  <si>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</si>
  <si>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</si>
  <si>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</si>
  <si>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</si>
  <si>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</si>
  <si>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</si>
  <si>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Security practices</t>
  </si>
  <si>
    <t>410-1 Security personnel trained in human rights policies or procedures</t>
  </si>
  <si>
    <t>Public policy</t>
  </si>
  <si>
    <t>GRI 415: Public Policy 2016</t>
  </si>
  <si>
    <t>415-1 Political contributions</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</si>
  <si>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</si>
  <si>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</si>
  <si>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</si>
  <si>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</si>
  <si>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</si>
  <si>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</si>
  <si>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</si>
  <si>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</si>
  <si>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</si>
  <si>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Discussion of long term and short term strategy or plan to manage Scope 1 emissions, emissions reduction targets, and an analysis of performance against those targets</t>
  </si>
  <si>
    <t>RT-CH-110a.2</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</si>
  <si>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</si>
  <si>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</si>
  <si>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</si>
  <si>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</si>
  <si>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</si>
  <si>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</si>
  <si>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</si>
  <si>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</si>
  <si>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</si>
  <si>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</si>
  <si>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</si>
  <si>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</si>
  <si>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</si>
  <si>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</si>
  <si>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</si>
  <si>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</si>
  <si>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</si>
  <si>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</si>
  <si>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</si>
  <si>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Workforce health and safety</t>
  </si>
  <si>
    <t>1) Total recordable incident rate (TRIR) and (2) fatality rate for (a) direct employees and (b) contract employees</t>
  </si>
  <si>
    <t>RT-CH-320a.1</t>
  </si>
  <si>
    <t>Description of efforts to assess, monitor, and reduce exposure of employees and contract workers to long-term (chronic) health risks</t>
  </si>
  <si>
    <t>RT-CH-320a.2</t>
  </si>
  <si>
    <t>Product design for use-phase efficiency</t>
  </si>
  <si>
    <t>Revenue from products designed for use phase resource efficiency.
SASB Chemicals Sustainability Accounting Standard’s definition of products that, when used, improve energy efficiency, eliminate or reduce GHG emissions, reduce raw materials consumption, lower water consumption and/or increase product life.</t>
  </si>
  <si>
    <t>RT-CH-410a.1</t>
  </si>
  <si>
    <t>SPD SASB Index tab</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</si>
  <si>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</si>
  <si>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</si>
  <si>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</si>
  <si>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 xml:space="preserve">(1) Not disclosed. However, we estimate &lt;10% of sales are from products containing &gt;0.1% w/w of Substances of Very High Concern (as defined in EU REACH), which would be a subset of the substances referred to in this metric. 
(2) 100% of JM products that meet the SASB GHS criteria undergo human health and environmental hazard assessment.  </t>
  </si>
  <si>
    <t>Discussion of strategy to (1) manage chemicals of concern and (2) develop alternatives with reduced human and/or environmental impact</t>
  </si>
  <si>
    <t>RT-CH-410b.2</t>
  </si>
  <si>
    <t>Genetically modified organisms</t>
  </si>
  <si>
    <t>Percentage of products by revenue that contain genetically modified organisms (GMOs)</t>
  </si>
  <si>
    <t>RT-CH-410c.1</t>
  </si>
  <si>
    <t>SPD SASB Index Tab
SPD Product Stewardship tab</t>
  </si>
  <si>
    <t xml:space="preserve">0% of our products contain live GMOs. 
At JM, our Life Sciences Technology business uses genetically modified microorganisms to create biocatalysts (enzymes) targeted at delivering very specific reactions in efficient and sustainable ways. Our products do not contain genetically modified organisms (GMOs) </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</si>
  <si>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</si>
  <si>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</si>
  <si>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</si>
  <si>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</si>
  <si>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</si>
  <si>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</si>
  <si>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</si>
  <si>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</si>
  <si>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</si>
  <si>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</si>
  <si>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</si>
  <si>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</si>
  <si>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</si>
  <si>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</si>
  <si>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</si>
  <si>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</si>
  <si>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</si>
  <si>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</si>
  <si>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</si>
  <si>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</si>
  <si>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</si>
  <si>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</si>
  <si>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</si>
  <si>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</si>
  <si>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</si>
  <si>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</si>
  <si>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</si>
  <si>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</si>
  <si>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</si>
  <si>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</si>
  <si>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</si>
  <si>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</si>
  <si>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</si>
  <si>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</si>
  <si>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</si>
  <si>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</si>
  <si>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</si>
  <si>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</si>
  <si>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</si>
  <si>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</si>
  <si>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</si>
  <si>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</si>
  <si>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(h)</t>
  </si>
  <si>
    <t>b.) Disclose Scope 1, Scope 2, and if appropriate Scope 3 greenhouse gas (GHG) emissions, and the related risks</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</si>
  <si>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</si>
  <si>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</si>
  <si>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</si>
  <si>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</si>
  <si>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</si>
  <si>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</si>
  <si>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</si>
  <si>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</si>
  <si>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</si>
  <si>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</si>
  <si>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</si>
  <si>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</si>
  <si>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</si>
  <si>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</si>
  <si>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</si>
  <si>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</si>
  <si>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</si>
  <si>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</si>
  <si>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</si>
  <si>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</si>
  <si>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</si>
  <si>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</si>
  <si>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</si>
  <si>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</si>
  <si>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</si>
  <si>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</si>
  <si>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</si>
  <si>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</si>
  <si>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</si>
  <si>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</si>
  <si>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</si>
  <si>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</si>
  <si>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</si>
  <si>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</si>
  <si>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</si>
  <si>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</si>
  <si>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</si>
  <si>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</si>
  <si>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</si>
  <si>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</si>
  <si>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</si>
  <si>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</si>
  <si>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</si>
  <si>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</si>
  <si>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</si>
  <si>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</si>
  <si>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</si>
  <si>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</si>
  <si>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</si>
  <si>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</si>
  <si>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</si>
  <si>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</si>
  <si>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</si>
  <si>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</si>
  <si>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</si>
  <si>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2024 our UK gender pay gap was 4.0% which puts us ahead of the national average of 13.1%</t>
  </si>
  <si>
    <t>Johnson Matthey Gender Pay Gap Report 2024</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</si>
  <si>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</si>
  <si>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</si>
  <si>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</si>
  <si>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44% females</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</si>
  <si>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</si>
  <si>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</si>
  <si>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</si>
  <si>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Streamlined Energy and Carbon Reporting (SECR)</t>
  </si>
  <si>
    <t>In line with the requirements set out in the UK Government’s guidance on SECR, the table below represents Johnson Matthey’s energy use and associated GHG emissions from electricity and fuel in the UK (1st April 2024 through to 31st March 2025), calculated with reference to the Greenhouse Gas Protocol. 
The scope of this data includes 8 manufacturing sites and 8 non-manufacturing sites based in the UK. In 2024/25, the UK accounted for 47% of our global total Scope 1 and 2 emissions as well as 29% of our global energy use.</t>
  </si>
  <si>
    <t>Key:</t>
  </si>
  <si>
    <t>ROW = Rest of World</t>
  </si>
  <si>
    <t>Scope 1 and 2 greenhouse gas (GHG) emissions</t>
  </si>
  <si>
    <t>Units of Measure</t>
  </si>
  <si>
    <t>2024/25</t>
  </si>
  <si>
    <t>2023/24</t>
  </si>
  <si>
    <t>2022/23</t>
  </si>
  <si>
    <t>2021/22</t>
  </si>
  <si>
    <t>2020/21</t>
  </si>
  <si>
    <t>2019/20</t>
  </si>
  <si>
    <t>% change latest year vs previous year
 (global)</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</si>
  <si>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</si>
  <si>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</si>
  <si>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</si>
  <si>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</si>
  <si>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</si>
  <si>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</si>
  <si>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</si>
  <si>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</si>
  <si>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</si>
  <si>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</si>
  <si>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</si>
  <si>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</si>
  <si>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</si>
  <si>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</si>
  <si>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</si>
  <si>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Five-year performance table</t>
  </si>
  <si>
    <t>Externally assured selected information by ERM CVS</t>
  </si>
  <si>
    <t>Metric name</t>
  </si>
  <si>
    <t>Unit of Measure</t>
  </si>
  <si>
    <t>2024/25 total figure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</si>
  <si>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</si>
  <si>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</si>
  <si>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</si>
  <si>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</si>
  <si>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</si>
  <si>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</si>
  <si>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</si>
  <si>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</si>
  <si>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</si>
  <si>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</si>
  <si>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</si>
  <si>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</si>
  <si>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</si>
  <si>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</si>
  <si>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</si>
  <si>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</si>
  <si>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</si>
  <si>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</si>
  <si>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</si>
  <si>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</si>
  <si>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</si>
  <si>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</si>
  <si>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</si>
  <si>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</si>
  <si>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</si>
  <si>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</si>
  <si>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</si>
  <si>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</si>
  <si>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</si>
  <si>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</si>
  <si>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</si>
  <si>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</si>
  <si>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</si>
  <si>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</si>
  <si>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</si>
  <si>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</si>
  <si>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</si>
  <si>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</si>
  <si>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</si>
  <si>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</si>
  <si>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</si>
  <si>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</si>
  <si>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</si>
  <si>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</si>
  <si>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</si>
  <si>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</si>
  <si>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</si>
  <si>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</si>
  <si>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</si>
  <si>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</si>
  <si>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</si>
  <si>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</si>
  <si>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</si>
  <si>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</si>
  <si>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</si>
  <si>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</si>
  <si>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</si>
  <si>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</si>
  <si>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</si>
  <si>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</si>
  <si>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</si>
  <si>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</si>
  <si>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</si>
  <si>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2024/25 Performance</t>
  </si>
  <si>
    <t>2024/25 progress on baseline</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</si>
  <si>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</si>
  <si>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</si>
  <si>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</si>
  <si>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</si>
  <si>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</si>
  <si>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</si>
  <si>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</si>
  <si>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</si>
  <si>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</si>
  <si>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GHG Purchased Goods and Services</t>
  </si>
  <si>
    <t>Reduction of 42% on baseline 2019/20 value by 2030</t>
  </si>
  <si>
    <t>% recycled PGM</t>
  </si>
  <si>
    <t>Increase recycled PGM content in JM's manufactured products to at least 75%</t>
  </si>
  <si>
    <t>Reduction of 50% on baseline 2019/20 value by 2030</t>
  </si>
  <si>
    <t>Water intensity</t>
  </si>
  <si>
    <r>
      <t>000's m</t>
    </r>
    <r>
      <rPr>
        <vertAlign val="superscript"/>
        <sz val="10"/>
        <color theme="1"/>
        <rFont val="Verdana"/>
        <family val="2"/>
      </rPr>
      <t>3</t>
    </r>
    <r>
      <rPr>
        <sz val="10"/>
        <color theme="1"/>
        <rFont val="Verdana"/>
        <family val="2"/>
      </rPr>
      <t xml:space="preserve"> / £</t>
    </r>
  </si>
  <si>
    <t>Reduction of 30% on baseline 2019/20 value of 100%</t>
  </si>
  <si>
    <t>TRIIR employees and contractors</t>
  </si>
  <si>
    <t>n/200,000hrs</t>
  </si>
  <si>
    <t>Achieve a Total Recordable Injury and Illness Rate for employees and contractors below 0.25</t>
  </si>
  <si>
    <t>Reduce our ICCA process safety severity rate to 0.4</t>
  </si>
  <si>
    <t>Employee Engagement</t>
  </si>
  <si>
    <t>Score of min 8 by 2030</t>
  </si>
  <si>
    <t xml:space="preserve">Female representation </t>
  </si>
  <si>
    <t>Achieve more than 40% of female representation across all management level</t>
  </si>
  <si>
    <t>Our products and services are aligned with four of the UN SDGs where we believe we can make the biggest positive contributions.</t>
  </si>
  <si>
    <t>Sales from products contributing to priority UN SDGs</t>
  </si>
  <si>
    <t>SDG 3 - Good health and well-being</t>
  </si>
  <si>
    <t>SDG 7 - Affordable and clean energy</t>
  </si>
  <si>
    <t>SDG 12 - Responsible consumption and production</t>
  </si>
  <si>
    <t>SDG 13 - Climate action</t>
  </si>
  <si>
    <t>Unassigned</t>
  </si>
  <si>
    <t>R&amp;D spend contributing to priority UN SDGs</t>
  </si>
  <si>
    <t>Greenhouse gas (GHG) emissions</t>
  </si>
  <si>
    <t>Performance against prior year</t>
  </si>
  <si>
    <t>Performance against 2019/20 baseline</t>
  </si>
  <si>
    <t xml:space="preserve">Scope 3 GHG emissions by category </t>
  </si>
  <si>
    <t>Total Scope 3 (Category 1) Purchased goods and services GHG emissions</t>
  </si>
  <si>
    <r>
      <t>tonnes CO</t>
    </r>
    <r>
      <rPr>
        <vertAlign val="subscript"/>
        <sz val="12"/>
        <color rgb="FF000000"/>
        <rFont val="Verdana"/>
        <family val="2"/>
      </rPr>
      <t>2</t>
    </r>
    <r>
      <rPr>
        <sz val="12"/>
        <color rgb="FF000000"/>
        <rFont val="Verdana"/>
        <family val="2"/>
      </rPr>
      <t>e</t>
    </r>
  </si>
  <si>
    <t>Total Scope 3 (Category 2) Capital goods GHG emissions</t>
  </si>
  <si>
    <t>Total Scope 3 (Category 3) Fuel and Energy-related activities GHG emissions</t>
  </si>
  <si>
    <t>Total Scope 3 (Category 4) Upstream transportation and distribution GHG emissions</t>
  </si>
  <si>
    <t>Total Scope 3 (Category 5) Waste generated in operations GHG emissions</t>
  </si>
  <si>
    <t>Total Scope 3 (Category 6) Business travel GHG emissions</t>
  </si>
  <si>
    <t>Total Scope 3 (Category 7) Employee commuting GHG emissions</t>
  </si>
  <si>
    <t>Total Scope 3 (Category 8) Upstream leased assets GHG emissions</t>
  </si>
  <si>
    <t>Total Scope 3 (Category 9) Downstream transportation and distribution GHG emissions</t>
  </si>
  <si>
    <t>Total Scope 3 (Category 10) Processing of sold products GHG emissions</t>
  </si>
  <si>
    <t>Total Scope 3 (Category 11) Use of sold products GHG emissions</t>
  </si>
  <si>
    <t>Total Scope 3 (Category 12)  End of life treatment of sold products GHG emissions</t>
  </si>
  <si>
    <t>Total Scope 3 (Category 13) Downstream leased assets GHG emissions</t>
  </si>
  <si>
    <t>Total Scope 3 (Category 14) Franchises GHG emissions</t>
  </si>
  <si>
    <t>Total Scope 3 (Category 15) Investments GHG emissions</t>
  </si>
  <si>
    <t>Total Scope 3 Upstream GHG Emissions</t>
  </si>
  <si>
    <t>Total Scope 3 Downstream GHG Emissions</t>
  </si>
  <si>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</si>
  <si>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</si>
  <si>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</si>
  <si>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r>
      <t>tonnes CO</t>
    </r>
    <r>
      <rPr>
        <vertAlign val="subscript"/>
        <sz val="11"/>
        <color rgb="FF000000"/>
        <rFont val="Verdana"/>
        <family val="2"/>
      </rPr>
      <t>2</t>
    </r>
    <r>
      <rPr>
        <sz val="11"/>
        <color rgb="FF000000"/>
        <rFont val="Verdana"/>
        <family val="2"/>
      </rPr>
      <t>e</t>
    </r>
  </si>
  <si>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</si>
  <si>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</si>
  <si>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</si>
  <si>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</si>
  <si>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</si>
  <si>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</si>
  <si>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</si>
  <si>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</si>
  <si>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Energy Use</t>
  </si>
  <si>
    <t>(%)</t>
  </si>
  <si>
    <t>Certified renewable energy consumption</t>
  </si>
  <si>
    <t>Categorisation  of energy sources (KPIs)</t>
  </si>
  <si>
    <t>1. Total energy consumption</t>
  </si>
  <si>
    <t>GJ</t>
  </si>
  <si>
    <t>2. Total Electricity consumption</t>
  </si>
  <si>
    <t>3. Total Natural gas consumption</t>
  </si>
  <si>
    <t>4. Total non-renewable energy consumption</t>
  </si>
  <si>
    <t>a) Non-renewable fuels purchased and consumed</t>
  </si>
  <si>
    <t>b) Non-renewable electricity purchased</t>
  </si>
  <si>
    <t>c) Steam/heating/cooling and other energy (non-renewable) purchased</t>
  </si>
  <si>
    <t>d) Non-renewable energy from the fuel used or mileage travelled by JM controlled vehicles on company business</t>
  </si>
  <si>
    <t>n/a</t>
  </si>
  <si>
    <t>5. Total renewable energy purchased or generated</t>
  </si>
  <si>
    <t>a) renewable electricity purchased or generated</t>
  </si>
  <si>
    <t>b) renewable fuels and steam purchased or generated</t>
  </si>
  <si>
    <t>Environmental KPIs</t>
  </si>
  <si>
    <t xml:space="preserve">Water withdrawal by source </t>
  </si>
  <si>
    <t>Total municipal water supplies</t>
  </si>
  <si>
    <r>
      <t>m</t>
    </r>
    <r>
      <rPr>
        <vertAlign val="superscript"/>
        <sz val="11"/>
        <color theme="1"/>
        <rFont val="Verdana"/>
        <family val="2"/>
      </rPr>
      <t>3</t>
    </r>
  </si>
  <si>
    <t>Fresh surface water</t>
  </si>
  <si>
    <t>Fresh groundwater</t>
  </si>
  <si>
    <t>Rainwater harvested and stored</t>
  </si>
  <si>
    <r>
      <t>m</t>
    </r>
    <r>
      <rPr>
        <b/>
        <vertAlign val="superscript"/>
        <sz val="11"/>
        <color theme="1"/>
        <rFont val="Verdana"/>
        <family val="2"/>
      </rPr>
      <t>3</t>
    </r>
  </si>
  <si>
    <t>Water discharge by destination</t>
  </si>
  <si>
    <t>Total water returned to the source of extraction at similar or higher quality as raw water extracted</t>
  </si>
  <si>
    <t>Total which goes to municipal treatment</t>
  </si>
  <si>
    <t>Total wastewater discharged</t>
  </si>
  <si>
    <r>
      <t>m</t>
    </r>
    <r>
      <rPr>
        <b/>
        <vertAlign val="superscript"/>
        <sz val="11"/>
        <color rgb="FF000000"/>
        <rFont val="Verdana"/>
        <family val="2"/>
      </rPr>
      <t>3</t>
    </r>
  </si>
  <si>
    <t>Average COD of wastewater discharge</t>
  </si>
  <si>
    <t>Water consumption</t>
  </si>
  <si>
    <r>
      <t>000's m</t>
    </r>
    <r>
      <rPr>
        <b/>
        <vertAlign val="superscript"/>
        <sz val="11"/>
        <color theme="1"/>
        <rFont val="Verdana"/>
        <family val="2"/>
      </rPr>
      <t>3</t>
    </r>
  </si>
  <si>
    <r>
      <t>000's m</t>
    </r>
    <r>
      <rPr>
        <b/>
        <vertAlign val="superscript"/>
        <sz val="11"/>
        <rFont val="Verdana"/>
        <family val="2"/>
      </rPr>
      <t>3</t>
    </r>
  </si>
  <si>
    <t>% freshwater consumed in regions of high or extremely high baseline water stress</t>
  </si>
  <si>
    <t>Net freshwater consumption intensity</t>
  </si>
  <si>
    <t>Types of waste produced and sent off site for treatment by a third party</t>
  </si>
  <si>
    <t>Liquid hazardous waste</t>
  </si>
  <si>
    <t>Solid hazardous waste</t>
  </si>
  <si>
    <t>Liquid non-hazardous waste</t>
  </si>
  <si>
    <t>Solid non-hazardous waste</t>
  </si>
  <si>
    <t>Methods of waste treatment applied by our third party providers</t>
  </si>
  <si>
    <t>Total waste reused</t>
  </si>
  <si>
    <t>Total waste recycled</t>
  </si>
  <si>
    <t>Waste directed to off site disposal</t>
  </si>
  <si>
    <t>Non-hazardous waste disposed through incineration with energy recovery</t>
  </si>
  <si>
    <t>Non-hazardous waste disposed through incineration or treatment without energy recovery</t>
  </si>
  <si>
    <t>Non-hazardous waste disposed to landfill</t>
  </si>
  <si>
    <t>Total non-hazardous waste disposed</t>
  </si>
  <si>
    <t>Hazardous waste disposed through incineration with energy recovery</t>
  </si>
  <si>
    <t>Hazardous waste disposed through incineration without energy recovery</t>
  </si>
  <si>
    <t>Hazardous waste disposed to landfill</t>
  </si>
  <si>
    <t>Total hazardous waste disposed</t>
  </si>
  <si>
    <t xml:space="preserve">Total waste disposed </t>
  </si>
  <si>
    <t>Total waste disposed off site to landfill</t>
  </si>
  <si>
    <t>Waste diverted from off site disposal</t>
  </si>
  <si>
    <t>Non-hazardous waste reused</t>
  </si>
  <si>
    <t>Hazardous waste reused</t>
  </si>
  <si>
    <t>Non-hazardous waste recycled</t>
  </si>
  <si>
    <t>Hazardous waste recycled</t>
  </si>
  <si>
    <t>Total waste recycled or reused</t>
  </si>
  <si>
    <t xml:space="preserve">Non-hazardous waste recycled and reused  </t>
  </si>
  <si>
    <t xml:space="preserve">Hazardous waste recycled and reused  </t>
  </si>
  <si>
    <t xml:space="preserve">Total waste recycled and reused </t>
  </si>
  <si>
    <t>Solid waste disposed off site</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</si>
  <si>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</si>
  <si>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</si>
  <si>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</si>
  <si>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</si>
  <si>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</si>
  <si>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</si>
  <si>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</si>
  <si>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</si>
  <si>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</si>
  <si>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</si>
  <si>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</si>
  <si>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</si>
  <si>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Compliance with environmental laws and regulations</t>
  </si>
  <si>
    <t>#</t>
  </si>
  <si>
    <t>Total monetary value of significant fines</t>
  </si>
  <si>
    <t>£</t>
  </si>
  <si>
    <t>Environmental Certification</t>
  </si>
  <si>
    <t>Number of sites with ISO 14001 certification</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</si>
  <si>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</si>
  <si>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</si>
  <si>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</si>
  <si>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</si>
  <si>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</si>
  <si>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</si>
  <si>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</si>
  <si>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</si>
  <si>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</si>
  <si>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</si>
  <si>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</si>
  <si>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</si>
  <si>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</si>
  <si>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</si>
  <si>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Definition/calculation methodology</t>
  </si>
  <si>
    <t>Where mass of purchased goods was available, this was used in combination with GHG intensity factors obtained either from suppliers or EcoInvent. For the remaining goods and for purchased services a financial allocation (EEIO model) was used</t>
  </si>
  <si>
    <t>Financial allocation (EEIO model) using geographical breakdown of data shown in Accounting note 12 “Property, plant &amp; equipment” on page 174</t>
  </si>
  <si>
    <t>Defra’s GHG reporting conversion factors 2022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</si>
  <si>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t>
  </si>
  <si>
    <t>Where GHG footprints were available from waste service providers they were used, otherwise Defra’s GHG reporting conversion factors 2022 were used according to mass of waste disposal by destination see page 46</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</si>
  <si>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</si>
  <si>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Data is obtained by employee survey of miles travelled per week by modes of transport. Defra’s GHG reporting conversion factors 2022 are used to calculate the GHG intensity of each transport type</t>
  </si>
  <si>
    <t>Financial allocation (EEIO model) using floor space and geographical location</t>
  </si>
  <si>
    <t>Where JM takes responsibility for the downstream distribution of goods, it was included in the upstream category calculation. Where our customers takes responsibility, no data is available</t>
  </si>
  <si>
    <t>No quantitative data available, but not expected to be material based on our knowledge of how our customers use our products</t>
  </si>
  <si>
    <t>We have removed Use of sold products from our footprint by agreement with SBTi, as it determined that the emissions we reported in this category were ‘indirect’ and should not, therefore, be included.</t>
  </si>
  <si>
    <t>Many of JM’s products are returned to the company for recovery of the precious metals and thus end of life treatment is included in our Scope 1 and Scope 2 footprint. JM does not have visibility of other end of life treatments</t>
  </si>
  <si>
    <t>Included in Upstream leased assets category</t>
  </si>
  <si>
    <t>JM does not have any franchises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</si>
  <si>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</si>
  <si>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</si>
  <si>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</si>
  <si>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</si>
  <si>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</si>
  <si>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</si>
  <si>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</si>
  <si>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This is fresh water that is supplied to site via mains pipework.</t>
  </si>
  <si>
    <t>This is water that is extracted from fresh surface 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</si>
  <si>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</si>
  <si>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</si>
  <si>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</si>
  <si>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</si>
  <si>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</si>
  <si>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</si>
  <si>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</si>
  <si>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</si>
  <si>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</si>
  <si>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Average COD of waste water discharge</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</si>
  <si>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</si>
  <si>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</si>
  <si>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</si>
  <si>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</si>
  <si>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</si>
  <si>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Hazardous waste is material deemed hazardous under the terms of the Basel Convention Annex I, II, III, 179 and VIII.  A solid waste is any item that is transported in a skip or similar container that cannot be poured</t>
  </si>
  <si>
    <t>Hazardous waste is material deemed hazardous under the terms of the Basel Convention Annex I, II, III, 179 and VIII.  A liquid waste is any item that can be poured and is transported in IBC, tanker or sealed container</t>
  </si>
  <si>
    <t>Non Hazardous waste is material that is not deemed hazardous under the terms of the Basel Convention Annex I, II, III, 179 and VIII.  A solid waste is any item that is transported in a skip or similar container that cannot be poured</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</si>
  <si>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</si>
  <si>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</si>
  <si>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</si>
  <si>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</si>
  <si>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The waste that is sent off site to be incinerated or treated in any other way before final disposai.  Non Hazardous waste is material that is not deemed hazardous under the terms of the Basel Convention Annex I, II, III, 179 and VIII.</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</si>
  <si>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</si>
  <si>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</si>
  <si>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</si>
  <si>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</si>
  <si>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</si>
  <si>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</si>
  <si>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The waste is disposed of by burial in a landfill site. Hazardous waste is material that is deemed hazardous under the terms of the Basel Convention Annex I, II, III, 179 and VIII.</t>
  </si>
  <si>
    <t xml:space="preserve">This is the total hazardous waste that is disposed of by the methods mentioned above.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</si>
  <si>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</si>
  <si>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</si>
  <si>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</si>
  <si>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</si>
  <si>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</si>
  <si>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</si>
  <si>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</si>
  <si>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</si>
  <si>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</si>
  <si>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</si>
  <si>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</si>
  <si>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</si>
  <si>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</si>
  <si>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</si>
  <si>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</si>
  <si>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</si>
  <si>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</si>
  <si>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</si>
  <si>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</si>
  <si>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</si>
  <si>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</si>
  <si>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</si>
  <si>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</si>
  <si>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</si>
  <si>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</si>
  <si>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</si>
  <si>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</si>
  <si>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</si>
  <si>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</si>
  <si>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</si>
  <si>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</si>
  <si>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</si>
  <si>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</si>
  <si>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</si>
  <si>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</si>
  <si>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</si>
  <si>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</si>
  <si>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</si>
  <si>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</si>
  <si>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</si>
  <si>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</si>
  <si>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</si>
  <si>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</si>
  <si>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</si>
  <si>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</si>
  <si>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This is the total of non renewable electrical energy (expressed as GJ) purchased from a grid that is consumed for site operations. Values are taken from supplier invoices that cover the time period in question.</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</si>
  <si>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</si>
  <si>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 xml:space="preserve">This is the energy used from either the direct fuel used or mileage traveled by JM vehicles or JM employees in road vehicles when on company business. </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</si>
  <si>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</si>
  <si>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</si>
  <si>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</si>
  <si>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</si>
  <si>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</si>
  <si>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</si>
  <si>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</si>
  <si>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</si>
  <si>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Definition / Calculation methodology</t>
  </si>
  <si>
    <t>Significant fines during the year</t>
  </si>
  <si>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</si>
  <si>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2025</t>
    </r>
  </si>
  <si>
    <t>Employees</t>
  </si>
  <si>
    <t xml:space="preserve">Full time </t>
  </si>
  <si>
    <t>Part time</t>
  </si>
  <si>
    <t>Contractors</t>
  </si>
  <si>
    <t>Agency staff</t>
  </si>
  <si>
    <t>Employee Headcount by gender and region</t>
  </si>
  <si>
    <t>Percentage of female representation
2024/25</t>
  </si>
  <si>
    <t>Gender</t>
  </si>
  <si>
    <t>Female</t>
  </si>
  <si>
    <t>Male</t>
  </si>
  <si>
    <t>Not disclosed</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</si>
  <si>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</si>
  <si>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</si>
  <si>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</si>
  <si>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</si>
  <si>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</si>
  <si>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</si>
  <si>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</si>
  <si>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</si>
  <si>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</si>
  <si>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</si>
  <si>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</si>
  <si>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</si>
  <si>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</si>
  <si>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</si>
  <si>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</si>
  <si>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</si>
  <si>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</si>
  <si>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</si>
  <si>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target of &gt;40% female representation across all management levels by 2030</t>
    </r>
  </si>
  <si>
    <t>New recruits</t>
  </si>
  <si>
    <t>Employee Headcount by age</t>
  </si>
  <si>
    <t>Age</t>
  </si>
  <si>
    <t>Board members between 40-49 years of age</t>
  </si>
  <si>
    <t>-</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</si>
  <si>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</si>
  <si>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</si>
  <si>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</si>
  <si>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</si>
  <si>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</si>
  <si>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</si>
  <si>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</si>
  <si>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</si>
  <si>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</si>
  <si>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</si>
  <si>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Senior Management Headcount by ethnicity</t>
  </si>
  <si>
    <t>Number</t>
  </si>
  <si>
    <t>Percentage</t>
  </si>
  <si>
    <t>White British or other White (including minority-white groups)</t>
  </si>
  <si>
    <t>Mixed/Multiple Ethnic Groups</t>
  </si>
  <si>
    <t>Asian/Asian British</t>
  </si>
  <si>
    <t>Black/African/ Caribbean/Black British</t>
  </si>
  <si>
    <t>Other ethnic group, including Arab</t>
  </si>
  <si>
    <t>Not specified/ prefer not to say</t>
  </si>
  <si>
    <t>Board Members at a Glance</t>
  </si>
  <si>
    <t>Roles</t>
  </si>
  <si>
    <t>Chair</t>
  </si>
  <si>
    <t>Executive</t>
  </si>
  <si>
    <t>Non-Executive</t>
  </si>
  <si>
    <t>Chair and Non-Executive Directors' Tenure</t>
  </si>
  <si>
    <t>0-3 years</t>
  </si>
  <si>
    <t>4-6 years</t>
  </si>
  <si>
    <t>7-9 years</t>
  </si>
  <si>
    <t>Nationality</t>
  </si>
  <si>
    <t>British</t>
  </si>
  <si>
    <t>Irish</t>
  </si>
  <si>
    <t>German</t>
  </si>
  <si>
    <t>US Citizen</t>
  </si>
  <si>
    <t>Ethnicity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</si>
  <si>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</si>
  <si>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</si>
  <si>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</si>
  <si>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</si>
  <si>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</si>
  <si>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</si>
  <si>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</si>
  <si>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</si>
  <si>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</si>
  <si>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</si>
  <si>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</si>
  <si>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</si>
  <si>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</si>
  <si>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</si>
  <si>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</si>
  <si>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</si>
  <si>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</si>
  <si>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</si>
  <si>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</si>
  <si>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</si>
  <si>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</si>
  <si>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</si>
  <si>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</si>
  <si>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Living Wage</t>
  </si>
  <si>
    <t>Percentage of direct employees covered by a living wage benchmarking analysis</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</si>
  <si>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</si>
  <si>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</si>
  <si>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</si>
  <si>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</si>
  <si>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</si>
  <si>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</si>
  <si>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</si>
  <si>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</si>
  <si>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</si>
  <si>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</si>
  <si>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</si>
  <si>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</si>
  <si>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</si>
  <si>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Anti Bribery and Corruption Course</t>
  </si>
  <si>
    <t>Competition Law Training Course</t>
  </si>
  <si>
    <t>Human Rights Training Course</t>
  </si>
  <si>
    <t>Diversity, Belonging and Inclusion Training?</t>
  </si>
  <si>
    <t>Lifesaving Policy training</t>
  </si>
  <si>
    <t>Cybersecurity Training Course</t>
  </si>
  <si>
    <t xml:space="preserve">Employee engagement </t>
  </si>
  <si>
    <t>Participation rate</t>
  </si>
  <si>
    <t>No survey</t>
  </si>
  <si>
    <t>Employee Engagement Score using Korn Ferry</t>
  </si>
  <si>
    <t>Employee Engagement Score using Workday Peakon</t>
  </si>
  <si>
    <t>Latest Pulse survey</t>
  </si>
  <si>
    <t>Chief Executive Officer single figure</t>
  </si>
  <si>
    <t>£3,051,191</t>
  </si>
  <si>
    <t>£2,589,900</t>
  </si>
  <si>
    <t>£2,646,222</t>
  </si>
  <si>
    <t>£1,672,000</t>
  </si>
  <si>
    <t>£2,532,000</t>
  </si>
  <si>
    <t>£1,462,000</t>
  </si>
  <si>
    <t>Upper quartile</t>
  </si>
  <si>
    <t>27:1</t>
  </si>
  <si>
    <t>30:1</t>
  </si>
  <si>
    <t>20:1</t>
  </si>
  <si>
    <t>35:1</t>
  </si>
  <si>
    <t>22:1</t>
  </si>
  <si>
    <t>Median</t>
  </si>
  <si>
    <t>38:1</t>
  </si>
  <si>
    <t>42:1</t>
  </si>
  <si>
    <t>28:1</t>
  </si>
  <si>
    <t>45:1</t>
  </si>
  <si>
    <t>Lower quartile</t>
  </si>
  <si>
    <t>49:1</t>
  </si>
  <si>
    <t>53:1</t>
  </si>
  <si>
    <t>57:1</t>
  </si>
  <si>
    <t>36:1</t>
  </si>
  <si>
    <t>34:1</t>
  </si>
  <si>
    <t>32:1</t>
  </si>
  <si>
    <t>37:1</t>
  </si>
  <si>
    <t>26:1</t>
  </si>
  <si>
    <t>39:1</t>
  </si>
  <si>
    <t>47:1</t>
  </si>
  <si>
    <t>50:1</t>
  </si>
  <si>
    <t>29:1</t>
  </si>
  <si>
    <t>58:1</t>
  </si>
  <si>
    <t>60:1</t>
  </si>
  <si>
    <t>41:1</t>
  </si>
  <si>
    <t>63:1</t>
  </si>
  <si>
    <t>Total pay for individuals</t>
  </si>
  <si>
    <t>£89,167</t>
  </si>
  <si>
    <t>£80,832</t>
  </si>
  <si>
    <t>£72,086</t>
  </si>
  <si>
    <t>£65,453</t>
  </si>
  <si>
    <t>£65,325</t>
  </si>
  <si>
    <t>£66,873</t>
  </si>
  <si>
    <t>£65,339</t>
  </si>
  <si>
    <t>£61,082</t>
  </si>
  <si>
    <t>£54,458</t>
  </si>
  <si>
    <t>£49,618</t>
  </si>
  <si>
    <t>£51,039</t>
  </si>
  <si>
    <t>£50,771</t>
  </si>
  <si>
    <t>£52,948</t>
  </si>
  <si>
    <t>£49,161</t>
  </si>
  <si>
    <t>£44,108</t>
  </si>
  <si>
    <t>£40,301</t>
  </si>
  <si>
    <t>£40,377</t>
  </si>
  <si>
    <t>£40,029</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</si>
  <si>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</si>
  <si>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</si>
  <si>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</si>
  <si>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</si>
  <si>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</si>
  <si>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</si>
  <si>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</si>
  <si>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</si>
  <si>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</si>
  <si>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</si>
  <si>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</si>
  <si>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</si>
  <si>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</si>
  <si>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</si>
  <si>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</si>
  <si>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</si>
  <si>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</si>
  <si>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</si>
  <si>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</si>
  <si>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</si>
  <si>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</si>
  <si>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</si>
  <si>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</si>
  <si>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</si>
  <si>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</si>
  <si>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</si>
  <si>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</si>
  <si>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</si>
  <si>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</si>
  <si>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</si>
  <si>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ICCA - Process Safety Event Severity Rate (PSESR)</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</si>
  <si>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</si>
  <si>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</si>
  <si>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</si>
  <si>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</si>
  <si>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</si>
  <si>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</si>
  <si>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</si>
  <si>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</si>
  <si>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</si>
  <si>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Speak Up reports 2024/25</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</si>
  <si>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</si>
  <si>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</si>
  <si>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</si>
  <si>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</si>
  <si>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</si>
  <si>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</si>
  <si>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</si>
  <si>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</si>
  <si>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</si>
  <si>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</si>
  <si>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Conflict of interest</t>
  </si>
  <si>
    <t xml:space="preserve">Business and financial reporting </t>
  </si>
  <si>
    <t>Discrimination, Harrassments, Bullying and Retaliation</t>
  </si>
  <si>
    <t>Discrimination, including harassment and retaliation</t>
  </si>
  <si>
    <t>Competition / anti-trust</t>
  </si>
  <si>
    <t>Computer, email and internet use</t>
  </si>
  <si>
    <t>Employee Rights</t>
  </si>
  <si>
    <t>Employee rights</t>
  </si>
  <si>
    <t>Confidential information and intellectual property</t>
  </si>
  <si>
    <t>Competition/Anti-Trust</t>
  </si>
  <si>
    <t>Enquiry</t>
  </si>
  <si>
    <t>Environmental Protection, Product Stewardship or Health and Safety</t>
  </si>
  <si>
    <t>Environmental protection, product stewardship or health and safety</t>
  </si>
  <si>
    <t>Discrimination including harassment and retaliation</t>
  </si>
  <si>
    <t>Disclosure or Misappropriation of Confidential Information</t>
  </si>
  <si>
    <t>Financial crime</t>
  </si>
  <si>
    <t>Violence, Threats or Security</t>
  </si>
  <si>
    <t>Insider trading, financial reporting and other securities violations</t>
  </si>
  <si>
    <t>Other or general enquiry</t>
  </si>
  <si>
    <t>Other</t>
  </si>
  <si>
    <t>Theft or Misuse of Assets</t>
  </si>
  <si>
    <t>Theft or misuse of assets</t>
  </si>
  <si>
    <t>Insider trading</t>
  </si>
  <si>
    <t>Fraud, money laundering and embezzlement</t>
  </si>
  <si>
    <t>Fraud</t>
  </si>
  <si>
    <t>Trade and export controls</t>
  </si>
  <si>
    <t>Misconduct or inappropriate behaviour</t>
  </si>
  <si>
    <t>Protection of Privacy and Personal Data, and Security of Network and Information Systems</t>
  </si>
  <si>
    <t>Protection of Privacy &amp; Personal Data, Network Security</t>
  </si>
  <si>
    <t>Policy Violation</t>
  </si>
  <si>
    <t>Retaliation</t>
  </si>
  <si>
    <t>Physical assets</t>
  </si>
  <si>
    <t>Substance abuse</t>
  </si>
  <si>
    <t>Theft</t>
  </si>
  <si>
    <t>Violence or threats</t>
  </si>
  <si>
    <t>Recommendations following closed investigated reports in 2024/25</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</si>
  <si>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</si>
  <si>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</si>
  <si>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</si>
  <si>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</si>
  <si>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</si>
  <si>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</si>
  <si>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</si>
  <si>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</si>
  <si>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</si>
  <si>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</si>
  <si>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</si>
  <si>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</si>
  <si>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</si>
  <si>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</si>
  <si>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</si>
  <si>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</si>
  <si>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</si>
  <si>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</si>
  <si>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</si>
  <si>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</si>
  <si>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</si>
  <si>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</si>
  <si>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</si>
  <si>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</si>
  <si>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</si>
  <si>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</si>
  <si>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</si>
  <si>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</si>
  <si>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</si>
  <si>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t>Supplier screening using EcoVadis IQ</t>
  </si>
  <si>
    <t>Suppliers for 
2024/25</t>
  </si>
  <si>
    <t>Suppliers for
2023/24</t>
  </si>
  <si>
    <t>Total number of suppliers assessed</t>
  </si>
  <si>
    <t>Total % of procurement spend with assessed suppliers</t>
  </si>
  <si>
    <t>--</t>
  </si>
  <si>
    <r>
      <rPr>
        <sz val="12"/>
        <color rgb="FF000000"/>
        <rFont val="Verdana"/>
        <family val="2"/>
      </rPr>
      <t xml:space="preserve">Total number of suppliers rated </t>
    </r>
    <r>
      <rPr>
        <b/>
        <sz val="12"/>
        <color rgb="FF000000"/>
        <rFont val="Verdana"/>
        <family val="2"/>
      </rPr>
      <t>High Overall Risk</t>
    </r>
  </si>
  <si>
    <r>
      <rPr>
        <sz val="12"/>
        <color rgb="FF000000"/>
        <rFont val="Verdana"/>
        <family val="2"/>
      </rPr>
      <t xml:space="preserve">Total % of procurement spend with suppliers rated </t>
    </r>
    <r>
      <rPr>
        <b/>
        <sz val="12"/>
        <color rgb="FF000000"/>
        <rFont val="Verdana"/>
        <family val="2"/>
      </rPr>
      <t>High Overall Risk</t>
    </r>
  </si>
  <si>
    <r>
      <rPr>
        <sz val="12"/>
        <color rgb="FF000000"/>
        <rFont val="Verdana"/>
        <family val="2"/>
      </rPr>
      <t xml:space="preserve">Total number of suppliers with a </t>
    </r>
    <r>
      <rPr>
        <b/>
        <sz val="12"/>
        <color rgb="FF000000"/>
        <rFont val="Verdana"/>
        <family val="2"/>
      </rPr>
      <t>Very High Overall Risk</t>
    </r>
  </si>
  <si>
    <t>Total number of suppliers from the previous year with a risk mitigation action plan</t>
  </si>
  <si>
    <t>Total % of suppliers from the previous year with high or very high risk for Labour &amp; Human Rights with a risk mitigation action plan</t>
  </si>
  <si>
    <t>Total procurement spend (%) 2024/25</t>
  </si>
  <si>
    <t>Total procurement spend (%) 2023/24</t>
  </si>
  <si>
    <t>Total procurement spend (%) 2022/23</t>
  </si>
  <si>
    <t>Total procurement spend (%) 2021/22</t>
  </si>
  <si>
    <t>Suppliers with a valid EcoVadis medal</t>
  </si>
  <si>
    <t>Suppliers with a valid EcoVadis rating below medal achieving score</t>
  </si>
  <si>
    <t>Suppliers without a valid EcoVadis rating, have declined to share their rating or we have not yet requested it</t>
  </si>
  <si>
    <t>Supplier screening for conflict minerals - cobalt, tin, tungsten, tantalum, and gold (3TGs)</t>
  </si>
  <si>
    <t>Total number of suppliers assessed for 3TGs (CMRT)</t>
  </si>
  <si>
    <t>Total number of conformant 3TG suppliers (&gt;75% supply chain coverage)</t>
  </si>
  <si>
    <t>Total number of non-conformant 3TG suppliers with sufficient risk mitigation policies*</t>
  </si>
  <si>
    <t>% of JM 3TG supply chain represented by Conflict Mineral Supplier Screening</t>
  </si>
  <si>
    <t>&gt;90%</t>
  </si>
  <si>
    <t>Total number of suppliers assessed for cobalt (EMRT)</t>
  </si>
  <si>
    <t>Total number of conformant cobalt suppliers (&gt;75% supply chain coverage)</t>
  </si>
  <si>
    <t>Total number of non-conformant cobalt suppliers with sufficient risk mitigation policies*</t>
  </si>
  <si>
    <t>% of JM cobalt supply chain represented by Conflict Mineral Supplier Screening</t>
  </si>
  <si>
    <r>
      <rPr>
        <b/>
        <sz val="20"/>
        <color theme="7"/>
        <rFont val="Verdana"/>
        <family val="2"/>
      </rPr>
      <t>People</t>
    </r>
    <r>
      <rPr>
        <b/>
        <sz val="20"/>
        <color rgb="FF0000CC"/>
        <rFont val="Verdana"/>
        <family val="2"/>
      </rPr>
      <t xml:space="preserve">
</t>
    </r>
    <r>
      <rPr>
        <b/>
        <sz val="20"/>
        <color rgb="FF1E22AA"/>
        <rFont val="Verdana"/>
        <family val="2"/>
      </rPr>
      <t>Product Stewardship</t>
    </r>
  </si>
  <si>
    <t>The nature of the complex chemistry in our products and manufacturing processes means that we sometimes have to use chemicals that are potentially hazardous due to their physico-chemical, toxicological and ecotoxicological properties. JM’s product stewardship processes, and our commitment to Responsible Care®, a global initiative of the chemical industry, are central to ensuring our products should not pose any risk to humans or the environment when used responsibly and as intended. In addition, we continuously work to identify opportunities to further improve the safety and sustainability of our product portfolio through, for example, evaluating if more hazardous components can be substituted with safer technically equivalent chemistries. 
We maintain a database of environmental, health, safety and regulatory data for all of our substances and products. This underpins our programmes to maintain compliance with applicable global chemicals regulations (e.g. TSCA in the United States, REACH and REACH-like regulations in the EU, UK, Turkey, South Korea and China) as well as the provision of hazard communication to our customers in the form of safety data sheets in the required language(s). In the event of an incident with a JM product, a 24-hour global emergency response telephone service is in place to provide safety information in the local language. We continue to comply with all applicable health and safety, labelling and marketing regulations, and voluntary codes.</t>
  </si>
  <si>
    <t>GRI 416-1</t>
  </si>
  <si>
    <t xml:space="preserve">Percentage of significant product and service categories for which health and safety impacts are assessed for improvement. </t>
  </si>
  <si>
    <r>
      <t xml:space="preserve">Note: </t>
    </r>
    <r>
      <rPr>
        <sz val="10"/>
        <color theme="1"/>
        <rFont val="Verdana"/>
        <family val="2"/>
      </rPr>
      <t>Data reflects evaluation of product and service categories, predominantly in R&amp;D; Manufacturing and production; Disposal, reuse, or recycling phases of the life cycle.</t>
    </r>
  </si>
  <si>
    <t>GRI 416-2</t>
  </si>
  <si>
    <t>Incidents of non-compliance concerning the health and safety impacts of products and services</t>
  </si>
  <si>
    <r>
      <t xml:space="preserve">Note: </t>
    </r>
    <r>
      <rPr>
        <sz val="10"/>
        <color theme="1"/>
        <rFont val="Verdana"/>
        <family val="2"/>
      </rPr>
      <t>None of the twelve Speak Ups in the Ethics and Compliance tab under 'Environmental Protection, Product Stewardship or Health and Safety' related to Disclosure 416-2</t>
    </r>
  </si>
  <si>
    <t>GRI 417-1b</t>
  </si>
  <si>
    <t xml:space="preserve">Percentage of significant product and service categories covered by and assessed for compliance with procedures for product and service information labelling. </t>
  </si>
  <si>
    <t>GRI 417-2</t>
  </si>
  <si>
    <t>Incidents of non-compliance concerning product and service information and labeling</t>
  </si>
  <si>
    <r>
      <t xml:space="preserve">Note: 
</t>
    </r>
    <r>
      <rPr>
        <sz val="10"/>
        <color theme="1"/>
        <rFont val="Verdana"/>
        <family val="2"/>
      </rPr>
      <t>None of the twelve Speak Ups in the Ethics and Compliance tab under 'Environmental Protection, Product Stewardship or Health and Safety' related to Disclosure 417-2</t>
    </r>
  </si>
  <si>
    <t>SASB (RT-CH-410c.1)</t>
  </si>
  <si>
    <t>Biocatalyst &amp; chiral products</t>
  </si>
  <si>
    <t>% of sales</t>
  </si>
  <si>
    <t>&lt;0.1</t>
  </si>
  <si>
    <r>
      <rPr>
        <b/>
        <sz val="10"/>
        <color theme="1"/>
        <rFont val="Verdana"/>
        <family val="2"/>
      </rPr>
      <t xml:space="preserve">Notes:
</t>
    </r>
    <r>
      <rPr>
        <sz val="10"/>
        <color theme="1"/>
        <rFont val="Verdana"/>
        <family val="2"/>
      </rPr>
      <t>JM does not supply products that contain GMOs. 
The biocatalyst and chiral alcohol products we manufacture do not contain live organisms at the point of supply to our customers. Manufacture of these products requires the use of genetically modified organisms.</t>
    </r>
  </si>
  <si>
    <t>Basis of Reporting</t>
  </si>
  <si>
    <t>Calculation Methodology</t>
  </si>
  <si>
    <t>This is our operational GHG footprint using the Scope 1 emissions and the market based Scope 2 emissions as stated above.</t>
  </si>
  <si>
    <t>DEFRA’s GHG reporting conversion factors 2024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</si>
  <si>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model.</t>
  </si>
  <si>
    <t>Where GHG footprints were available from waste service providers they were used, otherwise DEFRA’s GHG reporting conversion factors 2024 were used according to mass of waste disposal by destination</t>
  </si>
  <si>
    <t>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t>
  </si>
  <si>
    <t>Data is obtained through an annual employee survey of distance travelled per week by modes of transport. DEFRA’s GHG reporting conversion factors 2024 are used to calculate the GHG intensity of each transport type</t>
  </si>
  <si>
    <t>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t>
  </si>
  <si>
    <t>Given no visibility of the end-of-life treatment/use of JM products, the mass of sold products has been mapped against an emission factor associated with the recycling of PGMs to retain the precious metals, with remainder mass associated with GHG emissions for landfill activities.</t>
  </si>
  <si>
    <t>JM does not have any franchises.</t>
  </si>
  <si>
    <t>GHG intensity factors from our Pensions trustee providers were used and applied to pension-related financials. Due to missing data JM’s from joint ventures’ emissions, historical JM data for the divested business was used as a substitute.</t>
  </si>
  <si>
    <t>This is wastewater that is returned to its original source and is of equal or higher quality than the water that was originally extracted. In JM we only consider water returned to fresh surface water (lakes, rivers etc) or fresh ground water for this indicator.</t>
  </si>
  <si>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</si>
  <si>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</si>
  <si>
    <t>Our methodology for calculating avoided GHG emissions was developed in-house and independently verified by EcoActTM for all product families contributing towards our target to ensure it complies with industry best practice. EcoAct concluded that our approach complied with recognised public guidelines and considered our calculations to be both fairly stated and representative of a balanced view of our contribution in enabling avoided emissions through relevant technologies. EcoAct also determined that our calculations follow industry best practice for measurement. Their full statement is available on request. For each qualifying JM technology solution, we first determine its functional unit. The functional unit is used to determine the boundary of the analysis, to ensure that the scope of the calculation covers the relevant life-cycle stages leading to the avoided emissions. Performance comparisons for our technology solution scenario are then made against identified reference scenarios, which represent current day, conventional technologies dominant in the market, which our emerging technologies are seeking to improve upon.</t>
  </si>
  <si>
    <t>This is a measurement of all % recycled platinum group metals in our manufactured goods on a mass basis. We include use of five PGMs – platinum, palladium, rhodium, ruthenium and iridium in our target. This is defined as the weighted global average of all PGM sponge used to manufacture goods in our plants over the course of the reporting year and includes metal that is both sourced and funded by JM and metal sourced and funded by our customers. We define primary metal as metal from a mine or originating outside of the refining loop. This is measured by recording the amount of metal matching this description that has been used in product manufacturing over the given time-period.We define secondary or recycled metal as platinum-group metal-bearing material that has come from an end use (including post-consumer product scrap and waste materials) and has not come to JM in the form of ingot, concentrate or matte directly from a mining process. This makes up the balance of metal that has been used in product manufacturing over the given time-period. Refining “intake” figures are based on estimated assays, based on the scrap etc that is sent in from customers and sampled, prior to the Refining process. The assay amounts are finalised throughout the year, and adjustments are periodically made to the reporting figures to account for any differences between the original estimated numbers vs. the final numbers.</t>
  </si>
  <si>
    <t>Lost Time Case</t>
  </si>
  <si>
    <t>Lost Time Case is a work-related injury or illness case that requires an employee to spend one or more full days away from work other than the day of injury or illness</t>
  </si>
  <si>
    <t>A Tier 1 Process Safety Event (T-1 PSE) is a loss of primary containment (LOPC) with the greatest consequence as defined by American Petroleum Institute recommended practice (RP) 754</t>
  </si>
  <si>
    <t>Total recordable injury and illness rate (TRIIR) is defined as the number of recordable cases per 200,000 hours worked in a rolling year and includes cases affecting both our employees and contractors.
A recordable case (as defined under the US Occupational Safety and Health Administration (OSHA) Regulations) is defined as a work related accident or illness that results in one or more of the following: absence of more than one day; medical treatment beyond first aid; death; loss of consciousness and restricted work or transfer to another job.</t>
  </si>
  <si>
    <t>The process safety event severity rate (PSESR) is measured according to the methodology approved by International Council of Chemical Associations (ICCA). The metric first requires a determination that the event is to be included in the process safety event severity rate (PSESR) calculation and then determining the severity using the severity table. In determining this rate, 1 point is assigned for each Level 4 incident attribute, 3 points for each Level 3 attribute, 9 points for each Level 2 attribute, and 27 points for each Level 1 attribute. The PSESR is recorded as a 12 month rolling number. Total worker hours include employees, temporary employees and contractors. Theoretically, a process safety event could be assigned a minimum of 1 point (i.e. the incident meets the attributes of a Level 4 incident in only one category) or a maximum of 135 points (i.e. the incident meets the attributes of a Level 1 incident in each of the five categories).</t>
  </si>
  <si>
    <t>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All management levels refers to all employees whether they are a people manager or not, at a minimum compensation grade</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</si>
  <si>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</si>
  <si>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</si>
  <si>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</si>
  <si>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</si>
  <si>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</si>
  <si>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</si>
  <si>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</si>
  <si>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</si>
  <si>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</si>
  <si>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</si>
  <si>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</si>
  <si>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</si>
  <si>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</si>
  <si>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</si>
  <si>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</si>
  <si>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</si>
  <si>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</si>
  <si>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</si>
  <si>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</si>
  <si>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</si>
  <si>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</si>
  <si>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</si>
  <si>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</si>
  <si>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</si>
  <si>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</si>
  <si>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</si>
  <si>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</si>
  <si>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</si>
  <si>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</si>
  <si>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</si>
  <si>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</si>
  <si>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</si>
  <si>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</si>
  <si>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</si>
  <si>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</si>
  <si>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</si>
  <si>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</si>
  <si>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</si>
  <si>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</si>
  <si>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</si>
  <si>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</si>
  <si>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</si>
  <si>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</si>
  <si>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</si>
  <si>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</si>
  <si>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</si>
  <si>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</si>
  <si>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</si>
  <si>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</si>
  <si>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</si>
  <si>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</si>
  <si>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</si>
  <si>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</si>
  <si>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</si>
  <si>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</si>
  <si>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</si>
  <si>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</si>
  <si>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</si>
  <si>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</si>
  <si>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</si>
  <si>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</si>
  <si>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</si>
  <si>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</si>
  <si>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</si>
  <si>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</si>
  <si>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</si>
  <si>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</si>
  <si>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</si>
  <si>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</si>
  <si>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</si>
  <si>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</si>
  <si>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</si>
  <si>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</si>
  <si>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</si>
  <si>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</si>
  <si>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</si>
  <si>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</si>
  <si>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</si>
  <si>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</si>
  <si>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</si>
  <si>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</si>
  <si>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</si>
  <si>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</si>
  <si>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</si>
  <si>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</si>
  <si>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</si>
  <si>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</si>
  <si>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</si>
  <si>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</si>
  <si>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</si>
  <si>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</si>
  <si>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</si>
  <si>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</si>
  <si>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</si>
  <si>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</si>
  <si>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</si>
  <si>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</si>
  <si>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</si>
  <si>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</si>
  <si>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</si>
  <si>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</si>
  <si>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</si>
  <si>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</si>
  <si>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</si>
  <si>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</si>
  <si>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</si>
  <si>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</si>
  <si>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</si>
  <si>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</si>
  <si>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</si>
  <si>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</si>
  <si>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</si>
  <si>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</si>
  <si>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</si>
  <si>
    <t>Hazardous waste is waste that contains hazardous properties and if mismanaged has the potential to cause harm to the environment or humans.
In general, hazardous waste is material deemed hazardous under the terms of the Basel Convention Annex I, II, III, 179 and VIII. 
Reused waste is that waste that can be reused in its original or some other purpose without any modification to the waste material.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t>
  </si>
  <si>
    <t>Hazardous waste is waste that contains hazardous properties and if mismanaged has the potential to cause harm to the environment or humans.
In general, hazardous waste is material deemed hazardous under the terms of the Basel Convention Annex I, II, III, 179 and VIII. 
Landfill is considered as disposal by burying waste underground at a licensed / authorised facility external to JM.</t>
  </si>
  <si>
    <t>Hazardous waste is waste that contains hazardous properties and if mismanaged has the potential to cause harm to the environment or humans.
In general, hazardous waste is material deemed hazardous under the terms of the Basel Convention Annex I, II, III, 179 and VIII. 
This category counts waste that is sent offsite from JM to a third party facility that is licensed and authorised to incinerate waste materials. The incineration process will give rise to waste heat that is recovered for reuse as heat or to generate electricity. and is incinerated as the method of disposal</t>
  </si>
  <si>
    <t xml:space="preserve">Hazardous waste is waste that contains hazardous properties and if mismanaged has the potential to cause harm to the environment or humans.
In general, hazardous waste is material deemed hazardous under the terms of the Basel Convention Annex I, II, III, 179 and VIII.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</si>
  <si>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Hazardous waste is waste that contains hazardous properties and if mismanaged has the potential to cause harm to the environment or humans.
In general, hazardous waste is material deemed hazardous under the terms of the Basel Convention Annex I, II, III, 179 and VIII. 
This is the total waste sent from the JM site for reuse, recycling incineration with energy recovery, incineration / treatment without energy recover or landfilling. This is a sum of the above total hazardous waste indicators.</t>
  </si>
  <si>
    <t>This represents the percentage of JM operational production sites reporting NOx values.</t>
  </si>
  <si>
    <t>This represents the percentage of JM operational production sites reporting SOx values.</t>
  </si>
  <si>
    <t>This represents the percentage of JM operational production sites reporting VOCs values.</t>
  </si>
  <si>
    <t>A solid waste is any item that is transported in a skip or similar container that cannot be poured. The total solid waste is the total of all solid hazardous and non hazardous waste sent offsite by JM.</t>
  </si>
  <si>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</si>
  <si>
    <t xml:space="preserve">A solid waste is any item that is transported in a skip or similar container that cannot be poured. This represents the total hazardous and non hazardous waste sent offsite by JM for reuse or recycling. </t>
  </si>
  <si>
    <t>ARA2024 p.43
SPD Environment tab</t>
  </si>
  <si>
    <t>To the best of our knowledge we do not have any locations in or near biodiversity sensitive areas as defined by Appendix D of Annex II to Commission Delegated Regulation (EU) 2021/2139</t>
  </si>
  <si>
    <t>1126.1 GWh covering all JM operations</t>
  </si>
  <si>
    <t xml:space="preserve">
Non-renewable energy consumption is 73% of total energy consumption</t>
  </si>
  <si>
    <t>Total Scope 1 and 2 GHG emissions (location-based)</t>
  </si>
  <si>
    <t>Supplier screening using EcoVadis ratings</t>
  </si>
  <si>
    <t>Rights of indigeeous peoples</t>
  </si>
  <si>
    <t>Labour/Management relations</t>
  </si>
  <si>
    <t>GRI 410: Security pracitces 2016</t>
  </si>
  <si>
    <t>This is our operational GHG footprint using the Scope 1 emissions and the Scope 2 market-based emissions as stated above.</t>
  </si>
  <si>
    <t>Scope 1 emissions are the direct emissions from our sites and come from a number of sources. 
Scope 1 emissions are emitted following combustion of fuels at our sites. This encompasses any fuels we consume in our operations (e.g. natural gas, LPG, Diesel etc).  
We also emit GHG directly from our processes which comprise of CO2 or CO2 equivalents.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t>
  </si>
  <si>
    <t xml:space="preserve">Scope 2 emissions are indirect emissions associated with our electricity and steam energy that we import onto site, energy that has not been generated by Johnson Matthey burning fuel, and thereby reported in the scope 1 emissions section above.  
The location-based Greenhouse Gas emission factor for grid electricity uses the carbon intensity from the location of the purchase and is sourced from the most up to date factors from eGrid (USA) DEFRA (UK) and IEA (rest of World). </t>
  </si>
  <si>
    <t xml:space="preserve">This is the total Scope 1 emissions and  Scope 2 market-based emissions, as stated above, against the weight of products sold. </t>
  </si>
  <si>
    <t>(current year - previous year)/(previous year ) 
for example  (2024/25 # - 2023/24 #)/(2023/24 #)</t>
  </si>
  <si>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</si>
  <si>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</si>
  <si>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amount of renewable energy (expressed in kWh) supplied to site or generated on site for use in our operations. The energy is certified renewable or is purchased as a renewable supply.</t>
  </si>
  <si>
    <t>Where mass of purchased goods was available, this was used in combination with GHG intensity factors obtained either from suppliers or EcoInvent. For the remaining purchased goods and services a financial allocation (EEIO model) was used.</t>
  </si>
  <si>
    <t>Financial allocation (EEIO model) using geographical breakdown of data shown in Accounting note 11 “Property, plant and equipment” on page 148 of ARA2025.</t>
  </si>
  <si>
    <t>Activity-based secondary emission factors were used on floor space and geographical data.</t>
  </si>
  <si>
    <t>Total Scope 3 GHG emissions.</t>
  </si>
  <si>
    <t>This indicator equates to the net fresh water usage indicator as per the DJSI reporting criteria. 
This equates to the fresh water taken into site from mains, surface and ground water which is adjusted for any water that is returned to fresh surface or ground water.</t>
  </si>
  <si>
    <t>Scope 2 emissions are indirect emissions associated with our electricity and steam energy that we import onto site, energy that has not been generated by Johnson Matthey burning fuel, and thereby reported in the scope 1 emissions section above.  
The market-based Greenhouse Gas emission factors for grid electricity from suppliers that the site / business unit has purposefully chosen. This is the carbon intensity of purchased electricity. These are obtained in writing direct from the supplier.</t>
  </si>
  <si>
    <r>
      <t xml:space="preserve">This is the total amount of renewable electricity supplied to site or generated on site as a percentage of the total electricity used by JM. </t>
    </r>
    <r>
      <rPr>
        <sz val="10"/>
        <rFont val="Verdana"/>
        <family val="2"/>
      </rPr>
      <t>The total amount includes non renewable electricity generated by JM on our own sites as well as all electricity supplied to JM through grid or direct connection.</t>
    </r>
  </si>
  <si>
    <t>This is the Chemical Oxygen Demand (COD) of the wastewater that JM discharges from site. COD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</si>
  <si>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Chief Executive Officer to employee pay ratio including employee bonus payable</t>
  </si>
  <si>
    <t>Chief Executive Officer to employee pay ratio excluding employee bonus payable</t>
  </si>
  <si>
    <t>This indicator equates to the net fresh water usage indicator as per the DJSI reporting criteria in areas that are rated as "high" or "extremely high" baseline water stress under the WRI Aqueduct model. 
This equates to the fresh water taken into site from mains, fresh surface water and fresh ground water. This is then adjusted for any water that is returned at the same or at higher quality to fresh surface water or fresh ground water.
The JM facility coordinates are entered into the WRI Aqueduct model and the baseline water stress is calculated. Baseline water stress measures the ratio of total water withdrawals to available renewable surface water and ground 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</si>
  <si>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This is the total waste that is recycled or reused. Total waste represents both liquid and solid waste. Total waste includes both hazardous and non hazardous waste.
Reused waste is waste that can be reused for its original purpose or some other purpose without any modification to the waste material.
Recycling means any operation whereby recovered waste materials are reprocessed into products, materials or substances whether for the original purpose or some other purpose. It includes the reprocessing of organic material but does not include energy recovery and the reprocessing into materials that are to be used as fuels or for backfilling operations.</t>
  </si>
  <si>
    <t>This is the total waste that is recycled  or reused. Total waste represents both liquid and solid waste. Total waste includes both hazardous and non hazardous waste.
Landfill is considered as disposal by burying waste underground at a licensed / authorised facility external to JM.</t>
  </si>
  <si>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</si>
  <si>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</si>
  <si>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recovery or landfilling.</t>
  </si>
  <si>
    <t>ARA p.140-141</t>
  </si>
  <si>
    <t xml:space="preserve">&lt; 4% </t>
  </si>
  <si>
    <t>In 2024/25, JM revenue that aligns with SASB products designed for use phase efficiency were £0.68 billion (with sales excluding precious metals as £3.47 billion) compared with £0.83 billion in 2023/24  (with sales excluding precious metals as £3.90 billion).</t>
  </si>
  <si>
    <t>ARA p.28
SPD Environment tab</t>
  </si>
  <si>
    <r>
      <t>1) Total energy consumed, (2) percentage grid electricity, (3) percentage renewable, (4) total self-generated energy</t>
    </r>
    <r>
      <rPr>
        <vertAlign val="superscript"/>
        <sz val="10"/>
        <rFont val="Verdana"/>
        <family val="2"/>
      </rPr>
      <t>1</t>
    </r>
  </si>
  <si>
    <t xml:space="preserve">JM currently operates in the UK and Europe where emission trading schemes (ETS) applicable to Scope 1 emissions are in place. Following recent investment to improve boiler efficiency at one of our sites, which then subsequently fell out of the UK ETS scheme, there are currently no JM sites that are obligated under the UK ETS or under the EU ETS. </t>
  </si>
  <si>
    <t>Local suppliers</t>
  </si>
  <si>
    <r>
      <t xml:space="preserve">Total % of procurement spend with suppliers rated </t>
    </r>
    <r>
      <rPr>
        <b/>
        <sz val="12"/>
        <color rgb="FF000000"/>
        <rFont val="Verdana"/>
        <family val="2"/>
      </rPr>
      <t>Very</t>
    </r>
    <r>
      <rPr>
        <sz val="12"/>
        <color rgb="FF000000"/>
        <rFont val="Verdana"/>
        <family val="2"/>
      </rPr>
      <t xml:space="preserve"> </t>
    </r>
    <r>
      <rPr>
        <b/>
        <sz val="12"/>
        <color rgb="FF000000"/>
        <rFont val="Verdana"/>
        <family val="2"/>
      </rPr>
      <t>High Overall Risk</t>
    </r>
  </si>
  <si>
    <t>Confidentiality constraints</t>
  </si>
  <si>
    <t>ARA p.128, 188-190, 191</t>
  </si>
  <si>
    <t>ARA p.128, 191, 200</t>
  </si>
  <si>
    <t>ARA p.191
SPD Home tab
SPD Health and Safety tab
SPD Environment tab</t>
  </si>
  <si>
    <t>ARA p.112-121, 196-198</t>
  </si>
  <si>
    <t>ARA p.1-7</t>
  </si>
  <si>
    <t>ARA p.56-61</t>
  </si>
  <si>
    <t>ARA p.56, 67-69</t>
  </si>
  <si>
    <t>ARA p.56, 58, 61</t>
  </si>
  <si>
    <t>ARA p.36-37, 56-61, 65-66, 82</t>
  </si>
  <si>
    <t>ARA p.36-37, 62, 80-82</t>
  </si>
  <si>
    <t>ARA p.36-37, 61, 80-82</t>
  </si>
  <si>
    <t>ARA p.53, 89, 108</t>
  </si>
  <si>
    <t>ARA p.61, 80-82
SPD Ethics and Compliance tab</t>
  </si>
  <si>
    <t>ARA p.63</t>
  </si>
  <si>
    <t>ARA p.57-59</t>
  </si>
  <si>
    <t>ARA p.83-95</t>
  </si>
  <si>
    <t>ARA p.83-106</t>
  </si>
  <si>
    <t>ARA p.83-106
SPD People Tab</t>
  </si>
  <si>
    <t>ARA p.28, 32, 52-53</t>
  </si>
  <si>
    <t>ARA p.2-3</t>
  </si>
  <si>
    <t>ARA p.52-53</t>
  </si>
  <si>
    <t>Johnson Matthey Global Speak up policy</t>
  </si>
  <si>
    <t>Johnson Matthey Global Human Rights Policy</t>
  </si>
  <si>
    <t>JM Website - Collaboration</t>
  </si>
  <si>
    <t>ARA p. 65-66</t>
  </si>
  <si>
    <t>ARA p.92, 156
SPD People tab</t>
  </si>
  <si>
    <t>ARA p.26, 192</t>
  </si>
  <si>
    <t>ARA p.26, 192
SPD Material Topics tab</t>
  </si>
  <si>
    <t>ARA p.36-42, 128-190</t>
  </si>
  <si>
    <t>ARA p.128-190</t>
  </si>
  <si>
    <t>ARA p.36-42</t>
  </si>
  <si>
    <t>Performance data covers all sites that are under the financial control of the group, including all manufacturing, research and warehousing operations of Johnson Matthey Plc and its subsidiaries. Joint ventures where we have a minority share are not included.
For the purposes of reporting, separate businesses resident at the same location are counted as separate sites. Data from 59 sites was included in this databook: 35 are manufacturing sites, 12 are R&amp;D sites and 12 are offices. Data from new facilities is included from the point at which the facility becomes owned by JM and operational.</t>
  </si>
  <si>
    <t>This Sustainability Performance Databook (SPD) outlines Johnson Matthey's key non-financial performance information and is published alongside our Annual Report to complement the business and financial information to provide stakeholders with a complete picture of our environmental, social and governance (ESG) impacts in 2024/25.
We take a strategic approach to embedding sustainability into everything we do. This approach is based on our understanding of the needs and demands of our stakeholders, combined with a focus on the topics that reflect our most significant ESG impacts.</t>
  </si>
  <si>
    <t xml:space="preserve">In 2024 we partnered with a third party to perform our first double materiality assessment. Double materiality in ESG means companies must consider both how ESG issues impact their business (financial materiality) and how their business impacts the environment and society (impact materiality). The process involved a thorough review of our sector and locations as well as gathering stakeholder opinions through interviewing our investors, customers, suppliers, leaders and subject matter experts inside and outside of JM. Our material topics were approved at the Societal Value Committee (SVC) meeting in October 2024.
</t>
  </si>
  <si>
    <t>Johnson Matthey Corporate Website - Engagement with Stakeholders</t>
  </si>
  <si>
    <t>Johnson Matthey Corporate Website - About Us</t>
  </si>
  <si>
    <t>SPD Ethics and Compliance tab</t>
  </si>
  <si>
    <t>ARA p.52 
SPD Environment tab
SPD Ethics and Compliance tab</t>
  </si>
  <si>
    <t>Johnson Matthey Corporate Website - Code of Ethics</t>
  </si>
  <si>
    <t>Johnson Matthey Corporate Website - Labour and Human Rights</t>
  </si>
  <si>
    <t>ARA p.83-85, 134, 156-157</t>
  </si>
  <si>
    <t>ARA p.143</t>
  </si>
  <si>
    <t>ARA p.26</t>
  </si>
  <si>
    <t>SPD Responsible Sourcing tab</t>
  </si>
  <si>
    <t>ARA p.26, 52-53</t>
  </si>
  <si>
    <t>ARA p.109</t>
  </si>
  <si>
    <t>ARA p.3, 14, 26-27, 30, 194</t>
  </si>
  <si>
    <t>ARA p.27, 30</t>
  </si>
  <si>
    <t>ARA p.3, 26-27, 28-29, 196-198</t>
  </si>
  <si>
    <t>ARA p.28-29
SPD Environment tab</t>
  </si>
  <si>
    <t>a. b. c.</t>
  </si>
  <si>
    <t>ARA p.26-27, 31, 194, 196-198</t>
  </si>
  <si>
    <t>ARA p.31
SPD Environment tab</t>
  </si>
  <si>
    <t>ARA p.12-13, 15-16, 26-29, 39-42, 192-193, 196-198</t>
  </si>
  <si>
    <t>ARA p.27-29, 44
SPD Environment tab</t>
  </si>
  <si>
    <t>Not applicable</t>
  </si>
  <si>
    <t>a. b. c. d.</t>
  </si>
  <si>
    <t>Johnson Matthey Nature Strategy statement</t>
  </si>
  <si>
    <t>a.</t>
  </si>
  <si>
    <t>a. b. c. d. e. f.</t>
  </si>
  <si>
    <t>ARA p.26
SPD Responsible Sourcing tab</t>
  </si>
  <si>
    <t>Johnson Matthey Corporate Website - Responsible Sourcing</t>
  </si>
  <si>
    <t>b. c. d. e.</t>
  </si>
  <si>
    <t>ARA p.26, 32-35</t>
  </si>
  <si>
    <t>Johnson Matthey Corporate Website - Rewards and Benefits</t>
  </si>
  <si>
    <t>ARA p.26, 32-35, 52</t>
  </si>
  <si>
    <t>ARA p.26-27, 32, 52, 195</t>
  </si>
  <si>
    <t>ARA p.32</t>
  </si>
  <si>
    <t>Johnson Matthey Corporate Website - Reward and Benefits</t>
  </si>
  <si>
    <t>ARA p.32, 65</t>
  </si>
  <si>
    <t>Johnson Matthey Corporate Website - People</t>
  </si>
  <si>
    <t>ARA p.32
SPD Health and Safety tab</t>
  </si>
  <si>
    <t>ARA p.26-27, 33-35, 68-69, 195</t>
  </si>
  <si>
    <t>ARA p.26-27, 33-35, 68-69, 195
SPD People tab</t>
  </si>
  <si>
    <t>ARA p.26, 92, 156-157</t>
  </si>
  <si>
    <t xml:space="preserve">
SPD People tab</t>
  </si>
  <si>
    <t>Johnson Matthey Modern Slavery Statement</t>
  </si>
  <si>
    <t>Johnson Matthey Corporate Website - Communities</t>
  </si>
  <si>
    <t>ARA p.39-42</t>
  </si>
  <si>
    <t>Johnson Matthey Corporate Website - Product Stewardship</t>
  </si>
  <si>
    <t>We do not specify if speak up cases are specifically related to customer privacy or customer loss of data</t>
  </si>
  <si>
    <t>Code of Ethics*</t>
  </si>
  <si>
    <t>Note: Training completion rates are not designed to tie in to year end hence completion rates may appear low.
*Targeted classroom training was also offered for those workers who do not have regular access to computers</t>
  </si>
  <si>
    <t>ARA p.32
SPD Health and safety tab</t>
  </si>
  <si>
    <t xml:space="preserve">We have in place Product Stewardship Standards (within the EHS management framework) covering restricted substance management (including chemicals of concern) and new product introduction. These standards require our businesses to review their existing portfolios and any new products being developed against ‘chemicals of concern’ listings and to identify opportunities to replace or reduce them in our operations and products. These requirements also cover the raw materials. JM maintains its own (limited) list of substances which we will not use or place on the market. We have not set formal targets in regards to the development of alternatives with reduced negative impact at this time.  </t>
  </si>
  <si>
    <t>ARA p.1, 188-190, 200, back cover</t>
  </si>
  <si>
    <t>ARA p.1, 7, 32-35, 146, 194-198
SPD People tab</t>
  </si>
  <si>
    <t>Please see ERM CVS' full assurance report on page 196-198 of our ARA 2025 for more details.</t>
  </si>
  <si>
    <t>ARA p.28-29, 44
SPD Environment tab</t>
  </si>
  <si>
    <t>We do not produce ozone-depleting
substances (ODS) through our operations,
however, any small leaks of refrigerant gases
are reported in our Scope 1 GHG emissions</t>
  </si>
  <si>
    <t>not disclosed as this is still work in progress</t>
  </si>
  <si>
    <t>not disclosed due to confidentiality around contracts</t>
  </si>
  <si>
    <t>Total % of procurement spend with local suppliers</t>
  </si>
  <si>
    <t>ARA p.26, 53</t>
  </si>
  <si>
    <t>ARA p.27-29</t>
  </si>
  <si>
    <t>Johnson Matthey Corporate Website - Sustainability</t>
  </si>
  <si>
    <t>ARA p.7, 27, 32
SPD Health and Safety tab</t>
  </si>
  <si>
    <t>ARA p.7, 26, 65</t>
  </si>
  <si>
    <t>ARA p.27, 31
SPD Environment tab</t>
  </si>
  <si>
    <t>ARA p.31, 41
SPD Environment tab</t>
  </si>
  <si>
    <t>ARA p.36-37</t>
  </si>
  <si>
    <t>ARA p.37-42</t>
  </si>
  <si>
    <t>ARA p.42</t>
  </si>
  <si>
    <t>ARA p.43</t>
  </si>
  <si>
    <t>ARA p.43-45</t>
  </si>
  <si>
    <t>ARA p.44
SPD Environment tab</t>
  </si>
  <si>
    <t>ARA p.57
SPD People tab</t>
  </si>
  <si>
    <t>To the best of our knowledge none of our product sales are used for/in controversial weapons</t>
  </si>
  <si>
    <t>We endeavour to create an environment where everyone who works for JM feels valued and actively encouraged to speak up about behaviour which may be unsafe, unethical or unlawful. Employees are able to speak up with their line manager, the Legal or Human Resources team or use our confidential third-party Speak Up helpline, which is available in local languages, by telephone or online. JM has a zero-tolerance approach to retaliation. 
All Speak Ups are thoroughly investigated by the Ethics &amp; Compliance team and/or independent investigators to determine whether the allegations can be proven, and any recommendations should be made. We have a zero-tolerance approach to unsafe, unethical and unlawful behaviour of any kind and will take disciplinary action, where appropriate, up to and including dismissal in the event of a breach of our Code of Ethics and associated policies. We analyse Speak Up metrics quarterly to identify key themes and significant trends and share these, together with action plans, with the Societal Value Committee and relevant senior leaders.
During FY2024/25 there were 147 Speak Ups, of which 4 related to bribery and corruption.  We do not tolerate bribery and corruption in any form, as set out in our Code of Ethics and anti-bribery and corruption policy. Even where allegations are not proven, an assessment is made to ensure the risk of bribery and corruption taking place in the future is properly mitigated. During the year no legal cases regarding bribery and corruption were brought against JM or its employees.
The data below represents our Speak Up reports.</t>
  </si>
  <si>
    <t>See our Supplier code of conduct | Johnson Matthey</t>
  </si>
  <si>
    <t xml:space="preserve">◦Emissions from Scope 3 Category 1 restated due to improvements and refinements in calculations for substrates and PGM emissions.
◦Emissions from Scope 3 Category 7 2023/24 emissions restated due to error correction.
◦Emissions from Scope 3 Category 8 restated due to improvements in methodology.
◦Emissions from Scope 3 Category 10 restated due to refinements in methodology.
◦Emissions from Scope 3 Category 12 restated due to refinements in methodology.
◦Emissions from Scope 3 Category 13 restated due to refinements in methodology.
◦Emissions from Scope 3 Category 15 restated due to improvements in methodology.
◦Upon further review of our water use at our Royston Site, a source of water that was added to our data last year was ultimately determined to be already counted. As such we have corrected the data and removed this source of double counted water from all data going back to the baseline year of 2019/20.  </t>
  </si>
  <si>
    <r>
      <t>tonnes CO</t>
    </r>
    <r>
      <rPr>
        <b/>
        <vertAlign val="subscript"/>
        <sz val="12"/>
        <rFont val="Verdana"/>
        <family val="2"/>
      </rPr>
      <t>2</t>
    </r>
    <r>
      <rPr>
        <b/>
        <sz val="12"/>
        <rFont val="Verdana"/>
        <family val="2"/>
      </rPr>
      <t>e/tonne sales</t>
    </r>
  </si>
  <si>
    <r>
      <t>tonnes CO</t>
    </r>
    <r>
      <rPr>
        <vertAlign val="subscript"/>
        <sz val="12"/>
        <rFont val="Verdana"/>
        <family val="2"/>
      </rPr>
      <t>2</t>
    </r>
    <r>
      <rPr>
        <sz val="12"/>
        <rFont val="Verdana"/>
        <family val="2"/>
      </rPr>
      <t>e/tonne sales</t>
    </r>
  </si>
  <si>
    <t xml:space="preserve">ERM Certification and Verification Services Limited (ERM CVS) were engaged to provide limited assurance of selected information. All information below has been independently assured by ERM CVS. </t>
  </si>
  <si>
    <r>
      <t xml:space="preserve">Please see ERM CVS' full assurance report on page 196-198 of our ARA 2025 and on the </t>
    </r>
    <r>
      <rPr>
        <u/>
        <sz val="11"/>
        <color theme="4"/>
        <rFont val="Calibri"/>
        <family val="2"/>
        <scheme val="minor"/>
      </rPr>
      <t>Basis of Reporting</t>
    </r>
    <r>
      <rPr>
        <sz val="11"/>
        <color theme="4"/>
        <rFont val="Calibri"/>
        <family val="2"/>
        <scheme val="minor"/>
      </rPr>
      <t xml:space="preserve"> tab for more details.</t>
    </r>
  </si>
  <si>
    <r>
      <t>Rebaseline statement: JM has updated the baseline data to take account of all businesses sold in the period from 1</t>
    </r>
    <r>
      <rPr>
        <vertAlign val="superscript"/>
        <sz val="12"/>
        <color theme="4"/>
        <rFont val="Verdana"/>
        <family val="2"/>
      </rPr>
      <t>st</t>
    </r>
    <r>
      <rPr>
        <sz val="12"/>
        <color theme="4"/>
        <rFont val="Verdana"/>
        <family val="2"/>
      </rPr>
      <t xml:space="preserve"> April 2019 through to 31</t>
    </r>
    <r>
      <rPr>
        <vertAlign val="superscript"/>
        <sz val="12"/>
        <color theme="4"/>
        <rFont val="Verdana"/>
        <family val="2"/>
      </rPr>
      <t>st</t>
    </r>
    <r>
      <rPr>
        <sz val="12"/>
        <color theme="4"/>
        <rFont val="Verdana"/>
        <family val="2"/>
      </rPr>
      <t xml:space="preserve"> March 2025. Data from the sold businesses have been removed from the rebaselined data set. Where JM has ceased operations voluntarily and sites have been closed then these data remain in the rebaselined data.</t>
    </r>
  </si>
  <si>
    <r>
      <t xml:space="preserve">For more information on our methodology, please see our Basis of Reporting on pages 191-195 of our Annual Report and Accounts 2025 and on the </t>
    </r>
    <r>
      <rPr>
        <u/>
        <sz val="11"/>
        <color theme="4"/>
        <rFont val="Verdana"/>
        <family val="2"/>
      </rPr>
      <t xml:space="preserve">Basis of Reporting </t>
    </r>
    <r>
      <rPr>
        <sz val="11"/>
        <color theme="4"/>
        <rFont val="Verdana"/>
        <family val="2"/>
      </rPr>
      <t>tab.</t>
    </r>
  </si>
  <si>
    <r>
      <t>m</t>
    </r>
    <r>
      <rPr>
        <b/>
        <vertAlign val="superscript"/>
        <sz val="12"/>
        <color theme="1"/>
        <rFont val="Verdana"/>
        <family val="2"/>
      </rPr>
      <t>3</t>
    </r>
  </si>
  <si>
    <r>
      <t>m</t>
    </r>
    <r>
      <rPr>
        <b/>
        <vertAlign val="superscript"/>
        <sz val="12"/>
        <color rgb="FF000000"/>
        <rFont val="Verdana"/>
        <family val="2"/>
      </rPr>
      <t>3</t>
    </r>
  </si>
  <si>
    <r>
      <t>000's m</t>
    </r>
    <r>
      <rPr>
        <b/>
        <vertAlign val="superscript"/>
        <sz val="12"/>
        <color theme="1"/>
        <rFont val="Verdana"/>
        <family val="2"/>
      </rPr>
      <t>3</t>
    </r>
  </si>
  <si>
    <r>
      <t>000's m</t>
    </r>
    <r>
      <rPr>
        <b/>
        <vertAlign val="superscript"/>
        <sz val="12"/>
        <rFont val="Verdana"/>
        <family val="2"/>
      </rPr>
      <t>3</t>
    </r>
  </si>
  <si>
    <r>
      <t>000's m</t>
    </r>
    <r>
      <rPr>
        <b/>
        <vertAlign val="superscript"/>
        <sz val="12"/>
        <rFont val="Verdana"/>
        <family val="2"/>
      </rPr>
      <t>3</t>
    </r>
    <r>
      <rPr>
        <b/>
        <sz val="12"/>
        <rFont val="Verdana"/>
        <family val="2"/>
      </rPr>
      <t xml:space="preserve"> / £Bn</t>
    </r>
  </si>
  <si>
    <r>
      <rPr>
        <sz val="11"/>
        <color theme="4"/>
        <rFont val="Verdana"/>
        <family val="2"/>
      </rPr>
      <t xml:space="preserve">The data below represents Johnson Matthey's People information as at 31st March 2025 (for 2024/25), unless otherwise stated, and is reported on the basis of our Basis of Reporting on page 191-195 of our Annual Report and Accounts 2025 and on the </t>
    </r>
    <r>
      <rPr>
        <u/>
        <sz val="11"/>
        <color theme="4"/>
        <rFont val="Verdana"/>
        <family val="2"/>
      </rPr>
      <t xml:space="preserve">Basis of Reporting </t>
    </r>
    <r>
      <rPr>
        <sz val="11"/>
        <color theme="4"/>
        <rFont val="Verdana"/>
        <family val="2"/>
      </rPr>
      <t>tab.</t>
    </r>
  </si>
  <si>
    <t>*To simplify identification of issues raised, consolidation has been made of some of the categories from 2021/22.</t>
  </si>
  <si>
    <t>We at Johnson Matthey believe that Community investment helps us to connect with each other and our local communities.</t>
  </si>
  <si>
    <t>In the past year, we strengthened our Responsible Sourcing programme through enhanced transparency, data-driven insights, and stakeholder engagement. We became a full member of Together for Sustainability (TfS), meeting all member requirements and aligning with industry-leading expectations. We continued to roll out our refreshed Supplier Code of Conduct, sharing it with all new suppliers and our highest-spend existing partners. Using EcoVadis and its EV-IQ module, we now have visibility into the sustainability performance of more than 500 suppliers and potential ESG risk for over 7,000 suppliers. As a result, valid EcoVadis medal coverage increased to 44%. We also mapped the emissions reduction plans of suppliers accounting for 78% of our FY24 Scope 3 Category 1 emissions (excluding PGMs) and established an FY26 target for primary emissions factor coverage. In parallel, we completed a supply chain-wide Conflict Minerals Reporting Template (CMRT) and Extended Minerals Reporting Template (EMRT) assessment, evaluating 29 suppliers for the sourcing of cobalt and tin, tungsten, tantalum, and gold (3TGs). Going forward, we will continue working to ensure that all suppliers with high risk rating for human rights meet our human rights standards and demonstrate continuous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</si>
</sst>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 numFmtId="174" formatCode="0.000%"/>
    <numFmt numFmtId="175" formatCode="0.0000%"/>
    <numFmt numFmtId="176" formatCode="_-* #,##0.000_-;\-* #,##0.000_-;_-* &quot;-&quot;??_-;_-@_-"/>
    <numFmt numFmtId="177" formatCode="0.000"/>
    <numFmt numFmtId="178" formatCode="0.0000000000000%"/>
    <numFmt numFmtId="179" formatCode="_-* #,##0.0_-;\-* #,##0.0_-;_-* &quot;-&quot;?_-;_-@_-"/>
  </numFmts>
  <fonts count="194" x14ac:knownFonts="1">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2"/>
      <color rgb="FF1E22AA"/>
      <name val="Verdana"/>
      <family val="2"/>
    </font>
    <font>
      <b/>
      <sz val="10"/>
      <color rgb="FF1E22AA"/>
      <name val="Verdana"/>
      <family val="2"/>
    </font>
    <font>
      <b/>
      <sz val="14"/>
      <color rgb="FF1E22AA"/>
      <name val="Verdana"/>
      <family val="2"/>
    </font>
    <font>
      <sz val="12"/>
      <color theme="0"/>
      <name val="Verdana"/>
      <family val="2"/>
    </font>
    <font>
      <u/>
      <sz val="11"/>
      <name val="Calibri"/>
      <family val="2"/>
      <scheme val="minor"/>
    </font>
    <font>
      <vertAlign val="superscript"/>
      <sz val="12"/>
      <name val="Verdana"/>
      <family val="2"/>
    </font>
    <font>
      <sz val="11"/>
      <color theme="1"/>
      <name val="Verdana"/>
      <family val="2"/>
    </font>
    <font>
      <b/>
      <sz val="12"/>
      <color theme="4"/>
      <name val="Verdana"/>
      <family val="2"/>
    </font>
    <font>
      <sz val="11"/>
      <color theme="4"/>
      <name val="Verdana"/>
      <family val="2"/>
    </font>
    <font>
      <sz val="10"/>
      <color theme="4"/>
      <name val="Verdana"/>
      <family val="2"/>
    </font>
    <font>
      <vertAlign val="superscript"/>
      <sz val="10"/>
      <name val="Verdana"/>
      <family val="2"/>
    </font>
    <font>
      <u/>
      <sz val="10"/>
      <color theme="3"/>
      <name val="Verdana"/>
      <family val="2"/>
    </font>
    <font>
      <b/>
      <vertAlign val="superscript"/>
      <sz val="12"/>
      <color rgb="FF000000"/>
      <name val="Verdana"/>
      <family val="2"/>
    </font>
    <font>
      <sz val="11"/>
      <color theme="1"/>
      <name val="Verdana"/>
      <family val="2"/>
    </font>
    <font>
      <b/>
      <sz val="11"/>
      <color theme="1"/>
      <name val="Verdana"/>
      <family val="2"/>
    </font>
    <font>
      <i/>
      <sz val="10"/>
      <name val="Verdana"/>
      <family val="2"/>
    </font>
    <font>
      <b/>
      <sz val="10"/>
      <color theme="3"/>
      <name val="Verdana"/>
      <family val="2"/>
    </font>
    <font>
      <sz val="12"/>
      <color indexed="81"/>
      <name val="Verdana"/>
      <family val="2"/>
    </font>
    <font>
      <b/>
      <sz val="12"/>
      <color indexed="81"/>
      <name val="Verdana"/>
      <family val="2"/>
    </font>
    <font>
      <u/>
      <sz val="11"/>
      <color theme="4"/>
      <name val="Calibri"/>
      <family val="2"/>
      <scheme val="minor"/>
    </font>
    <font>
      <sz val="11.5"/>
      <color theme="1"/>
      <name val="Verdana"/>
      <family val="2"/>
    </font>
    <font>
      <sz val="11"/>
      <color theme="1"/>
      <name val="Verdana"/>
      <family val="2"/>
    </font>
    <font>
      <sz val="11"/>
      <color indexed="81"/>
      <name val="Verdana"/>
      <family val="2"/>
    </font>
    <font>
      <sz val="11"/>
      <color rgb="FFFF0000"/>
      <name val="Calibri"/>
      <family val="2"/>
      <scheme val="minor"/>
    </font>
    <font>
      <b/>
      <sz val="10"/>
      <color theme="1"/>
      <name val="Verdana"/>
      <family val="2"/>
    </font>
    <font>
      <b/>
      <sz val="12"/>
      <color theme="1"/>
      <name val="Verdana"/>
      <family val="2"/>
    </font>
    <font>
      <b/>
      <sz val="14"/>
      <name val="Verdana"/>
      <family val="2"/>
    </font>
    <font>
      <sz val="10"/>
      <color rgb="FF1E22AA"/>
      <name val="Verdana"/>
      <family val="2"/>
    </font>
    <font>
      <sz val="10"/>
      <color rgb="FF00B050"/>
      <name val="Verdana"/>
      <family val="2"/>
    </font>
    <font>
      <sz val="11"/>
      <color theme="10"/>
      <name val="Verdana"/>
      <family val="2"/>
    </font>
    <font>
      <u/>
      <sz val="10"/>
      <name val="Verdana"/>
      <family val="2"/>
    </font>
    <font>
      <sz val="9"/>
      <color rgb="FFFF0000"/>
      <name val="Verdana"/>
      <family val="2"/>
    </font>
    <font>
      <sz val="11.5"/>
      <name val="Verdana"/>
      <family val="2"/>
    </font>
    <font>
      <sz val="11"/>
      <name val="Calibri"/>
      <family val="2"/>
      <scheme val="minor"/>
    </font>
    <font>
      <b/>
      <sz val="12"/>
      <color rgb="FF002855"/>
      <name val="Verdana"/>
      <family val="2"/>
    </font>
    <font>
      <sz val="12"/>
      <color rgb="FF002855"/>
      <name val="Verdana"/>
      <family val="2"/>
    </font>
    <font>
      <sz val="11"/>
      <color theme="10"/>
      <name val="Calibri"/>
      <family val="2"/>
      <scheme val="minor"/>
    </font>
    <font>
      <sz val="11"/>
      <color theme="4"/>
      <name val="Calibri"/>
      <family val="2"/>
      <scheme val="minor"/>
    </font>
    <font>
      <u/>
      <sz val="11"/>
      <color theme="4"/>
      <name val="Verdana"/>
      <family val="2"/>
    </font>
    <font>
      <vertAlign val="superscript"/>
      <sz val="12"/>
      <color theme="4"/>
      <name val="Verdana"/>
      <family val="2"/>
    </font>
    <font>
      <b/>
      <vertAlign val="superscript"/>
      <sz val="12"/>
      <color theme="1"/>
      <name val="Verdana"/>
      <family val="2"/>
    </font>
    <font>
      <b/>
      <vertAlign val="superscript"/>
      <sz val="12"/>
      <name val="Verdana"/>
      <family val="2"/>
    </font>
    <font>
      <b/>
      <sz val="14"/>
      <color theme="4"/>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rgb="FFF2F2F2"/>
        <bgColor rgb="FF000000"/>
      </patternFill>
    </fill>
    <fill>
      <patternFill patternType="darkUp">
        <fgColor theme="0" tint="-0.34998626667073579"/>
        <bgColor theme="0" tint="-4.9989318521683403E-2"/>
      </patternFill>
    </fill>
  </fills>
  <borders count="74">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indexed="64"/>
      </top>
      <bottom style="thin">
        <color theme="9" tint="-0.249977111117893"/>
      </bottom>
      <diagonal/>
    </border>
    <border>
      <left style="thin">
        <color theme="9" tint="-0.249977111117893"/>
      </left>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style="thin">
        <color theme="9" tint="-0.249977111117893"/>
      </left>
      <right/>
      <top/>
      <bottom style="thin">
        <color theme="9" tint="-0.249977111117893"/>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9" tint="-0.249977111117893"/>
      </left>
      <right style="thin">
        <color theme="9" tint="-0.249977111117893"/>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style="thin">
        <color theme="0" tint="-0.249977111117893"/>
      </right>
      <top/>
      <bottom style="thin">
        <color theme="9" tint="-0.249977111117893"/>
      </bottom>
      <diagonal/>
    </border>
    <border>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748">
    <xf numFmtId="0" fontId="0" fillId="0" borderId="0" xfId="0"/>
    <xf numFmtId="0" fontId="0" fillId="2" borderId="0" xfId="0" applyFill="1"/>
    <xf numFmtId="0" fontId="8" fillId="2" borderId="0" xfId="0" applyFont="1" applyFill="1"/>
    <xf numFmtId="0" fontId="13" fillId="2" borderId="0" xfId="0" applyFont="1" applyFill="1"/>
    <xf numFmtId="0" fontId="15" fillId="5" borderId="0" xfId="0" applyFont="1" applyFill="1" applyAlignment="1">
      <alignmen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29"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29"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0" fontId="114" fillId="2" borderId="0" xfId="0" applyFont="1" applyFill="1" applyAlignment="1">
      <alignment vertical="center"/>
    </xf>
    <xf numFmtId="0" fontId="105"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13" fillId="2" borderId="30" xfId="0" applyFont="1" applyFill="1" applyBorder="1" applyAlignment="1">
      <alignment vertical="center"/>
    </xf>
    <xf numFmtId="0" fontId="12" fillId="0" borderId="30" xfId="0" applyFont="1" applyBorder="1" applyAlignment="1">
      <alignment horizontal="lef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0" fontId="114" fillId="2" borderId="30" xfId="0" applyFont="1" applyFill="1" applyBorder="1" applyAlignment="1">
      <alignment horizontal="left" indent="2"/>
    </xf>
    <xf numFmtId="0" fontId="114" fillId="2" borderId="30" xfId="0" applyFont="1" applyFill="1" applyBorder="1" applyAlignment="1">
      <alignment vertical="center"/>
    </xf>
    <xf numFmtId="0" fontId="115" fillId="0" borderId="30" xfId="0" applyFont="1" applyBorder="1" applyAlignment="1">
      <alignment vertical="center" wrapText="1"/>
    </xf>
    <xf numFmtId="0" fontId="115" fillId="5" borderId="30" xfId="0" applyFont="1" applyFill="1" applyBorder="1" applyAlignment="1">
      <alignment vertical="center"/>
    </xf>
    <xf numFmtId="166" fontId="115" fillId="7" borderId="30" xfId="2" applyNumberFormat="1" applyFont="1" applyFill="1" applyBorder="1" applyAlignment="1">
      <alignment horizontal="right" vertical="center"/>
    </xf>
    <xf numFmtId="0" fontId="115" fillId="0" borderId="30" xfId="0" applyFont="1" applyBorder="1" applyAlignment="1">
      <alignment horizontal="left" vertical="center"/>
    </xf>
    <xf numFmtId="0" fontId="115" fillId="0" borderId="30" xfId="0" applyFont="1" applyBorder="1" applyAlignment="1">
      <alignment vertical="center"/>
    </xf>
    <xf numFmtId="0" fontId="114" fillId="0" borderId="30" xfId="0" applyFont="1" applyBorder="1" applyAlignment="1">
      <alignment vertical="center"/>
    </xf>
    <xf numFmtId="3" fontId="115" fillId="5" borderId="30" xfId="0" applyNumberFormat="1" applyFont="1" applyFill="1" applyBorder="1" applyAlignment="1">
      <alignment horizontal="right" vertical="center"/>
    </xf>
    <xf numFmtId="0" fontId="117" fillId="0" borderId="30" xfId="0" applyFont="1" applyBorder="1" applyAlignment="1">
      <alignment vertical="center"/>
    </xf>
    <xf numFmtId="0" fontId="52" fillId="2" borderId="0" xfId="0" applyFont="1" applyFill="1" applyAlignment="1">
      <alignment horizontal="left" vertical="top" wrapText="1"/>
    </xf>
    <xf numFmtId="0" fontId="81" fillId="2" borderId="0" xfId="0" applyFont="1" applyFill="1" applyAlignment="1">
      <alignment vertical="top" wrapText="1"/>
    </xf>
    <xf numFmtId="166" fontId="87" fillId="23" borderId="30" xfId="2" applyNumberFormat="1" applyFont="1" applyFill="1" applyBorder="1" applyAlignment="1">
      <alignment horizontal="right" vertical="center"/>
    </xf>
    <xf numFmtId="171" fontId="87" fillId="4" borderId="30" xfId="0" applyNumberFormat="1" applyFont="1" applyFill="1" applyBorder="1" applyAlignment="1">
      <alignment horizontal="right" vertical="center"/>
    </xf>
    <xf numFmtId="0" fontId="114" fillId="0" borderId="30" xfId="0" applyFont="1" applyBorder="1" applyAlignment="1">
      <alignment horizontal="left" vertical="center"/>
    </xf>
    <xf numFmtId="0" fontId="114" fillId="0" borderId="30" xfId="0" applyFont="1" applyBorder="1" applyAlignment="1">
      <alignment horizontal="left" vertical="center" wrapText="1"/>
    </xf>
    <xf numFmtId="0" fontId="115" fillId="0" borderId="30" xfId="0" applyFont="1" applyBorder="1" applyAlignment="1">
      <alignment horizontal="left" vertical="center" wrapText="1"/>
    </xf>
    <xf numFmtId="0" fontId="115" fillId="2" borderId="30" xfId="0" applyFont="1" applyFill="1" applyBorder="1" applyAlignment="1">
      <alignment vertical="center"/>
    </xf>
    <xf numFmtId="0" fontId="115" fillId="0" borderId="30" xfId="0" applyFont="1" applyBorder="1" applyAlignment="1">
      <alignment horizontal="right" vertical="center" wrapText="1"/>
    </xf>
    <xf numFmtId="2" fontId="115" fillId="0" borderId="30" xfId="0" applyNumberFormat="1" applyFont="1" applyBorder="1" applyAlignment="1">
      <alignment horizontal="right" vertical="center" wrapText="1"/>
    </xf>
    <xf numFmtId="1" fontId="115" fillId="0" borderId="30" xfId="0" applyNumberFormat="1" applyFont="1" applyBorder="1" applyAlignment="1">
      <alignment vertical="center"/>
    </xf>
    <xf numFmtId="2" fontId="115" fillId="0" borderId="30" xfId="0" applyNumberFormat="1" applyFont="1" applyBorder="1" applyAlignment="1">
      <alignment vertical="center"/>
    </xf>
    <xf numFmtId="165" fontId="115" fillId="0" borderId="30" xfId="0" applyNumberFormat="1" applyFont="1" applyBorder="1" applyAlignment="1">
      <alignment horizontal="right" vertical="center"/>
    </xf>
    <xf numFmtId="0" fontId="115" fillId="0" borderId="30" xfId="0" applyFont="1" applyBorder="1" applyAlignment="1">
      <alignment horizontal="right" vertical="center"/>
    </xf>
    <xf numFmtId="0" fontId="115" fillId="2" borderId="30" xfId="0" applyFont="1" applyFill="1" applyBorder="1" applyAlignment="1">
      <alignment horizontal="right" vertical="center"/>
    </xf>
    <xf numFmtId="0" fontId="115" fillId="0" borderId="30" xfId="0" applyFont="1" applyBorder="1" applyAlignment="1">
      <alignment wrapText="1"/>
    </xf>
    <xf numFmtId="0" fontId="117" fillId="0" borderId="30"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0" xfId="0" applyFont="1" applyBorder="1" applyAlignment="1">
      <alignment horizontal="left" wrapText="1"/>
    </xf>
    <xf numFmtId="0" fontId="114" fillId="2" borderId="7" xfId="0" applyFont="1" applyFill="1" applyBorder="1" applyAlignment="1">
      <alignment vertical="center" wrapText="1"/>
    </xf>
    <xf numFmtId="0" fontId="114" fillId="2" borderId="42" xfId="0" applyFont="1" applyFill="1" applyBorder="1" applyAlignment="1">
      <alignment vertical="center" wrapText="1"/>
    </xf>
    <xf numFmtId="0" fontId="114" fillId="2" borderId="43" xfId="0" applyFont="1" applyFill="1" applyBorder="1" applyAlignment="1">
      <alignment vertical="center" wrapText="1"/>
    </xf>
    <xf numFmtId="0" fontId="112" fillId="2" borderId="0" xfId="0" applyFont="1" applyFill="1" applyAlignment="1">
      <alignment vertical="center"/>
    </xf>
    <xf numFmtId="0" fontId="115" fillId="0" borderId="30" xfId="0" applyFont="1" applyBorder="1"/>
    <xf numFmtId="0" fontId="66" fillId="0" borderId="45" xfId="0" applyFont="1" applyBorder="1" applyAlignment="1">
      <alignment vertical="center" wrapText="1"/>
    </xf>
    <xf numFmtId="0" fontId="13" fillId="0" borderId="45" xfId="0" applyFont="1" applyBorder="1" applyAlignment="1">
      <alignment vertical="center"/>
    </xf>
    <xf numFmtId="0" fontId="13" fillId="0" borderId="45" xfId="0" applyFont="1" applyBorder="1" applyAlignment="1">
      <alignment horizontal="center" vertical="center" wrapText="1"/>
    </xf>
    <xf numFmtId="9" fontId="112" fillId="0" borderId="45" xfId="3" applyFont="1" applyFill="1" applyBorder="1" applyAlignment="1">
      <alignment vertical="center"/>
    </xf>
    <xf numFmtId="0" fontId="66" fillId="0" borderId="41" xfId="0" applyFont="1" applyBorder="1" applyAlignment="1">
      <alignment vertical="center"/>
    </xf>
    <xf numFmtId="0" fontId="138" fillId="0" borderId="45" xfId="0" applyFont="1" applyBorder="1" applyAlignment="1">
      <alignment vertical="center" wrapText="1"/>
    </xf>
    <xf numFmtId="0" fontId="115" fillId="5" borderId="30" xfId="0" applyFont="1" applyFill="1" applyBorder="1" applyAlignment="1">
      <alignment horizontal="left" vertical="center" wrapText="1"/>
    </xf>
    <xf numFmtId="0" fontId="120" fillId="5" borderId="30" xfId="0" applyFont="1" applyFill="1" applyBorder="1" applyAlignment="1">
      <alignment horizontal="left" vertical="center" wrapText="1"/>
    </xf>
    <xf numFmtId="0" fontId="118" fillId="5" borderId="30" xfId="0" applyFont="1" applyFill="1" applyBorder="1" applyAlignment="1">
      <alignment horizontal="left" vertical="center"/>
    </xf>
    <xf numFmtId="0" fontId="118" fillId="0" borderId="30" xfId="0" applyFont="1" applyBorder="1" applyAlignment="1">
      <alignment horizontal="left" vertical="center"/>
    </xf>
    <xf numFmtId="6" fontId="118" fillId="0" borderId="30" xfId="0" applyNumberFormat="1" applyFont="1" applyBorder="1" applyAlignment="1">
      <alignment horizontal="left" wrapText="1"/>
    </xf>
    <xf numFmtId="6" fontId="119" fillId="0" borderId="30" xfId="0" applyNumberFormat="1" applyFont="1" applyBorder="1" applyAlignment="1">
      <alignment horizontal="left" wrapText="1"/>
    </xf>
    <xf numFmtId="166" fontId="114" fillId="2" borderId="0" xfId="2" applyNumberFormat="1" applyFont="1" applyFill="1" applyBorder="1" applyAlignment="1">
      <alignment horizontal="left"/>
    </xf>
    <xf numFmtId="0" fontId="140" fillId="0" borderId="30" xfId="0" applyFont="1" applyBorder="1" applyAlignment="1">
      <alignment horizontal="left" wrapText="1"/>
    </xf>
    <xf numFmtId="0" fontId="141" fillId="2" borderId="30" xfId="0" applyFont="1" applyFill="1" applyBorder="1" applyAlignment="1">
      <alignment horizontal="left"/>
    </xf>
    <xf numFmtId="166" fontId="142" fillId="2" borderId="0" xfId="2" applyNumberFormat="1" applyFont="1" applyFill="1" applyBorder="1" applyAlignment="1">
      <alignment horizontal="left"/>
    </xf>
    <xf numFmtId="0" fontId="114" fillId="0" borderId="30" xfId="0" applyFont="1" applyBorder="1" applyAlignment="1">
      <alignment wrapText="1"/>
    </xf>
    <xf numFmtId="0" fontId="114" fillId="0" borderId="30" xfId="0" applyFont="1" applyBorder="1" applyAlignment="1">
      <alignment vertical="top" wrapText="1"/>
    </xf>
    <xf numFmtId="166" fontId="114" fillId="2" borderId="0" xfId="2" applyNumberFormat="1" applyFont="1" applyFill="1" applyBorder="1" applyAlignment="1"/>
    <xf numFmtId="3" fontId="120" fillId="0" borderId="30" xfId="0" applyNumberFormat="1" applyFont="1" applyBorder="1" applyAlignment="1">
      <alignment wrapText="1"/>
    </xf>
    <xf numFmtId="0" fontId="115" fillId="2" borderId="0" xfId="0" applyFont="1" applyFill="1"/>
    <xf numFmtId="3" fontId="115" fillId="0" borderId="30" xfId="0" applyNumberFormat="1" applyFont="1" applyBorder="1"/>
    <xf numFmtId="0" fontId="145" fillId="2" borderId="0" xfId="0" applyFont="1" applyFill="1"/>
    <xf numFmtId="0" fontId="146" fillId="5" borderId="0" xfId="0" applyFont="1" applyFill="1" applyAlignment="1">
      <alignment horizontal="left" vertical="center"/>
    </xf>
    <xf numFmtId="0" fontId="148" fillId="2" borderId="0" xfId="0" applyFont="1" applyFill="1"/>
    <xf numFmtId="0" fontId="25" fillId="35" borderId="8" xfId="0" applyFont="1" applyFill="1" applyBorder="1" applyAlignment="1">
      <alignment horizontal="left" vertical="center"/>
    </xf>
    <xf numFmtId="0" fontId="25" fillId="35" borderId="8" xfId="0" applyFont="1" applyFill="1" applyBorder="1" applyAlignment="1">
      <alignment vertical="center"/>
    </xf>
    <xf numFmtId="0" fontId="25" fillId="35" borderId="8" xfId="0" applyFont="1" applyFill="1" applyBorder="1" applyAlignment="1">
      <alignment horizontal="right" vertical="center"/>
    </xf>
    <xf numFmtId="0" fontId="149" fillId="2" borderId="0" xfId="0" applyFont="1" applyFill="1" applyAlignment="1">
      <alignment horizontal="left" vertical="center"/>
    </xf>
    <xf numFmtId="0" fontId="152" fillId="2" borderId="0" xfId="0" applyFont="1" applyFill="1" applyAlignment="1">
      <alignment horizontal="left" vertical="center"/>
    </xf>
    <xf numFmtId="0" fontId="104" fillId="35" borderId="14" xfId="0" applyFont="1" applyFill="1" applyBorder="1" applyAlignment="1">
      <alignment vertical="center" wrapText="1"/>
    </xf>
    <xf numFmtId="0" fontId="104" fillId="35" borderId="14" xfId="0" applyFont="1" applyFill="1" applyBorder="1" applyAlignment="1">
      <alignment horizontal="center" vertical="center" wrapText="1"/>
    </xf>
    <xf numFmtId="0" fontId="146" fillId="5" borderId="0" xfId="0" applyFont="1" applyFill="1" applyAlignment="1">
      <alignment vertical="center"/>
    </xf>
    <xf numFmtId="3" fontId="150" fillId="4" borderId="30" xfId="0" applyNumberFormat="1" applyFont="1" applyFill="1" applyBorder="1" applyAlignment="1">
      <alignment horizontal="right" vertical="center"/>
    </xf>
    <xf numFmtId="0" fontId="25" fillId="35" borderId="30" xfId="0" applyFont="1" applyFill="1" applyBorder="1" applyAlignment="1">
      <alignment horizontal="right" vertical="center" wrapText="1"/>
    </xf>
    <xf numFmtId="169" fontId="104" fillId="35" borderId="30" xfId="0" applyNumberFormat="1" applyFont="1" applyFill="1" applyBorder="1" applyAlignment="1">
      <alignment horizontal="left" vertical="center"/>
    </xf>
    <xf numFmtId="0" fontId="104" fillId="35" borderId="30" xfId="0" applyFont="1" applyFill="1" applyBorder="1" applyAlignment="1">
      <alignment horizontal="right" vertical="center" wrapText="1"/>
    </xf>
    <xf numFmtId="0" fontId="105" fillId="35" borderId="30" xfId="0" applyFont="1" applyFill="1" applyBorder="1" applyAlignment="1">
      <alignment horizontal="right" vertical="center" wrapText="1"/>
    </xf>
    <xf numFmtId="0" fontId="104" fillId="35" borderId="30" xfId="0" applyFont="1" applyFill="1" applyBorder="1" applyAlignment="1">
      <alignment horizontal="left" vertical="center" wrapText="1"/>
    </xf>
    <xf numFmtId="0" fontId="104" fillId="37" borderId="30" xfId="0" applyFont="1" applyFill="1" applyBorder="1" applyAlignment="1">
      <alignment horizontal="right" vertical="center" wrapText="1"/>
    </xf>
    <xf numFmtId="0" fontId="16" fillId="35" borderId="30" xfId="0" applyFont="1" applyFill="1" applyBorder="1" applyAlignment="1">
      <alignment horizontal="left" vertical="center"/>
    </xf>
    <xf numFmtId="0" fontId="16" fillId="35" borderId="30" xfId="0" applyFont="1" applyFill="1" applyBorder="1" applyAlignment="1">
      <alignment horizontal="left" vertical="center" wrapText="1"/>
    </xf>
    <xf numFmtId="166" fontId="13" fillId="0" borderId="45" xfId="2" applyNumberFormat="1" applyFont="1" applyFill="1" applyBorder="1" applyAlignment="1">
      <alignment vertical="center"/>
    </xf>
    <xf numFmtId="0" fontId="144" fillId="33" borderId="0" xfId="0" applyFont="1" applyFill="1" applyAlignment="1">
      <alignment horizontal="left" vertical="center"/>
    </xf>
    <xf numFmtId="0" fontId="114" fillId="33" borderId="0" xfId="0" applyFont="1" applyFill="1" applyAlignment="1">
      <alignment horizontal="left" vertical="center"/>
    </xf>
    <xf numFmtId="0" fontId="8" fillId="33" borderId="0" xfId="0" applyFont="1" applyFill="1" applyAlignment="1">
      <alignment vertical="center"/>
    </xf>
    <xf numFmtId="0" fontId="143" fillId="25" borderId="49" xfId="0" applyFont="1" applyFill="1" applyBorder="1" applyAlignment="1">
      <alignment horizontal="left" vertical="center"/>
    </xf>
    <xf numFmtId="0" fontId="114" fillId="25" borderId="49" xfId="0" applyFont="1" applyFill="1" applyBorder="1" applyAlignment="1">
      <alignment horizontal="left" vertical="center"/>
    </xf>
    <xf numFmtId="0" fontId="8" fillId="25" borderId="49" xfId="0" applyFont="1" applyFill="1" applyBorder="1" applyAlignment="1">
      <alignment vertical="center"/>
    </xf>
    <xf numFmtId="0" fontId="8" fillId="25" borderId="50" xfId="0" applyFont="1" applyFill="1" applyBorder="1" applyAlignment="1">
      <alignment vertical="center"/>
    </xf>
    <xf numFmtId="0" fontId="143"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51" xfId="0" applyFont="1" applyFill="1" applyBorder="1" applyAlignment="1">
      <alignment vertical="center"/>
    </xf>
    <xf numFmtId="0" fontId="143" fillId="25" borderId="52" xfId="0" applyFont="1" applyFill="1" applyBorder="1" applyAlignment="1">
      <alignment horizontal="left" vertical="center"/>
    </xf>
    <xf numFmtId="0" fontId="114" fillId="25" borderId="52" xfId="0" applyFont="1" applyFill="1" applyBorder="1" applyAlignment="1">
      <alignment horizontal="left" vertical="center"/>
    </xf>
    <xf numFmtId="0" fontId="8" fillId="25" borderId="52" xfId="0" applyFont="1" applyFill="1" applyBorder="1" applyAlignment="1">
      <alignment vertical="center"/>
    </xf>
    <xf numFmtId="0" fontId="8" fillId="25" borderId="53" xfId="0" applyFont="1" applyFill="1" applyBorder="1" applyAlignment="1">
      <alignment vertical="center"/>
    </xf>
    <xf numFmtId="0" fontId="144" fillId="33" borderId="49" xfId="0" applyFont="1" applyFill="1" applyBorder="1" applyAlignment="1">
      <alignment horizontal="left" vertical="center"/>
    </xf>
    <xf numFmtId="0" fontId="114" fillId="33" borderId="49" xfId="0" applyFont="1" applyFill="1" applyBorder="1" applyAlignment="1">
      <alignment horizontal="left" vertical="center"/>
    </xf>
    <xf numFmtId="0" fontId="8" fillId="33" borderId="49" xfId="0" applyFont="1" applyFill="1" applyBorder="1" applyAlignment="1">
      <alignment vertical="center"/>
    </xf>
    <xf numFmtId="0" fontId="8" fillId="33" borderId="50" xfId="0" applyFont="1" applyFill="1" applyBorder="1" applyAlignment="1">
      <alignment vertical="center"/>
    </xf>
    <xf numFmtId="0" fontId="8" fillId="33" borderId="51" xfId="0" applyFont="1" applyFill="1" applyBorder="1" applyAlignment="1">
      <alignment vertical="center"/>
    </xf>
    <xf numFmtId="0" fontId="139" fillId="31" borderId="55" xfId="0" applyFont="1" applyFill="1" applyBorder="1" applyAlignment="1">
      <alignment vertical="center"/>
    </xf>
    <xf numFmtId="0" fontId="8" fillId="31" borderId="55" xfId="0" applyFont="1" applyFill="1" applyBorder="1"/>
    <xf numFmtId="0" fontId="8" fillId="31" borderId="56" xfId="0" applyFont="1" applyFill="1" applyBorder="1"/>
    <xf numFmtId="0" fontId="143" fillId="25" borderId="57" xfId="0" applyFont="1" applyFill="1" applyBorder="1" applyAlignment="1">
      <alignment horizontal="left" vertical="center"/>
    </xf>
    <xf numFmtId="0" fontId="143" fillId="25" borderId="58" xfId="0" applyFont="1" applyFill="1" applyBorder="1" applyAlignment="1">
      <alignment horizontal="left" vertical="center"/>
    </xf>
    <xf numFmtId="0" fontId="143" fillId="25" borderId="59" xfId="0" applyFont="1" applyFill="1" applyBorder="1" applyAlignment="1">
      <alignment horizontal="left" vertical="center"/>
    </xf>
    <xf numFmtId="0" fontId="144" fillId="33" borderId="57" xfId="0" applyFont="1" applyFill="1" applyBorder="1" applyAlignment="1">
      <alignment horizontal="left" vertical="center"/>
    </xf>
    <xf numFmtId="0" fontId="144" fillId="33" borderId="58" xfId="0" applyFont="1" applyFill="1" applyBorder="1" applyAlignment="1">
      <alignment horizontal="left" vertical="center"/>
    </xf>
    <xf numFmtId="0" fontId="16" fillId="35" borderId="30" xfId="0" applyFont="1" applyFill="1" applyBorder="1" applyAlignment="1">
      <alignment horizontal="center" vertical="center" wrapText="1"/>
    </xf>
    <xf numFmtId="0" fontId="104" fillId="35" borderId="30" xfId="0" applyFont="1" applyFill="1" applyBorder="1" applyAlignment="1">
      <alignment horizontal="center" vertical="center"/>
    </xf>
    <xf numFmtId="0" fontId="104" fillId="35" borderId="30" xfId="0" applyFont="1" applyFill="1" applyBorder="1" applyAlignment="1">
      <alignment horizontal="center" vertical="center" wrapText="1"/>
    </xf>
    <xf numFmtId="0" fontId="105" fillId="35" borderId="30" xfId="0" applyFont="1" applyFill="1" applyBorder="1" applyAlignment="1">
      <alignment horizontal="center" vertical="center"/>
    </xf>
    <xf numFmtId="0" fontId="105" fillId="35" borderId="30" xfId="0" applyFont="1" applyFill="1" applyBorder="1" applyAlignment="1">
      <alignment horizontal="center" vertical="center" wrapText="1"/>
    </xf>
    <xf numFmtId="0" fontId="150" fillId="20" borderId="30" xfId="0" applyFont="1" applyFill="1" applyBorder="1" applyAlignment="1">
      <alignment horizontal="center" vertical="center" wrapText="1"/>
    </xf>
    <xf numFmtId="0" fontId="115" fillId="2" borderId="30" xfId="0" applyFont="1" applyFill="1" applyBorder="1" applyAlignment="1">
      <alignment horizontal="center" vertical="center" wrapText="1"/>
    </xf>
    <xf numFmtId="2" fontId="115" fillId="0" borderId="30" xfId="0" applyNumberFormat="1" applyFont="1" applyBorder="1" applyAlignment="1">
      <alignment horizontal="center" vertical="center" wrapText="1"/>
    </xf>
    <xf numFmtId="0" fontId="115" fillId="0" borderId="30" xfId="0" applyFont="1" applyBorder="1" applyAlignment="1">
      <alignment horizontal="center" vertical="center" wrapText="1"/>
    </xf>
    <xf numFmtId="0" fontId="150" fillId="20" borderId="30" xfId="0" applyFont="1" applyFill="1" applyBorder="1" applyAlignment="1">
      <alignment horizontal="right" vertical="center" wrapText="1"/>
    </xf>
    <xf numFmtId="165" fontId="150" fillId="20" borderId="30" xfId="0" applyNumberFormat="1" applyFont="1" applyFill="1" applyBorder="1" applyAlignment="1">
      <alignment horizontal="right" vertical="center"/>
    </xf>
    <xf numFmtId="0" fontId="150" fillId="20" borderId="30" xfId="0" applyFont="1" applyFill="1" applyBorder="1" applyAlignment="1">
      <alignment horizontal="right" vertical="center"/>
    </xf>
    <xf numFmtId="0" fontId="87" fillId="20" borderId="30" xfId="0" applyFont="1" applyFill="1" applyBorder="1" applyAlignment="1">
      <alignment vertical="center"/>
    </xf>
    <xf numFmtId="0" fontId="150" fillId="20" borderId="30" xfId="0" applyFont="1" applyFill="1" applyBorder="1" applyAlignment="1">
      <alignment vertical="center"/>
    </xf>
    <xf numFmtId="9" fontId="150" fillId="20" borderId="30" xfId="3" applyFont="1" applyFill="1" applyBorder="1" applyAlignment="1">
      <alignment vertical="center"/>
    </xf>
    <xf numFmtId="0" fontId="118" fillId="0" borderId="30" xfId="0" applyFont="1" applyBorder="1" applyAlignment="1">
      <alignment wrapText="1"/>
    </xf>
    <xf numFmtId="3" fontId="114" fillId="0" borderId="30" xfId="0" applyNumberFormat="1" applyFont="1" applyBorder="1" applyAlignment="1">
      <alignment wrapText="1"/>
    </xf>
    <xf numFmtId="1" fontId="115" fillId="0" borderId="30" xfId="0" applyNumberFormat="1" applyFont="1" applyBorder="1" applyAlignment="1">
      <alignment wrapText="1"/>
    </xf>
    <xf numFmtId="166" fontId="115" fillId="0" borderId="0" xfId="2" applyNumberFormat="1" applyFont="1" applyFill="1" applyBorder="1" applyAlignment="1"/>
    <xf numFmtId="3" fontId="115" fillId="0" borderId="30" xfId="0" applyNumberFormat="1" applyFont="1" applyBorder="1" applyAlignment="1">
      <alignment wrapText="1"/>
    </xf>
    <xf numFmtId="0" fontId="86" fillId="20" borderId="30" xfId="0" applyFont="1" applyFill="1" applyBorder="1"/>
    <xf numFmtId="1" fontId="86" fillId="20" borderId="30" xfId="0" applyNumberFormat="1" applyFont="1" applyFill="1" applyBorder="1" applyAlignment="1">
      <alignment wrapText="1"/>
    </xf>
    <xf numFmtId="3" fontId="87" fillId="20" borderId="30" xfId="0" applyNumberFormat="1" applyFont="1" applyFill="1" applyBorder="1" applyAlignment="1">
      <alignment wrapText="1"/>
    </xf>
    <xf numFmtId="9" fontId="86" fillId="20" borderId="30" xfId="3" applyFont="1" applyFill="1" applyBorder="1" applyAlignment="1">
      <alignment horizontal="right"/>
    </xf>
    <xf numFmtId="9" fontId="87" fillId="20" borderId="30" xfId="3" applyFont="1" applyFill="1" applyBorder="1" applyAlignment="1">
      <alignment horizontal="right"/>
    </xf>
    <xf numFmtId="9" fontId="86" fillId="20" borderId="30" xfId="3" applyFont="1" applyFill="1" applyBorder="1"/>
    <xf numFmtId="0" fontId="65" fillId="2" borderId="0" xfId="0" applyFont="1" applyFill="1" applyAlignment="1">
      <alignment vertical="top"/>
    </xf>
    <xf numFmtId="0" fontId="146" fillId="0" borderId="0" xfId="0" applyFont="1" applyAlignment="1">
      <alignment vertical="center"/>
    </xf>
    <xf numFmtId="0" fontId="114" fillId="2" borderId="0" xfId="0" applyFont="1" applyFill="1" applyAlignment="1">
      <alignment wrapText="1"/>
    </xf>
    <xf numFmtId="171" fontId="150" fillId="4" borderId="30" xfId="0" applyNumberFormat="1" applyFont="1" applyFill="1" applyBorder="1" applyAlignment="1">
      <alignment horizontal="right" vertical="center"/>
    </xf>
    <xf numFmtId="171" fontId="115" fillId="5" borderId="30" xfId="0" applyNumberFormat="1" applyFont="1" applyFill="1" applyBorder="1" applyAlignment="1">
      <alignment horizontal="right" vertical="center"/>
    </xf>
    <xf numFmtId="0" fontId="25" fillId="2" borderId="0" xfId="0" applyFont="1" applyFill="1"/>
    <xf numFmtId="0" fontId="11" fillId="0" borderId="45" xfId="0" applyFont="1" applyBorder="1" applyAlignment="1">
      <alignment horizontal="center" vertical="center" wrapText="1"/>
    </xf>
    <xf numFmtId="168" fontId="13" fillId="0" borderId="45" xfId="2" applyNumberFormat="1" applyFont="1" applyFill="1" applyBorder="1" applyAlignment="1">
      <alignment vertical="center"/>
    </xf>
    <xf numFmtId="43" fontId="13" fillId="0" borderId="45" xfId="2" applyFont="1" applyFill="1" applyBorder="1" applyAlignment="1">
      <alignment vertical="center"/>
    </xf>
    <xf numFmtId="9" fontId="13" fillId="0" borderId="45" xfId="3" applyFont="1" applyFill="1" applyBorder="1" applyAlignment="1">
      <alignment vertical="center"/>
    </xf>
    <xf numFmtId="166" fontId="114" fillId="2" borderId="0" xfId="0" applyNumberFormat="1" applyFont="1" applyFill="1" applyAlignment="1">
      <alignment vertical="center"/>
    </xf>
    <xf numFmtId="164" fontId="13" fillId="2" borderId="0" xfId="3" applyNumberFormat="1" applyFont="1" applyFill="1"/>
    <xf numFmtId="43" fontId="13" fillId="2" borderId="0" xfId="0" applyNumberFormat="1" applyFont="1" applyFill="1"/>
    <xf numFmtId="0" fontId="115" fillId="2" borderId="42" xfId="0" applyFont="1" applyFill="1" applyBorder="1" applyAlignment="1">
      <alignment horizontal="center" vertical="center"/>
    </xf>
    <xf numFmtId="0" fontId="115" fillId="2" borderId="43"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0" xfId="0" applyNumberFormat="1" applyFont="1" applyFill="1" applyBorder="1" applyAlignment="1">
      <alignment horizontal="center" vertical="center" wrapText="1"/>
    </xf>
    <xf numFmtId="2" fontId="150" fillId="20" borderId="30" xfId="0" applyNumberFormat="1" applyFont="1" applyFill="1" applyBorder="1" applyAlignment="1">
      <alignment horizontal="center" vertical="center" wrapText="1"/>
    </xf>
    <xf numFmtId="1" fontId="150" fillId="20" borderId="30" xfId="0" applyNumberFormat="1" applyFont="1" applyFill="1" applyBorder="1" applyAlignment="1">
      <alignment horizontal="center" vertical="center" wrapText="1"/>
    </xf>
    <xf numFmtId="3" fontId="86" fillId="20" borderId="30" xfId="0" applyNumberFormat="1" applyFont="1" applyFill="1" applyBorder="1" applyAlignment="1">
      <alignment wrapText="1"/>
    </xf>
    <xf numFmtId="0" fontId="13" fillId="0" borderId="30" xfId="0" applyFont="1" applyBorder="1" applyAlignment="1">
      <alignment horizontal="left" vertical="center" wrapText="1"/>
    </xf>
    <xf numFmtId="166" fontId="152" fillId="0" borderId="45" xfId="2" applyNumberFormat="1" applyFont="1" applyFill="1" applyBorder="1" applyAlignment="1">
      <alignment horizontal="right" vertical="center"/>
    </xf>
    <xf numFmtId="9" fontId="152" fillId="0" borderId="45" xfId="3" applyFont="1" applyFill="1" applyBorder="1" applyAlignment="1">
      <alignment horizontal="right" vertical="center"/>
    </xf>
    <xf numFmtId="0" fontId="152" fillId="0" borderId="45" xfId="0" applyFont="1" applyBorder="1" applyAlignment="1">
      <alignment horizontal="right" vertical="center"/>
    </xf>
    <xf numFmtId="2" fontId="152" fillId="0" borderId="45" xfId="0" applyNumberFormat="1" applyFont="1" applyBorder="1" applyAlignment="1">
      <alignment horizontal="right" vertical="center"/>
    </xf>
    <xf numFmtId="166" fontId="13" fillId="25" borderId="45" xfId="2" applyNumberFormat="1" applyFont="1" applyFill="1" applyBorder="1" applyAlignment="1">
      <alignment horizontal="right" vertical="center"/>
    </xf>
    <xf numFmtId="9" fontId="112" fillId="25" borderId="45" xfId="3" applyFont="1" applyFill="1" applyBorder="1" applyAlignment="1">
      <alignment vertical="center"/>
    </xf>
    <xf numFmtId="9" fontId="13" fillId="25" borderId="45" xfId="3" applyFont="1" applyFill="1" applyBorder="1" applyAlignment="1">
      <alignment horizontal="right" vertical="center"/>
    </xf>
    <xf numFmtId="0" fontId="13" fillId="25" borderId="45" xfId="0" applyFont="1" applyFill="1" applyBorder="1" applyAlignment="1">
      <alignment horizontal="right" vertical="center"/>
    </xf>
    <xf numFmtId="2" fontId="13" fillId="25" borderId="45" xfId="0" applyNumberFormat="1" applyFont="1" applyFill="1" applyBorder="1" applyAlignment="1">
      <alignment horizontal="right" vertical="center"/>
    </xf>
    <xf numFmtId="9" fontId="112" fillId="20" borderId="45" xfId="3" applyFont="1" applyFill="1" applyBorder="1" applyAlignment="1">
      <alignment vertical="center"/>
    </xf>
    <xf numFmtId="164" fontId="112" fillId="0" borderId="45" xfId="3" applyNumberFormat="1" applyFont="1" applyFill="1" applyBorder="1" applyAlignment="1">
      <alignment vertical="center"/>
    </xf>
    <xf numFmtId="0" fontId="66" fillId="42" borderId="45" xfId="0" applyFont="1" applyFill="1" applyBorder="1" applyAlignment="1">
      <alignment vertical="center" wrapText="1"/>
    </xf>
    <xf numFmtId="0" fontId="13" fillId="42" borderId="45" xfId="0" applyFont="1" applyFill="1" applyBorder="1" applyAlignment="1">
      <alignment vertical="center"/>
    </xf>
    <xf numFmtId="0" fontId="138" fillId="42" borderId="45" xfId="0" applyFont="1" applyFill="1" applyBorder="1" applyAlignment="1">
      <alignment vertical="center" wrapText="1"/>
    </xf>
    <xf numFmtId="0" fontId="13" fillId="42" borderId="45" xfId="0" applyFont="1" applyFill="1" applyBorder="1" applyAlignment="1">
      <alignment horizontal="center" vertical="center" wrapText="1"/>
    </xf>
    <xf numFmtId="166" fontId="12" fillId="42" borderId="45" xfId="2" applyNumberFormat="1" applyFont="1" applyFill="1" applyBorder="1" applyAlignment="1">
      <alignment vertical="center"/>
    </xf>
    <xf numFmtId="166" fontId="13" fillId="42" borderId="45" xfId="2" applyNumberFormat="1" applyFont="1" applyFill="1" applyBorder="1" applyAlignment="1">
      <alignment horizontal="right" vertical="center"/>
    </xf>
    <xf numFmtId="9" fontId="112" fillId="42" borderId="45" xfId="3" applyFont="1" applyFill="1" applyBorder="1" applyAlignment="1">
      <alignment vertical="center"/>
    </xf>
    <xf numFmtId="166" fontId="152" fillId="42" borderId="45" xfId="2" applyNumberFormat="1" applyFont="1" applyFill="1" applyBorder="1" applyAlignment="1">
      <alignment horizontal="right" vertical="center"/>
    </xf>
    <xf numFmtId="2" fontId="150" fillId="20" borderId="30" xfId="0" applyNumberFormat="1" applyFont="1" applyFill="1" applyBorder="1" applyAlignment="1">
      <alignment horizontal="right" vertical="center" wrapText="1"/>
    </xf>
    <xf numFmtId="0" fontId="13" fillId="0" borderId="30" xfId="0" applyFont="1" applyBorder="1" applyAlignment="1">
      <alignment horizontal="left" vertical="center"/>
    </xf>
    <xf numFmtId="9" fontId="115" fillId="5" borderId="30" xfId="3" applyFont="1" applyFill="1" applyBorder="1" applyAlignment="1">
      <alignment horizontal="right" vertical="center"/>
    </xf>
    <xf numFmtId="9" fontId="66" fillId="2" borderId="0" xfId="3" applyFont="1" applyFill="1"/>
    <xf numFmtId="0" fontId="166" fillId="0" borderId="45" xfId="0" applyFont="1" applyBorder="1" applyAlignment="1">
      <alignment vertical="center" wrapText="1"/>
    </xf>
    <xf numFmtId="0" fontId="12" fillId="0" borderId="45" xfId="0" applyFont="1" applyBorder="1" applyAlignment="1">
      <alignment horizontal="center" vertical="center" wrapText="1"/>
    </xf>
    <xf numFmtId="9" fontId="12" fillId="2" borderId="0" xfId="3" applyFont="1" applyFill="1"/>
    <xf numFmtId="2" fontId="114" fillId="2" borderId="0" xfId="0" applyNumberFormat="1" applyFont="1" applyFill="1"/>
    <xf numFmtId="0" fontId="25" fillId="35" borderId="30" xfId="0" applyFont="1" applyFill="1" applyBorder="1" applyAlignment="1">
      <alignment horizontal="center" vertical="center" wrapText="1"/>
    </xf>
    <xf numFmtId="174" fontId="13" fillId="2" borderId="0" xfId="0" applyNumberFormat="1" applyFont="1" applyFill="1"/>
    <xf numFmtId="171" fontId="158" fillId="4" borderId="30" xfId="0" applyNumberFormat="1" applyFont="1" applyFill="1" applyBorder="1" applyAlignment="1">
      <alignment horizontal="right" vertical="center"/>
    </xf>
    <xf numFmtId="9" fontId="112" fillId="44" borderId="45" xfId="3" applyFont="1" applyFill="1" applyBorder="1" applyAlignment="1">
      <alignment vertical="center"/>
    </xf>
    <xf numFmtId="9" fontId="12" fillId="0" borderId="45" xfId="3" applyFont="1" applyFill="1" applyBorder="1" applyAlignment="1">
      <alignment vertical="center"/>
    </xf>
    <xf numFmtId="9" fontId="12" fillId="25" borderId="45" xfId="3" applyFont="1" applyFill="1" applyBorder="1" applyAlignment="1">
      <alignment horizontal="right" vertical="center"/>
    </xf>
    <xf numFmtId="9" fontId="167" fillId="0" borderId="45" xfId="3" applyFont="1" applyFill="1" applyBorder="1" applyAlignment="1">
      <alignment horizontal="right" vertical="center"/>
    </xf>
    <xf numFmtId="9" fontId="13" fillId="2" borderId="0" xfId="0" applyNumberFormat="1" applyFont="1" applyFill="1"/>
    <xf numFmtId="2" fontId="105" fillId="2" borderId="0" xfId="0" applyNumberFormat="1" applyFont="1" applyFill="1"/>
    <xf numFmtId="0" fontId="114" fillId="2" borderId="30" xfId="0" applyFont="1" applyFill="1" applyBorder="1" applyAlignment="1">
      <alignment horizontal="left" vertical="center" wrapText="1"/>
    </xf>
    <xf numFmtId="0" fontId="114" fillId="2" borderId="30" xfId="0" applyFont="1" applyFill="1" applyBorder="1" applyAlignment="1">
      <alignment vertical="center" wrapText="1"/>
    </xf>
    <xf numFmtId="0" fontId="117" fillId="2" borderId="30" xfId="0" applyFont="1" applyFill="1" applyBorder="1" applyAlignment="1">
      <alignment vertical="center" wrapText="1"/>
    </xf>
    <xf numFmtId="171" fontId="13" fillId="25" borderId="45" xfId="0" applyNumberFormat="1" applyFont="1" applyFill="1" applyBorder="1" applyAlignment="1">
      <alignment horizontal="right" vertical="center"/>
    </xf>
    <xf numFmtId="177" fontId="8" fillId="2" borderId="0" xfId="0" applyNumberFormat="1" applyFont="1" applyFill="1" applyAlignment="1">
      <alignment vertical="center"/>
    </xf>
    <xf numFmtId="0" fontId="10" fillId="10" borderId="30" xfId="0" applyFont="1" applyFill="1" applyBorder="1" applyAlignment="1">
      <alignment horizontal="right" vertical="center"/>
    </xf>
    <xf numFmtId="0" fontId="117" fillId="0" borderId="30" xfId="0" applyFont="1" applyBorder="1" applyAlignment="1">
      <alignment horizontal="left" vertical="top" wrapText="1"/>
    </xf>
    <xf numFmtId="1" fontId="115" fillId="20" borderId="30" xfId="0" applyNumberFormat="1" applyFont="1" applyFill="1" applyBorder="1" applyAlignment="1">
      <alignment horizontal="center" wrapText="1"/>
    </xf>
    <xf numFmtId="1" fontId="115" fillId="0" borderId="30" xfId="0" applyNumberFormat="1" applyFont="1" applyBorder="1" applyAlignment="1">
      <alignment horizontal="center" wrapText="1"/>
    </xf>
    <xf numFmtId="1" fontId="114" fillId="20" borderId="30" xfId="0" applyNumberFormat="1" applyFont="1" applyFill="1" applyBorder="1" applyAlignment="1">
      <alignment horizontal="center" vertical="center" wrapText="1"/>
    </xf>
    <xf numFmtId="1" fontId="115" fillId="0" borderId="30" xfId="0" applyNumberFormat="1" applyFont="1" applyBorder="1" applyAlignment="1">
      <alignment horizontal="center" vertical="center" wrapText="1"/>
    </xf>
    <xf numFmtId="1" fontId="115" fillId="20" borderId="30" xfId="0" applyNumberFormat="1" applyFont="1" applyFill="1" applyBorder="1" applyAlignment="1">
      <alignment horizontal="center" vertical="center" wrapText="1"/>
    </xf>
    <xf numFmtId="0" fontId="172" fillId="2" borderId="0" xfId="0" applyFont="1" applyFill="1"/>
    <xf numFmtId="0" fontId="13" fillId="2" borderId="30" xfId="0" applyFont="1" applyFill="1" applyBorder="1" applyAlignment="1">
      <alignment horizontal="left" vertical="center" wrapText="1"/>
    </xf>
    <xf numFmtId="0" fontId="105" fillId="35" borderId="30" xfId="0" applyFont="1" applyFill="1" applyBorder="1" applyAlignment="1">
      <alignment horizontal="left" vertical="center"/>
    </xf>
    <xf numFmtId="0" fontId="105" fillId="35" borderId="30" xfId="0" applyFont="1" applyFill="1" applyBorder="1" applyAlignment="1">
      <alignment horizontal="left" vertical="center" wrapText="1"/>
    </xf>
    <xf numFmtId="0" fontId="12" fillId="2" borderId="30" xfId="0" applyFont="1" applyFill="1" applyBorder="1" applyAlignment="1">
      <alignment horizontal="left" vertical="center" wrapText="1"/>
    </xf>
    <xf numFmtId="3" fontId="115" fillId="5" borderId="34" xfId="0" applyNumberFormat="1" applyFont="1" applyFill="1" applyBorder="1" applyAlignment="1">
      <alignment horizontal="right" vertical="center"/>
    </xf>
    <xf numFmtId="166" fontId="115" fillId="7" borderId="34" xfId="2" applyNumberFormat="1" applyFont="1" applyFill="1" applyBorder="1" applyAlignment="1">
      <alignment horizontal="right" vertical="center"/>
    </xf>
    <xf numFmtId="171" fontId="8" fillId="2" borderId="0" xfId="0" applyNumberFormat="1" applyFont="1" applyFill="1" applyAlignment="1">
      <alignment vertical="center"/>
    </xf>
    <xf numFmtId="1" fontId="8" fillId="2" borderId="0" xfId="0" applyNumberFormat="1" applyFont="1" applyFill="1" applyAlignment="1">
      <alignment vertical="center"/>
    </xf>
    <xf numFmtId="171" fontId="115" fillId="7" borderId="30" xfId="0" applyNumberFormat="1" applyFont="1" applyFill="1" applyBorder="1" applyAlignment="1">
      <alignment horizontal="right" vertical="center"/>
    </xf>
    <xf numFmtId="171" fontId="115" fillId="7" borderId="34" xfId="0" applyNumberFormat="1" applyFont="1" applyFill="1" applyBorder="1" applyAlignment="1">
      <alignment horizontal="right" vertical="center"/>
    </xf>
    <xf numFmtId="165" fontId="115" fillId="2" borderId="30" xfId="0" applyNumberFormat="1" applyFont="1" applyFill="1" applyBorder="1" applyAlignment="1">
      <alignment horizontal="right" vertical="center"/>
    </xf>
    <xf numFmtId="165" fontId="115" fillId="2" borderId="34" xfId="0" applyNumberFormat="1" applyFont="1" applyFill="1" applyBorder="1" applyAlignment="1">
      <alignment horizontal="right" vertical="center"/>
    </xf>
    <xf numFmtId="10" fontId="13" fillId="2" borderId="0" xfId="0" applyNumberFormat="1" applyFont="1" applyFill="1"/>
    <xf numFmtId="0" fontId="37" fillId="5" borderId="0" xfId="0" applyFont="1" applyFill="1" applyAlignment="1">
      <alignment vertical="center" wrapText="1"/>
    </xf>
    <xf numFmtId="0" fontId="25" fillId="2" borderId="0" xfId="0" applyFont="1" applyFill="1" applyAlignment="1">
      <alignment horizontal="center" vertical="center" wrapText="1"/>
    </xf>
    <xf numFmtId="0" fontId="115" fillId="2" borderId="42" xfId="0" applyFont="1" applyFill="1" applyBorder="1" applyAlignment="1">
      <alignment horizontal="right" vertical="center"/>
    </xf>
    <xf numFmtId="0" fontId="10" fillId="10" borderId="30" xfId="0" applyFont="1" applyFill="1" applyBorder="1" applyAlignment="1">
      <alignment horizontal="right" vertical="center" wrapText="1"/>
    </xf>
    <xf numFmtId="9" fontId="115" fillId="4" borderId="30" xfId="3" applyFont="1" applyFill="1" applyBorder="1" applyAlignment="1">
      <alignment horizontal="right" vertical="center"/>
    </xf>
    <xf numFmtId="0" fontId="120" fillId="39" borderId="30" xfId="0" applyFont="1" applyFill="1" applyBorder="1" applyAlignment="1">
      <alignment vertical="center" wrapText="1"/>
    </xf>
    <xf numFmtId="0" fontId="120" fillId="39" borderId="30" xfId="0" applyFont="1" applyFill="1" applyBorder="1" applyAlignment="1">
      <alignment vertical="center"/>
    </xf>
    <xf numFmtId="0" fontId="118" fillId="0" borderId="30" xfId="0" applyFont="1" applyBorder="1"/>
    <xf numFmtId="0" fontId="118" fillId="0" borderId="30" xfId="0" applyFont="1" applyBorder="1" applyAlignment="1">
      <alignment horizontal="center"/>
    </xf>
    <xf numFmtId="0" fontId="120" fillId="20" borderId="30" xfId="0" applyFont="1" applyFill="1" applyBorder="1" applyAlignment="1">
      <alignment vertical="center" wrapText="1"/>
    </xf>
    <xf numFmtId="0" fontId="120" fillId="20" borderId="30" xfId="0" applyFont="1" applyFill="1" applyBorder="1" applyAlignment="1">
      <alignment horizontal="center" vertical="center"/>
    </xf>
    <xf numFmtId="0" fontId="115" fillId="2" borderId="30" xfId="0" applyFont="1" applyFill="1" applyBorder="1" applyAlignment="1">
      <alignment horizontal="center"/>
    </xf>
    <xf numFmtId="0" fontId="114" fillId="2" borderId="0" xfId="0" applyFont="1" applyFill="1" applyAlignment="1">
      <alignment horizontal="left" vertical="center" wrapText="1"/>
    </xf>
    <xf numFmtId="0" fontId="120" fillId="20" borderId="30" xfId="0" applyFont="1" applyFill="1" applyBorder="1" applyAlignment="1">
      <alignment horizontal="left" vertical="center" wrapText="1"/>
    </xf>
    <xf numFmtId="0" fontId="151" fillId="20" borderId="30" xfId="0" applyFont="1" applyFill="1" applyBorder="1" applyAlignment="1">
      <alignment horizontal="center" vertical="center" wrapText="1"/>
    </xf>
    <xf numFmtId="0" fontId="120" fillId="2" borderId="30" xfId="0" applyFont="1" applyFill="1" applyBorder="1" applyAlignment="1">
      <alignment horizontal="center" vertical="center" wrapText="1"/>
    </xf>
    <xf numFmtId="0" fontId="114" fillId="2" borderId="30" xfId="0" applyFont="1" applyFill="1" applyBorder="1" applyAlignment="1">
      <alignment horizontal="center" vertical="center" wrapText="1"/>
    </xf>
    <xf numFmtId="0" fontId="117" fillId="2" borderId="30" xfId="0" applyFont="1" applyFill="1" applyBorder="1" applyAlignment="1">
      <alignment horizontal="center" vertical="center" wrapText="1"/>
    </xf>
    <xf numFmtId="0" fontId="115" fillId="10" borderId="30" xfId="0" applyFont="1" applyFill="1" applyBorder="1" applyAlignment="1">
      <alignment horizontal="right" vertical="center"/>
    </xf>
    <xf numFmtId="0" fontId="115" fillId="10" borderId="34" xfId="0" applyFont="1" applyFill="1" applyBorder="1" applyAlignment="1">
      <alignment horizontal="right" vertical="center"/>
    </xf>
    <xf numFmtId="9" fontId="114" fillId="2" borderId="64" xfId="3" applyFont="1" applyFill="1" applyBorder="1" applyAlignment="1">
      <alignment horizontal="center" vertical="center"/>
    </xf>
    <xf numFmtId="9" fontId="114" fillId="2" borderId="0" xfId="3" applyFont="1" applyFill="1" applyAlignment="1">
      <alignment vertical="center"/>
    </xf>
    <xf numFmtId="9" fontId="115" fillId="2" borderId="64" xfId="3" applyFont="1" applyFill="1" applyBorder="1" applyAlignment="1">
      <alignment horizontal="center" vertical="center"/>
    </xf>
    <xf numFmtId="171" fontId="114" fillId="2" borderId="0" xfId="0" applyNumberFormat="1" applyFont="1" applyFill="1" applyAlignment="1">
      <alignment vertical="center"/>
    </xf>
    <xf numFmtId="3" fontId="115" fillId="2" borderId="0" xfId="0" applyNumberFormat="1" applyFont="1" applyFill="1" applyAlignment="1">
      <alignment vertical="center"/>
    </xf>
    <xf numFmtId="164" fontId="114" fillId="2" borderId="0" xfId="3" applyNumberFormat="1" applyFont="1" applyFill="1" applyAlignment="1">
      <alignment vertical="center"/>
    </xf>
    <xf numFmtId="179" fontId="114" fillId="2" borderId="0" xfId="0" applyNumberFormat="1" applyFont="1" applyFill="1" applyAlignment="1">
      <alignment vertical="center"/>
    </xf>
    <xf numFmtId="43" fontId="114" fillId="2" borderId="0" xfId="0" applyNumberFormat="1" applyFont="1" applyFill="1" applyAlignment="1">
      <alignment vertical="center"/>
    </xf>
    <xf numFmtId="0" fontId="115" fillId="2" borderId="0" xfId="0" applyFont="1" applyFill="1" applyAlignment="1">
      <alignment vertical="center"/>
    </xf>
    <xf numFmtId="166" fontId="114" fillId="2" borderId="0" xfId="2" applyNumberFormat="1" applyFont="1" applyFill="1" applyAlignment="1">
      <alignment vertical="center"/>
    </xf>
    <xf numFmtId="2" fontId="114" fillId="2" borderId="0" xfId="0" applyNumberFormat="1" applyFont="1" applyFill="1" applyAlignment="1">
      <alignment vertical="center"/>
    </xf>
    <xf numFmtId="0" fontId="114" fillId="2" borderId="64" xfId="0" applyFont="1" applyFill="1" applyBorder="1" applyAlignment="1">
      <alignment vertical="center"/>
    </xf>
    <xf numFmtId="166" fontId="158" fillId="4" borderId="64" xfId="0" applyNumberFormat="1" applyFont="1" applyFill="1" applyBorder="1" applyAlignment="1">
      <alignment vertical="center"/>
    </xf>
    <xf numFmtId="166" fontId="114" fillId="2" borderId="64" xfId="0" applyNumberFormat="1" applyFont="1" applyFill="1" applyBorder="1" applyAlignment="1">
      <alignment vertical="center"/>
    </xf>
    <xf numFmtId="3" fontId="114" fillId="2" borderId="64" xfId="0" applyNumberFormat="1" applyFont="1" applyFill="1" applyBorder="1" applyAlignment="1">
      <alignment vertical="center"/>
    </xf>
    <xf numFmtId="168" fontId="158" fillId="4" borderId="64" xfId="0" applyNumberFormat="1" applyFont="1" applyFill="1" applyBorder="1" applyAlignment="1">
      <alignment vertical="center"/>
    </xf>
    <xf numFmtId="168" fontId="114" fillId="2" borderId="64" xfId="0" applyNumberFormat="1" applyFont="1" applyFill="1" applyBorder="1" applyAlignment="1">
      <alignment vertical="center"/>
    </xf>
    <xf numFmtId="3" fontId="158" fillId="4" borderId="64" xfId="0" applyNumberFormat="1" applyFont="1" applyFill="1" applyBorder="1" applyAlignment="1">
      <alignment vertical="center"/>
    </xf>
    <xf numFmtId="171" fontId="158" fillId="4" borderId="64" xfId="0" applyNumberFormat="1" applyFont="1" applyFill="1" applyBorder="1" applyAlignment="1">
      <alignment vertical="center"/>
    </xf>
    <xf numFmtId="171" fontId="114" fillId="2" borderId="64" xfId="0" applyNumberFormat="1" applyFont="1" applyFill="1" applyBorder="1" applyAlignment="1">
      <alignment vertical="center"/>
    </xf>
    <xf numFmtId="166" fontId="158" fillId="4" borderId="64" xfId="2" applyNumberFormat="1" applyFont="1" applyFill="1" applyBorder="1" applyAlignment="1">
      <alignment vertical="center"/>
    </xf>
    <xf numFmtId="166" fontId="114" fillId="2" borderId="64" xfId="2" applyNumberFormat="1" applyFont="1" applyFill="1" applyBorder="1" applyAlignment="1">
      <alignment vertical="center"/>
    </xf>
    <xf numFmtId="0" fontId="185" fillId="2" borderId="0" xfId="0" applyFont="1" applyFill="1" applyAlignment="1">
      <alignment horizontal="left" vertical="center"/>
    </xf>
    <xf numFmtId="0" fontId="186" fillId="2" borderId="0" xfId="0" applyFont="1" applyFill="1" applyAlignment="1">
      <alignment horizontal="left" vertical="center"/>
    </xf>
    <xf numFmtId="3" fontId="158" fillId="4" borderId="30" xfId="0" applyNumberFormat="1" applyFont="1" applyFill="1" applyBorder="1" applyAlignment="1">
      <alignment horizontal="right"/>
    </xf>
    <xf numFmtId="171" fontId="158" fillId="4" borderId="30" xfId="0" applyNumberFormat="1" applyFont="1" applyFill="1" applyBorder="1" applyAlignment="1">
      <alignment horizontal="right"/>
    </xf>
    <xf numFmtId="9" fontId="158" fillId="4" borderId="30" xfId="3" applyFont="1" applyFill="1" applyBorder="1" applyAlignment="1" applyProtection="1">
      <alignment horizontal="right"/>
    </xf>
    <xf numFmtId="9" fontId="158" fillId="4" borderId="30" xfId="0" applyNumberFormat="1" applyFont="1" applyFill="1" applyBorder="1" applyAlignment="1">
      <alignment horizontal="right"/>
    </xf>
    <xf numFmtId="3" fontId="87" fillId="4" borderId="30" xfId="0" applyNumberFormat="1" applyFont="1" applyFill="1" applyBorder="1" applyAlignment="1">
      <alignment horizontal="right"/>
    </xf>
    <xf numFmtId="1" fontId="87" fillId="4" borderId="30" xfId="0" applyNumberFormat="1" applyFont="1" applyFill="1" applyBorder="1" applyAlignment="1">
      <alignment horizontal="right"/>
    </xf>
    <xf numFmtId="0" fontId="87" fillId="4" borderId="30" xfId="0" applyFont="1" applyFill="1" applyBorder="1" applyAlignment="1">
      <alignment horizontal="right"/>
    </xf>
    <xf numFmtId="9" fontId="87" fillId="4" borderId="30" xfId="3" applyFont="1" applyFill="1" applyBorder="1" applyAlignment="1" applyProtection="1">
      <alignment horizontal="right"/>
    </xf>
    <xf numFmtId="166" fontId="87" fillId="3" borderId="30" xfId="2" applyNumberFormat="1" applyFont="1" applyFill="1" applyBorder="1" applyProtection="1"/>
    <xf numFmtId="1" fontId="87" fillId="4" borderId="30" xfId="0" applyNumberFormat="1" applyFont="1" applyFill="1" applyBorder="1"/>
    <xf numFmtId="9" fontId="87" fillId="4" borderId="30" xfId="0" applyNumberFormat="1" applyFont="1" applyFill="1" applyBorder="1" applyAlignment="1">
      <alignment horizontal="right"/>
    </xf>
    <xf numFmtId="2" fontId="158" fillId="4" borderId="30" xfId="0" applyNumberFormat="1" applyFont="1" applyFill="1" applyBorder="1" applyAlignment="1">
      <alignment horizontal="right"/>
    </xf>
    <xf numFmtId="0" fontId="104" fillId="35" borderId="30" xfId="0" applyFont="1" applyFill="1" applyBorder="1" applyAlignment="1">
      <alignment vertical="center"/>
    </xf>
    <xf numFmtId="0" fontId="104" fillId="35" borderId="30" xfId="0" applyFont="1" applyFill="1" applyBorder="1" applyAlignment="1">
      <alignment horizontal="right" vertical="center"/>
    </xf>
    <xf numFmtId="0" fontId="13" fillId="19" borderId="30" xfId="0" applyFont="1" applyFill="1" applyBorder="1" applyAlignment="1">
      <alignment vertical="center"/>
    </xf>
    <xf numFmtId="0" fontId="13" fillId="19"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3" fontId="108" fillId="4" borderId="30" xfId="0" applyNumberFormat="1" applyFont="1" applyFill="1" applyBorder="1" applyAlignment="1">
      <alignment horizontal="right" vertical="center"/>
    </xf>
    <xf numFmtId="0" fontId="11" fillId="19" borderId="30" xfId="0" applyFont="1" applyFill="1" applyBorder="1" applyAlignment="1">
      <alignment horizontal="right" vertical="center"/>
    </xf>
    <xf numFmtId="0" fontId="13" fillId="2" borderId="30" xfId="0" applyFont="1" applyFill="1" applyBorder="1" applyAlignment="1">
      <alignment vertical="center" wrapText="1"/>
    </xf>
    <xf numFmtId="0" fontId="12" fillId="2" borderId="30" xfId="0" applyFont="1" applyFill="1" applyBorder="1" applyAlignment="1">
      <alignment vertical="center" wrapText="1"/>
    </xf>
    <xf numFmtId="0" fontId="11" fillId="19" borderId="30" xfId="0" applyFont="1" applyFill="1" applyBorder="1" applyAlignment="1">
      <alignment vertical="center" wrapText="1"/>
    </xf>
    <xf numFmtId="0" fontId="11" fillId="19" borderId="30" xfId="0" applyFont="1" applyFill="1" applyBorder="1" applyAlignment="1">
      <alignment horizontal="left" vertical="center" wrapText="1"/>
    </xf>
    <xf numFmtId="3" fontId="160" fillId="4" borderId="30" xfId="0" applyNumberFormat="1" applyFont="1" applyFill="1" applyBorder="1" applyAlignment="1">
      <alignment horizontal="right" vertical="center"/>
    </xf>
    <xf numFmtId="0" fontId="13" fillId="19" borderId="30" xfId="0" applyFont="1" applyFill="1" applyBorder="1" applyAlignment="1">
      <alignment vertical="center" wrapText="1"/>
    </xf>
    <xf numFmtId="0" fontId="160" fillId="4" borderId="30" xfId="0" applyFont="1" applyFill="1" applyBorder="1" applyAlignment="1">
      <alignment horizontal="right" vertical="center" wrapText="1"/>
    </xf>
    <xf numFmtId="0" fontId="13" fillId="19" borderId="30" xfId="0" quotePrefix="1" applyFont="1" applyFill="1" applyBorder="1" applyAlignment="1">
      <alignment vertical="center" wrapText="1"/>
    </xf>
    <xf numFmtId="0" fontId="13" fillId="19" borderId="30" xfId="0" quotePrefix="1" applyFont="1" applyFill="1" applyBorder="1" applyAlignment="1">
      <alignment horizontal="left" vertical="center" wrapText="1"/>
    </xf>
    <xf numFmtId="0" fontId="66" fillId="4" borderId="30" xfId="0" applyFont="1" applyFill="1" applyBorder="1" applyAlignment="1">
      <alignment vertical="center"/>
    </xf>
    <xf numFmtId="0" fontId="12" fillId="19" borderId="30" xfId="0" applyFont="1" applyFill="1" applyBorder="1" applyAlignment="1">
      <alignment vertical="center" wrapText="1"/>
    </xf>
    <xf numFmtId="0" fontId="181" fillId="0" borderId="30" xfId="1" applyFont="1" applyBorder="1" applyAlignment="1" applyProtection="1">
      <alignment horizontal="right" vertical="center" wrapText="1"/>
    </xf>
    <xf numFmtId="0" fontId="13" fillId="0" borderId="30" xfId="0" applyFont="1" applyBorder="1" applyAlignment="1">
      <alignment vertical="center" wrapText="1"/>
    </xf>
    <xf numFmtId="0" fontId="12" fillId="19" borderId="30" xfId="0" applyFont="1" applyFill="1" applyBorder="1" applyAlignment="1">
      <alignment vertical="center"/>
    </xf>
    <xf numFmtId="0" fontId="11" fillId="2" borderId="30" xfId="0" applyFont="1" applyFill="1" applyBorder="1" applyAlignment="1">
      <alignment horizontal="right" vertical="center"/>
    </xf>
    <xf numFmtId="0" fontId="178" fillId="4" borderId="30" xfId="0" applyFont="1" applyFill="1" applyBorder="1" applyAlignment="1">
      <alignment horizontal="right" vertical="center"/>
    </xf>
    <xf numFmtId="0" fontId="155" fillId="2" borderId="30" xfId="1" applyFont="1" applyFill="1" applyBorder="1" applyAlignment="1" applyProtection="1">
      <alignment horizontal="right" vertical="center" wrapText="1"/>
    </xf>
    <xf numFmtId="0" fontId="13" fillId="19" borderId="0" xfId="0" applyFont="1" applyFill="1" applyAlignment="1">
      <alignment vertical="center"/>
    </xf>
    <xf numFmtId="0" fontId="13" fillId="19" borderId="0" xfId="0" applyFont="1" applyFill="1" applyAlignment="1">
      <alignment horizontal="left" vertical="center"/>
    </xf>
    <xf numFmtId="0" fontId="17" fillId="2" borderId="0" xfId="0" applyFont="1" applyFill="1" applyAlignment="1">
      <alignment horizontal="left" vertical="center"/>
    </xf>
    <xf numFmtId="0" fontId="106" fillId="2" borderId="0" xfId="0" applyFont="1" applyFill="1" applyAlignment="1">
      <alignment vertical="center"/>
    </xf>
    <xf numFmtId="0" fontId="13" fillId="2" borderId="0" xfId="0" applyFont="1" applyFill="1" applyAlignment="1">
      <alignment horizontal="left" vertical="center"/>
    </xf>
    <xf numFmtId="171" fontId="13" fillId="0" borderId="0" xfId="0" applyNumberFormat="1" applyFont="1" applyAlignment="1">
      <alignment vertical="center"/>
    </xf>
    <xf numFmtId="2" fontId="13" fillId="2" borderId="0" xfId="0" applyNumberFormat="1" applyFont="1" applyFill="1" applyAlignment="1">
      <alignment vertical="center"/>
    </xf>
    <xf numFmtId="164" fontId="13" fillId="2" borderId="0" xfId="3" applyNumberFormat="1" applyFont="1" applyFill="1" applyAlignment="1" applyProtection="1">
      <alignment vertical="center"/>
    </xf>
    <xf numFmtId="0" fontId="13" fillId="0" borderId="0" xfId="0" applyFont="1" applyAlignment="1">
      <alignment vertical="center"/>
    </xf>
    <xf numFmtId="172" fontId="13" fillId="2" borderId="0" xfId="0" applyNumberFormat="1" applyFont="1" applyFill="1" applyAlignment="1">
      <alignment vertical="center"/>
    </xf>
    <xf numFmtId="0" fontId="12" fillId="19" borderId="0" xfId="0" applyFont="1" applyFill="1" applyAlignment="1">
      <alignment vertical="center"/>
    </xf>
    <xf numFmtId="0" fontId="11" fillId="2" borderId="0" xfId="0" applyFont="1" applyFill="1" applyAlignment="1">
      <alignment horizontal="right" vertical="center"/>
    </xf>
    <xf numFmtId="0" fontId="8" fillId="26" borderId="0" xfId="0" applyFont="1" applyFill="1"/>
    <xf numFmtId="0" fontId="13" fillId="35" borderId="0" xfId="0" applyFont="1" applyFill="1"/>
    <xf numFmtId="0" fontId="12" fillId="4" borderId="0" xfId="0" applyFont="1" applyFill="1" applyAlignment="1">
      <alignment horizontal="left" vertical="center" wrapText="1"/>
    </xf>
    <xf numFmtId="0" fontId="13" fillId="35" borderId="0" xfId="0" applyFont="1" applyFill="1" applyAlignment="1">
      <alignment horizontal="left" indent="1"/>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wrapText="1"/>
    </xf>
    <xf numFmtId="0" fontId="12" fillId="4" borderId="0" xfId="0" applyFont="1" applyFill="1" applyAlignment="1">
      <alignment vertical="top"/>
    </xf>
    <xf numFmtId="0" fontId="12" fillId="4" borderId="0" xfId="0" applyFont="1" applyFill="1" applyAlignment="1">
      <alignment horizontal="left" vertical="top" indent="1"/>
    </xf>
    <xf numFmtId="0" fontId="14" fillId="4" borderId="0" xfId="0" applyFont="1" applyFill="1" applyAlignment="1">
      <alignment vertical="top"/>
    </xf>
    <xf numFmtId="0" fontId="13" fillId="35" borderId="0" xfId="0" applyFont="1" applyFill="1" applyAlignment="1">
      <alignment wrapText="1"/>
    </xf>
    <xf numFmtId="0" fontId="8" fillId="35" borderId="0" xfId="0" applyFont="1" applyFill="1"/>
    <xf numFmtId="0" fontId="146" fillId="23" borderId="0" xfId="0" applyFont="1" applyFill="1" applyAlignment="1">
      <alignment horizontal="left" vertical="center" indent="1"/>
    </xf>
    <xf numFmtId="0" fontId="8" fillId="4" borderId="0" xfId="0" applyFont="1" applyFill="1"/>
    <xf numFmtId="0" fontId="15" fillId="23" borderId="0" xfId="0" applyFont="1" applyFill="1" applyAlignment="1">
      <alignment vertical="center"/>
    </xf>
    <xf numFmtId="0" fontId="8" fillId="4" borderId="0" xfId="0" applyFont="1" applyFill="1" applyAlignment="1">
      <alignment horizontal="left" indent="1"/>
    </xf>
    <xf numFmtId="0" fontId="7" fillId="4" borderId="0" xfId="1" applyFont="1" applyFill="1" applyAlignment="1" applyProtection="1">
      <alignment horizontal="center" vertical="center"/>
    </xf>
    <xf numFmtId="0" fontId="9" fillId="4" borderId="0" xfId="0" applyFont="1" applyFill="1" applyAlignment="1">
      <alignment horizontal="right" vertical="center"/>
    </xf>
    <xf numFmtId="0" fontId="9" fillId="2" borderId="0" xfId="0" applyFont="1" applyFill="1" applyAlignment="1">
      <alignment horizontal="right" vertical="center"/>
    </xf>
    <xf numFmtId="0" fontId="31" fillId="2" borderId="0" xfId="0" applyFont="1" applyFill="1" applyAlignment="1">
      <alignment horizontal="center"/>
    </xf>
    <xf numFmtId="0" fontId="147" fillId="4" borderId="0" xfId="1" applyFont="1" applyFill="1" applyAlignment="1" applyProtection="1">
      <alignment horizontal="left" indent="1"/>
    </xf>
    <xf numFmtId="0" fontId="148" fillId="4" borderId="0" xfId="0" applyFont="1" applyFill="1"/>
    <xf numFmtId="0" fontId="147" fillId="4" borderId="0" xfId="1" applyFont="1" applyFill="1" applyBorder="1" applyAlignment="1" applyProtection="1">
      <alignment horizontal="left" indent="1"/>
    </xf>
    <xf numFmtId="0" fontId="58" fillId="34" borderId="0" xfId="0" applyFont="1" applyFill="1" applyAlignment="1">
      <alignment vertical="center"/>
    </xf>
    <xf numFmtId="0" fontId="11" fillId="19" borderId="9" xfId="0" applyFont="1" applyFill="1" applyBorder="1" applyAlignment="1">
      <alignment vertical="center"/>
    </xf>
    <xf numFmtId="0" fontId="130" fillId="2" borderId="0" xfId="0" applyFont="1" applyFill="1" applyAlignment="1">
      <alignment vertical="center"/>
    </xf>
    <xf numFmtId="0" fontId="131" fillId="2" borderId="0" xfId="0" applyFont="1" applyFill="1" applyAlignment="1">
      <alignment horizontal="left" vertical="center"/>
    </xf>
    <xf numFmtId="0" fontId="14" fillId="2" borderId="0" xfId="0" applyFont="1" applyFill="1" applyAlignment="1">
      <alignment horizontal="left" vertical="center"/>
    </xf>
    <xf numFmtId="0" fontId="19" fillId="35" borderId="31" xfId="0" applyFont="1" applyFill="1" applyBorder="1" applyAlignment="1">
      <alignment vertical="center" wrapText="1"/>
    </xf>
    <xf numFmtId="0" fontId="132" fillId="13" borderId="37" xfId="0" applyFont="1" applyFill="1" applyBorder="1" applyAlignment="1">
      <alignment vertical="center"/>
    </xf>
    <xf numFmtId="0" fontId="12" fillId="0" borderId="30" xfId="0" applyFont="1" applyBorder="1" applyAlignment="1">
      <alignment horizontal="right" vertical="center" wrapText="1"/>
    </xf>
    <xf numFmtId="0" fontId="12" fillId="0" borderId="30" xfId="0" applyFont="1" applyBorder="1" applyAlignment="1">
      <alignment vertical="center"/>
    </xf>
    <xf numFmtId="0" fontId="65" fillId="0" borderId="30" xfId="0" applyFont="1" applyBorder="1" applyAlignment="1">
      <alignment vertical="center" wrapText="1"/>
    </xf>
    <xf numFmtId="0" fontId="181" fillId="0" borderId="30" xfId="1" applyFont="1" applyFill="1" applyBorder="1" applyAlignment="1" applyProtection="1">
      <alignment horizontal="right" vertical="center" wrapText="1"/>
    </xf>
    <xf numFmtId="0" fontId="12" fillId="0" borderId="30" xfId="0" applyFont="1" applyBorder="1" applyAlignment="1">
      <alignment vertical="center" wrapText="1"/>
    </xf>
    <xf numFmtId="0" fontId="12" fillId="0" borderId="30" xfId="0" applyFont="1" applyBorder="1" applyAlignment="1">
      <alignment horizontal="center" vertical="center" wrapText="1"/>
    </xf>
    <xf numFmtId="0" fontId="155" fillId="0" borderId="30" xfId="1" applyFont="1" applyBorder="1" applyAlignment="1" applyProtection="1">
      <alignment horizontal="right" vertical="center" wrapText="1"/>
    </xf>
    <xf numFmtId="0" fontId="116" fillId="2" borderId="0" xfId="0" applyFont="1" applyFill="1" applyAlignment="1">
      <alignment horizontal="left" vertical="center" wrapText="1"/>
    </xf>
    <xf numFmtId="0" fontId="80" fillId="31" borderId="61" xfId="0" applyFont="1" applyFill="1" applyBorder="1" applyAlignment="1">
      <alignment horizontal="center" vertical="center" wrapText="1"/>
    </xf>
    <xf numFmtId="0" fontId="132" fillId="13" borderId="34" xfId="0" applyFont="1" applyFill="1" applyBorder="1" applyAlignment="1">
      <alignment vertical="center"/>
    </xf>
    <xf numFmtId="0" fontId="133" fillId="13" borderId="36" xfId="0" applyFont="1" applyFill="1" applyBorder="1" applyAlignment="1">
      <alignment vertical="center"/>
    </xf>
    <xf numFmtId="0" fontId="19" fillId="13" borderId="36" xfId="0" applyFont="1" applyFill="1" applyBorder="1" applyAlignment="1">
      <alignment vertical="center"/>
    </xf>
    <xf numFmtId="0" fontId="14" fillId="13" borderId="36" xfId="0" applyFont="1" applyFill="1" applyBorder="1" applyAlignment="1">
      <alignment vertical="center"/>
    </xf>
    <xf numFmtId="0" fontId="19" fillId="13" borderId="35" xfId="0" applyFont="1" applyFill="1" applyBorder="1" applyAlignment="1">
      <alignment vertical="center"/>
    </xf>
    <xf numFmtId="0" fontId="65" fillId="0" borderId="30" xfId="0" applyFont="1" applyBorder="1" applyAlignment="1">
      <alignment vertical="center"/>
    </xf>
    <xf numFmtId="0" fontId="116" fillId="2" borderId="0" xfId="0" applyFont="1" applyFill="1" applyAlignment="1">
      <alignment horizontal="center" vertical="center" wrapText="1"/>
    </xf>
    <xf numFmtId="0" fontId="117" fillId="12" borderId="30" xfId="0" applyFont="1" applyFill="1" applyBorder="1" applyAlignment="1">
      <alignment vertical="center" wrapText="1"/>
    </xf>
    <xf numFmtId="0" fontId="117" fillId="12" borderId="30" xfId="0" applyFont="1" applyFill="1" applyBorder="1" applyAlignment="1">
      <alignment horizontal="left" vertical="center" wrapText="1"/>
    </xf>
    <xf numFmtId="0" fontId="12" fillId="0" borderId="30" xfId="0" applyFont="1" applyBorder="1" applyAlignment="1">
      <alignment horizontal="right" vertical="center"/>
    </xf>
    <xf numFmtId="0" fontId="117" fillId="12" borderId="35" xfId="0" applyFont="1" applyFill="1" applyBorder="1" applyAlignment="1">
      <alignment vertical="center" wrapText="1"/>
    </xf>
    <xf numFmtId="0" fontId="179" fillId="0" borderId="30" xfId="0" applyFont="1" applyBorder="1" applyAlignment="1">
      <alignment horizontal="right" vertical="center" wrapText="1"/>
    </xf>
    <xf numFmtId="0" fontId="117" fillId="12" borderId="39"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3" fillId="0" borderId="0" xfId="0" applyFont="1" applyAlignment="1">
      <alignment horizontal="right" vertical="center" wrapText="1"/>
    </xf>
    <xf numFmtId="0" fontId="13" fillId="0" borderId="30" xfId="0" applyFont="1" applyBorder="1" applyAlignment="1">
      <alignment horizontal="right" vertical="center" wrapText="1"/>
    </xf>
    <xf numFmtId="0" fontId="13" fillId="0" borderId="73" xfId="0" applyFont="1" applyBorder="1" applyAlignment="1">
      <alignment horizontal="right" vertical="center" wrapText="1"/>
    </xf>
    <xf numFmtId="0" fontId="157" fillId="2" borderId="0" xfId="0" applyFont="1" applyFill="1" applyAlignment="1">
      <alignment vertical="center"/>
    </xf>
    <xf numFmtId="0" fontId="181" fillId="0" borderId="30" xfId="1" applyFont="1" applyBorder="1" applyAlignment="1" applyProtection="1">
      <alignment horizontal="right" vertical="center"/>
    </xf>
    <xf numFmtId="0" fontId="7" fillId="0" borderId="30" xfId="1" applyFont="1" applyFill="1" applyBorder="1" applyAlignment="1" applyProtection="1">
      <alignment horizontal="right" vertical="center" wrapText="1"/>
    </xf>
    <xf numFmtId="0" fontId="180" fillId="0" borderId="30" xfId="1" applyFont="1" applyFill="1" applyBorder="1" applyAlignment="1" applyProtection="1">
      <alignment horizontal="right" vertical="center" wrapText="1"/>
    </xf>
    <xf numFmtId="0" fontId="13" fillId="0" borderId="34" xfId="0" applyFont="1" applyBorder="1" applyAlignment="1">
      <alignment horizontal="left" vertical="center" wrapText="1"/>
    </xf>
    <xf numFmtId="0" fontId="12" fillId="0" borderId="37" xfId="0" applyFont="1" applyBorder="1" applyAlignment="1">
      <alignment horizontal="right" vertical="center" wrapText="1"/>
    </xf>
    <xf numFmtId="0" fontId="12" fillId="0" borderId="31" xfId="0" applyFont="1" applyBorder="1" applyAlignment="1">
      <alignment horizontal="center" vertical="center"/>
    </xf>
    <xf numFmtId="0" fontId="12" fillId="0" borderId="34" xfId="0" applyFont="1" applyBorder="1" applyAlignment="1">
      <alignment horizontal="right" vertical="center" wrapText="1"/>
    </xf>
    <xf numFmtId="0" fontId="181" fillId="0" borderId="40" xfId="1" applyFont="1" applyFill="1" applyBorder="1" applyAlignment="1" applyProtection="1">
      <alignment horizontal="right" vertical="center" wrapText="1"/>
    </xf>
    <xf numFmtId="0" fontId="181" fillId="0" borderId="34" xfId="1" applyFont="1" applyBorder="1" applyAlignment="1" applyProtection="1">
      <alignment horizontal="right" vertical="center" wrapText="1"/>
    </xf>
    <xf numFmtId="0" fontId="12" fillId="0" borderId="34" xfId="0" applyFont="1" applyBorder="1" applyAlignment="1">
      <alignment horizontal="right" vertical="center"/>
    </xf>
    <xf numFmtId="0" fontId="181" fillId="0" borderId="73" xfId="1" applyFont="1" applyFill="1" applyBorder="1" applyAlignment="1" applyProtection="1">
      <alignment horizontal="right" vertical="center"/>
    </xf>
    <xf numFmtId="0" fontId="66" fillId="14" borderId="71" xfId="0" applyFont="1" applyFill="1" applyBorder="1" applyAlignment="1">
      <alignment vertical="center" wrapText="1"/>
    </xf>
    <xf numFmtId="0" fontId="66" fillId="14" borderId="32" xfId="0" applyFont="1" applyFill="1" applyBorder="1" applyAlignment="1">
      <alignment vertical="center" wrapText="1"/>
    </xf>
    <xf numFmtId="0" fontId="14" fillId="14" borderId="32" xfId="0" applyFont="1" applyFill="1" applyBorder="1" applyAlignment="1">
      <alignment vertical="center" wrapText="1"/>
    </xf>
    <xf numFmtId="0" fontId="66" fillId="14" borderId="32" xfId="0" applyFont="1" applyFill="1" applyBorder="1" applyAlignment="1">
      <alignment horizontal="right" vertical="center" wrapText="1"/>
    </xf>
    <xf numFmtId="0" fontId="13" fillId="0" borderId="31" xfId="0" applyFont="1" applyBorder="1" applyAlignment="1">
      <alignmen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 fillId="0" borderId="31" xfId="0" applyFont="1" applyBorder="1" applyAlignment="1">
      <alignment vertical="center"/>
    </xf>
    <xf numFmtId="0" fontId="14" fillId="14" borderId="30" xfId="0" applyFont="1" applyFill="1" applyBorder="1" applyAlignment="1">
      <alignment vertical="center" wrapText="1"/>
    </xf>
    <xf numFmtId="0" fontId="66" fillId="14" borderId="30" xfId="0" applyFont="1" applyFill="1" applyBorder="1" applyAlignment="1">
      <alignment horizontal="right" vertical="center" wrapText="1"/>
    </xf>
    <xf numFmtId="0" fontId="66" fillId="14" borderId="30" xfId="0" applyFont="1" applyFill="1" applyBorder="1" applyAlignment="1">
      <alignment vertical="center" wrapText="1"/>
    </xf>
    <xf numFmtId="0" fontId="8" fillId="0" borderId="0" xfId="0" applyFont="1" applyAlignment="1">
      <alignment vertical="center" wrapText="1"/>
    </xf>
    <xf numFmtId="0" fontId="181" fillId="0" borderId="32" xfId="1" applyFont="1" applyBorder="1" applyAlignment="1" applyProtection="1">
      <alignment horizontal="right" vertical="center" wrapText="1"/>
    </xf>
    <xf numFmtId="0" fontId="12" fillId="0" borderId="32" xfId="0" applyFont="1" applyBorder="1" applyAlignment="1">
      <alignment vertical="center"/>
    </xf>
    <xf numFmtId="0" fontId="155" fillId="0" borderId="31" xfId="1" applyFont="1" applyBorder="1" applyAlignment="1" applyProtection="1">
      <alignment horizontal="righ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 fillId="0" borderId="30" xfId="1" applyBorder="1" applyAlignment="1" applyProtection="1">
      <alignment horizontal="right" vertical="center" wrapText="1"/>
    </xf>
    <xf numFmtId="0" fontId="12" fillId="0" borderId="32" xfId="0" applyFont="1" applyBorder="1" applyAlignment="1">
      <alignment horizontal="right" vertical="center"/>
    </xf>
    <xf numFmtId="0" fontId="12" fillId="0" borderId="32" xfId="0" applyFont="1" applyBorder="1" applyAlignment="1">
      <alignment horizontal="right" vertical="center" wrapText="1"/>
    </xf>
    <xf numFmtId="0" fontId="1" fillId="0" borderId="31" xfId="1" applyBorder="1" applyAlignment="1" applyProtection="1">
      <alignment horizontal="right" vertical="center" wrapText="1"/>
    </xf>
    <xf numFmtId="0" fontId="7" fillId="0" borderId="0" xfId="0" applyFont="1" applyAlignment="1">
      <alignment horizontal="right" vertical="center"/>
    </xf>
    <xf numFmtId="0" fontId="73" fillId="2" borderId="0" xfId="0" applyFont="1" applyFill="1" applyAlignment="1">
      <alignment vertical="center"/>
    </xf>
    <xf numFmtId="0" fontId="184" fillId="0" borderId="0" xfId="0" applyFont="1" applyAlignment="1">
      <alignment horizontal="right"/>
    </xf>
    <xf numFmtId="0" fontId="155" fillId="0" borderId="30" xfId="1" applyFont="1" applyBorder="1" applyAlignment="1" applyProtection="1">
      <alignment horizontal="right" vertical="center"/>
    </xf>
    <xf numFmtId="0" fontId="1" fillId="0" borderId="30" xfId="1" applyBorder="1" applyAlignment="1" applyProtection="1">
      <alignment horizontal="right" vertical="center"/>
    </xf>
    <xf numFmtId="0" fontId="72" fillId="2" borderId="0" xfId="0" applyFont="1" applyFill="1" applyAlignment="1">
      <alignment vertical="center"/>
    </xf>
    <xf numFmtId="0" fontId="12" fillId="2" borderId="0" xfId="0" applyFont="1" applyFill="1" applyAlignment="1">
      <alignment vertical="center"/>
    </xf>
    <xf numFmtId="0" fontId="132" fillId="2" borderId="0" xfId="0" applyFont="1" applyFill="1" applyAlignment="1">
      <alignment vertical="center"/>
    </xf>
    <xf numFmtId="0" fontId="80" fillId="2" borderId="0" xfId="0" applyFont="1" applyFill="1" applyAlignment="1">
      <alignment horizontal="left" vertical="center" wrapText="1"/>
    </xf>
    <xf numFmtId="0" fontId="162" fillId="0" borderId="30" xfId="1" applyFont="1" applyFill="1" applyBorder="1" applyAlignment="1" applyProtection="1">
      <alignment horizontal="right" vertical="center" wrapText="1"/>
    </xf>
    <xf numFmtId="0" fontId="181" fillId="0" borderId="30" xfId="1" applyFont="1" applyFill="1" applyBorder="1" applyAlignment="1" applyProtection="1">
      <alignment horizontal="right" vertical="center"/>
    </xf>
    <xf numFmtId="0" fontId="162" fillId="0" borderId="30" xfId="1" applyFont="1" applyFill="1" applyBorder="1" applyAlignment="1" applyProtection="1">
      <alignment horizontal="right" vertical="center"/>
    </xf>
    <xf numFmtId="0" fontId="12" fillId="20" borderId="30" xfId="0" applyFont="1" applyFill="1" applyBorder="1" applyAlignment="1">
      <alignment vertical="center"/>
    </xf>
    <xf numFmtId="0" fontId="87" fillId="0" borderId="0" xfId="0" applyFont="1" applyAlignment="1">
      <alignment vertical="center"/>
    </xf>
    <xf numFmtId="0" fontId="25" fillId="35" borderId="30" xfId="0" applyFont="1" applyFill="1" applyBorder="1" applyAlignment="1">
      <alignment horizontal="left" vertical="center"/>
    </xf>
    <xf numFmtId="0" fontId="25" fillId="35" borderId="30" xfId="0" applyFont="1" applyFill="1" applyBorder="1" applyAlignment="1">
      <alignment vertical="center"/>
    </xf>
    <xf numFmtId="0" fontId="25" fillId="35" borderId="30" xfId="0" applyFont="1" applyFill="1" applyBorder="1" applyAlignment="1">
      <alignment horizontal="right" vertical="center"/>
    </xf>
    <xf numFmtId="0" fontId="13" fillId="0" borderId="30" xfId="0" applyFont="1" applyBorder="1" applyAlignment="1">
      <alignment vertical="center"/>
    </xf>
    <xf numFmtId="0" fontId="13" fillId="2" borderId="30" xfId="0" applyFont="1" applyFill="1" applyBorder="1" applyAlignment="1">
      <alignment horizontal="right" vertical="center" wrapText="1"/>
    </xf>
    <xf numFmtId="0" fontId="8" fillId="2" borderId="30" xfId="0" applyFont="1" applyFill="1" applyBorder="1" applyAlignment="1">
      <alignment vertical="center"/>
    </xf>
    <xf numFmtId="0" fontId="14" fillId="0" borderId="30" xfId="0" applyFont="1" applyBorder="1" applyAlignment="1">
      <alignment horizontal="left" vertical="center" wrapText="1"/>
    </xf>
    <xf numFmtId="0" fontId="66" fillId="0" borderId="30" xfId="0" applyFont="1" applyBorder="1" applyAlignment="1">
      <alignment horizontal="left" vertical="center" wrapText="1"/>
    </xf>
    <xf numFmtId="0" fontId="8" fillId="0" borderId="30" xfId="0" applyFont="1" applyBorder="1" applyAlignment="1">
      <alignment vertical="center"/>
    </xf>
    <xf numFmtId="0" fontId="66" fillId="0" borderId="30" xfId="0" applyFont="1" applyBorder="1" applyAlignment="1">
      <alignment vertical="center" wrapText="1"/>
    </xf>
    <xf numFmtId="164" fontId="12" fillId="2" borderId="30" xfId="0" applyNumberFormat="1" applyFont="1" applyFill="1" applyBorder="1" applyAlignment="1">
      <alignment horizontal="right" vertical="center" wrapText="1"/>
    </xf>
    <xf numFmtId="164" fontId="155" fillId="2" borderId="30" xfId="1" applyNumberFormat="1" applyFont="1" applyFill="1" applyBorder="1" applyAlignment="1" applyProtection="1">
      <alignment horizontal="right" vertical="center" wrapText="1"/>
    </xf>
    <xf numFmtId="0" fontId="60" fillId="5" borderId="0" xfId="0" applyFont="1" applyFill="1"/>
    <xf numFmtId="0" fontId="102" fillId="5" borderId="0" xfId="0" applyFont="1" applyFill="1" applyAlignment="1">
      <alignment horizontal="left"/>
    </xf>
    <xf numFmtId="0" fontId="102" fillId="7" borderId="0" xfId="0" applyFont="1" applyFill="1" applyAlignment="1">
      <alignment horizontal="left"/>
    </xf>
    <xf numFmtId="0" fontId="102" fillId="29" borderId="0" xfId="0" applyFont="1" applyFill="1" applyAlignment="1">
      <alignment horizontal="left"/>
    </xf>
    <xf numFmtId="0" fontId="114" fillId="2" borderId="0" xfId="0" applyFont="1" applyFill="1" applyAlignment="1">
      <alignment horizontal="center"/>
    </xf>
    <xf numFmtId="0" fontId="154" fillId="35" borderId="30" xfId="0" applyFont="1" applyFill="1" applyBorder="1" applyAlignment="1">
      <alignment horizontal="left" vertical="center"/>
    </xf>
    <xf numFmtId="0" fontId="154" fillId="35" borderId="30" xfId="0" applyFont="1" applyFill="1" applyBorder="1" applyAlignment="1">
      <alignment horizontal="left" vertical="center" wrapText="1"/>
    </xf>
    <xf numFmtId="0" fontId="63" fillId="35" borderId="30"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05" fillId="2" borderId="0" xfId="0" applyFont="1" applyFill="1" applyAlignment="1">
      <alignment horizontal="center"/>
    </xf>
    <xf numFmtId="0" fontId="114" fillId="0" borderId="30" xfId="0" applyFont="1" applyBorder="1"/>
    <xf numFmtId="0" fontId="114" fillId="2" borderId="30" xfId="0" applyFont="1" applyFill="1" applyBorder="1"/>
    <xf numFmtId="0" fontId="13" fillId="19" borderId="0" xfId="0" applyFont="1" applyFill="1"/>
    <xf numFmtId="0" fontId="115" fillId="2" borderId="30" xfId="0" applyFont="1" applyFill="1" applyBorder="1"/>
    <xf numFmtId="0" fontId="115" fillId="3" borderId="30" xfId="0" applyFont="1" applyFill="1" applyBorder="1"/>
    <xf numFmtId="0" fontId="13" fillId="3" borderId="0" xfId="0" applyFont="1" applyFill="1"/>
    <xf numFmtId="0" fontId="89" fillId="5" borderId="0" xfId="0" applyFont="1" applyFill="1" applyAlignment="1">
      <alignment vertical="center"/>
    </xf>
    <xf numFmtId="0" fontId="22" fillId="2" borderId="0" xfId="0" applyFont="1" applyFill="1" applyAlignment="1">
      <alignment vertical="center"/>
    </xf>
    <xf numFmtId="0" fontId="134" fillId="37" borderId="0" xfId="0" applyFont="1" applyFill="1" applyAlignment="1">
      <alignment horizontal="left" vertical="center"/>
    </xf>
    <xf numFmtId="0" fontId="41" fillId="37" borderId="0" xfId="0" applyFont="1" applyFill="1" applyAlignment="1">
      <alignment horizontal="left" vertical="center" wrapText="1"/>
    </xf>
    <xf numFmtId="0" fontId="42" fillId="37" borderId="0" xfId="0" applyFont="1" applyFill="1" applyAlignment="1">
      <alignment horizontal="right" vertical="center"/>
    </xf>
    <xf numFmtId="0" fontId="43" fillId="37" borderId="0" xfId="0" applyFont="1" applyFill="1" applyAlignment="1">
      <alignment vertical="center"/>
    </xf>
    <xf numFmtId="0" fontId="134" fillId="2" borderId="0" xfId="0" applyFont="1" applyFill="1" applyAlignment="1">
      <alignment horizontal="left" vertical="center"/>
    </xf>
    <xf numFmtId="0" fontId="41" fillId="2" borderId="0" xfId="0" applyFont="1" applyFill="1" applyAlignment="1">
      <alignment horizontal="lef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52" fillId="10" borderId="30" xfId="0" applyFont="1" applyFill="1" applyBorder="1" applyAlignment="1">
      <alignment horizontal="left" vertical="center" wrapText="1"/>
    </xf>
    <xf numFmtId="0" fontId="149" fillId="10" borderId="30" xfId="0" applyFont="1" applyFill="1" applyBorder="1" applyAlignment="1">
      <alignment horizontal="right" vertical="center" wrapText="1"/>
    </xf>
    <xf numFmtId="0" fontId="7" fillId="10" borderId="30" xfId="0" applyFont="1" applyFill="1" applyBorder="1" applyAlignment="1">
      <alignment horizontal="right" vertical="center"/>
    </xf>
    <xf numFmtId="0" fontId="148" fillId="10" borderId="30" xfId="0" applyFont="1" applyFill="1" applyBorder="1" applyAlignment="1">
      <alignment horizontal="right" vertical="center" wrapText="1"/>
    </xf>
    <xf numFmtId="0" fontId="148" fillId="10" borderId="30" xfId="0" applyFont="1" applyFill="1" applyBorder="1" applyAlignment="1">
      <alignment horizontal="right" vertical="center"/>
    </xf>
    <xf numFmtId="3" fontId="150" fillId="43" borderId="62" xfId="0" applyNumberFormat="1" applyFont="1" applyFill="1" applyBorder="1"/>
    <xf numFmtId="9" fontId="151" fillId="4" borderId="30" xfId="3" applyFont="1" applyFill="1" applyBorder="1" applyAlignment="1" applyProtection="1">
      <alignment horizontal="right" vertical="center"/>
    </xf>
    <xf numFmtId="164" fontId="151" fillId="4" borderId="30" xfId="3" applyNumberFormat="1" applyFont="1" applyFill="1" applyBorder="1" applyAlignment="1" applyProtection="1">
      <alignment horizontal="right" vertical="center"/>
    </xf>
    <xf numFmtId="3" fontId="150" fillId="43" borderId="63" xfId="0" applyNumberFormat="1" applyFont="1" applyFill="1" applyBorder="1"/>
    <xf numFmtId="3" fontId="120" fillId="5" borderId="30" xfId="0" applyNumberFormat="1" applyFont="1" applyFill="1" applyBorder="1" applyAlignment="1">
      <alignment horizontal="right" vertical="center"/>
    </xf>
    <xf numFmtId="166" fontId="35" fillId="5" borderId="0" xfId="2" applyNumberFormat="1" applyFont="1" applyFill="1" applyAlignment="1" applyProtection="1">
      <alignment vertical="center" wrapText="1"/>
    </xf>
    <xf numFmtId="166" fontId="8" fillId="2" borderId="0" xfId="2" applyNumberFormat="1" applyFont="1" applyFill="1" applyAlignment="1" applyProtection="1">
      <alignment vertical="center"/>
    </xf>
    <xf numFmtId="3" fontId="8" fillId="2" borderId="0" xfId="0" applyNumberFormat="1" applyFont="1" applyFill="1" applyAlignment="1">
      <alignment vertical="center"/>
    </xf>
    <xf numFmtId="174" fontId="8" fillId="2" borderId="0" xfId="3" applyNumberFormat="1" applyFont="1" applyFill="1" applyAlignment="1" applyProtection="1">
      <alignment vertical="center"/>
    </xf>
    <xf numFmtId="0" fontId="10" fillId="5" borderId="30" xfId="0" applyFont="1" applyFill="1" applyBorder="1" applyAlignment="1">
      <alignment horizontal="left" vertical="center" wrapText="1"/>
    </xf>
    <xf numFmtId="171" fontId="120" fillId="5" borderId="30" xfId="0" applyNumberFormat="1" applyFont="1" applyFill="1" applyBorder="1" applyAlignment="1">
      <alignment horizontal="right" vertical="center"/>
    </xf>
    <xf numFmtId="10" fontId="151" fillId="4" borderId="30" xfId="3" applyNumberFormat="1" applyFont="1" applyFill="1" applyBorder="1" applyAlignment="1" applyProtection="1">
      <alignment horizontal="right" vertical="center"/>
    </xf>
    <xf numFmtId="0" fontId="45" fillId="2" borderId="0" xfId="0" applyFont="1" applyFill="1" applyAlignment="1">
      <alignment horizontal="left" vertical="center"/>
    </xf>
    <xf numFmtId="9" fontId="45" fillId="2" borderId="0" xfId="3" applyFont="1" applyFill="1" applyAlignment="1" applyProtection="1">
      <alignment horizontal="right" vertical="center"/>
    </xf>
    <xf numFmtId="2" fontId="45" fillId="2" borderId="0" xfId="0" applyNumberFormat="1" applyFont="1" applyFill="1" applyAlignment="1">
      <alignment horizontal="right" vertical="center"/>
    </xf>
    <xf numFmtId="164" fontId="35" fillId="5" borderId="0" xfId="3" applyNumberFormat="1" applyFont="1" applyFill="1" applyAlignment="1" applyProtection="1">
      <alignment horizontal="center" vertical="center" wrapText="1"/>
    </xf>
    <xf numFmtId="164" fontId="35" fillId="5" borderId="0" xfId="3" applyNumberFormat="1" applyFont="1" applyFill="1" applyAlignment="1" applyProtection="1">
      <alignment horizontal="right" vertical="center"/>
    </xf>
    <xf numFmtId="0" fontId="153" fillId="10" borderId="30" xfId="0" applyFont="1" applyFill="1" applyBorder="1" applyAlignment="1">
      <alignment horizontal="left" vertical="center" wrapText="1"/>
    </xf>
    <xf numFmtId="0" fontId="81" fillId="10" borderId="30" xfId="0" applyFont="1" applyFill="1" applyBorder="1" applyAlignment="1">
      <alignment horizontal="right" vertical="center" wrapText="1"/>
    </xf>
    <xf numFmtId="0" fontId="118" fillId="0" borderId="30" xfId="0" applyFont="1" applyBorder="1" applyAlignment="1">
      <alignment horizontal="left" vertical="center" wrapText="1"/>
    </xf>
    <xf numFmtId="3" fontId="87" fillId="4" borderId="30" xfId="0" applyNumberFormat="1" applyFont="1" applyFill="1" applyBorder="1" applyAlignment="1">
      <alignment horizontal="right" vertical="center" wrapText="1"/>
    </xf>
    <xf numFmtId="3" fontId="115" fillId="0" borderId="30" xfId="0" applyNumberFormat="1" applyFont="1" applyBorder="1" applyAlignment="1">
      <alignment horizontal="right" vertical="center"/>
    </xf>
    <xf numFmtId="3" fontId="115" fillId="0" borderId="30" xfId="0" applyNumberFormat="1" applyFont="1" applyBorder="1" applyAlignment="1">
      <alignment horizontal="right" vertical="center" wrapText="1"/>
    </xf>
    <xf numFmtId="164" fontId="37" fillId="4" borderId="30" xfId="3" applyNumberFormat="1" applyFont="1" applyFill="1" applyBorder="1" applyAlignment="1" applyProtection="1">
      <alignment horizontal="right" vertical="center"/>
    </xf>
    <xf numFmtId="164" fontId="8" fillId="2" borderId="0" xfId="3" applyNumberFormat="1" applyFont="1" applyFill="1" applyAlignment="1" applyProtection="1">
      <alignment vertical="center"/>
    </xf>
    <xf numFmtId="9" fontId="35" fillId="5" borderId="0" xfId="3" applyFont="1" applyFill="1" applyAlignment="1" applyProtection="1">
      <alignment vertical="center" wrapText="1"/>
    </xf>
    <xf numFmtId="3" fontId="35" fillId="5" borderId="0" xfId="0" applyNumberFormat="1" applyFont="1" applyFill="1" applyAlignment="1">
      <alignment vertical="center" wrapText="1"/>
    </xf>
    <xf numFmtId="3" fontId="115" fillId="2" borderId="30" xfId="0" applyNumberFormat="1" applyFont="1" applyFill="1" applyBorder="1" applyAlignment="1">
      <alignment horizontal="right" vertical="center" wrapText="1"/>
    </xf>
    <xf numFmtId="9" fontId="35" fillId="5" borderId="0" xfId="3" applyFont="1" applyFill="1" applyAlignment="1" applyProtection="1">
      <alignment horizontal="center" vertical="center" wrapText="1"/>
    </xf>
    <xf numFmtId="0" fontId="119" fillId="0" borderId="30" xfId="0" applyFont="1" applyBorder="1" applyAlignment="1">
      <alignment horizontal="left" vertical="center" wrapText="1"/>
    </xf>
    <xf numFmtId="0" fontId="119" fillId="0" borderId="30" xfId="0" applyFont="1" applyBorder="1" applyAlignment="1">
      <alignment vertical="center" wrapText="1"/>
    </xf>
    <xf numFmtId="0" fontId="30" fillId="5" borderId="0" xfId="0" applyFont="1" applyFill="1" applyAlignment="1">
      <alignment horizontal="left" vertical="center"/>
    </xf>
    <xf numFmtId="0" fontId="30" fillId="5" borderId="0" xfId="0" applyFont="1" applyFill="1" applyAlignment="1">
      <alignment horizontal="right" vertical="center"/>
    </xf>
    <xf numFmtId="164" fontId="8" fillId="2" borderId="0" xfId="3" applyNumberFormat="1" applyFont="1" applyFill="1" applyBorder="1" applyAlignment="1" applyProtection="1">
      <alignment horizontal="right" vertical="center"/>
    </xf>
    <xf numFmtId="0" fontId="7" fillId="8" borderId="30" xfId="0" applyFont="1" applyFill="1" applyBorder="1" applyAlignment="1">
      <alignment horizontal="right" vertical="center" wrapText="1"/>
    </xf>
    <xf numFmtId="3" fontId="8" fillId="4" borderId="30" xfId="0" applyNumberFormat="1" applyFont="1" applyFill="1" applyBorder="1" applyAlignment="1">
      <alignment horizontal="right" vertical="center" wrapText="1"/>
    </xf>
    <xf numFmtId="3" fontId="8" fillId="0" borderId="30" xfId="0" applyNumberFormat="1" applyFont="1" applyBorder="1" applyAlignment="1">
      <alignment horizontal="right" vertical="center" wrapText="1"/>
    </xf>
    <xf numFmtId="164" fontId="8" fillId="4" borderId="30" xfId="3" applyNumberFormat="1" applyFont="1" applyFill="1" applyBorder="1" applyAlignment="1" applyProtection="1">
      <alignment horizontal="right" vertical="center"/>
    </xf>
    <xf numFmtId="9" fontId="8" fillId="2" borderId="0" xfId="3" applyFont="1" applyFill="1" applyAlignment="1" applyProtection="1">
      <alignment vertical="center"/>
    </xf>
    <xf numFmtId="3" fontId="7" fillId="4" borderId="30" xfId="0" applyNumberFormat="1" applyFont="1" applyFill="1" applyBorder="1" applyAlignment="1">
      <alignment horizontal="right" vertical="center" wrapText="1"/>
    </xf>
    <xf numFmtId="3" fontId="7" fillId="0" borderId="30" xfId="0" applyNumberFormat="1" applyFont="1" applyBorder="1" applyAlignment="1">
      <alignment horizontal="right" vertical="center" wrapText="1"/>
    </xf>
    <xf numFmtId="0" fontId="120" fillId="0" borderId="30" xfId="0" applyFont="1" applyBorder="1" applyAlignment="1">
      <alignment vertical="center" wrapText="1"/>
    </xf>
    <xf numFmtId="164" fontId="45" fillId="5" borderId="0" xfId="3" applyNumberFormat="1" applyFont="1" applyFill="1" applyAlignment="1" applyProtection="1">
      <alignment horizontal="right" vertical="center"/>
    </xf>
    <xf numFmtId="164" fontId="49" fillId="5" borderId="0" xfId="3" applyNumberFormat="1" applyFont="1" applyFill="1" applyAlignment="1" applyProtection="1">
      <alignment horizontal="right" vertical="center"/>
    </xf>
    <xf numFmtId="165" fontId="87" fillId="4" borderId="30" xfId="0" applyNumberFormat="1" applyFont="1" applyFill="1" applyBorder="1" applyAlignment="1">
      <alignment horizontal="right" vertical="center" wrapText="1"/>
    </xf>
    <xf numFmtId="171" fontId="114" fillId="5" borderId="30" xfId="0" applyNumberFormat="1" applyFont="1" applyFill="1" applyBorder="1" applyAlignment="1">
      <alignment horizontal="right" vertical="center"/>
    </xf>
    <xf numFmtId="0" fontId="115" fillId="0" borderId="0" xfId="0" applyFont="1" applyAlignment="1">
      <alignmen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114" fillId="5" borderId="0" xfId="0" applyNumberFormat="1" applyFont="1" applyFill="1" applyAlignment="1">
      <alignment horizontal="right" vertical="center"/>
    </xf>
    <xf numFmtId="164" fontId="37" fillId="4" borderId="0" xfId="3" applyNumberFormat="1" applyFont="1" applyFill="1" applyBorder="1" applyAlignment="1" applyProtection="1">
      <alignment horizontal="right" vertical="center"/>
    </xf>
    <xf numFmtId="3" fontId="115" fillId="40" borderId="30" xfId="0" applyNumberFormat="1" applyFont="1" applyFill="1" applyBorder="1" applyAlignment="1">
      <alignment horizontal="right" vertical="center" wrapText="1"/>
    </xf>
    <xf numFmtId="0" fontId="135" fillId="37" borderId="0" xfId="0" applyFont="1" applyFill="1" applyAlignment="1">
      <alignment horizontal="left" vertical="center"/>
    </xf>
    <xf numFmtId="0" fontId="30" fillId="5" borderId="0" xfId="0" applyFont="1" applyFill="1" applyAlignment="1">
      <alignment horizontal="left" vertical="center" wrapText="1"/>
    </xf>
    <xf numFmtId="0" fontId="35" fillId="5" borderId="0" xfId="0" applyFont="1" applyFill="1" applyAlignment="1">
      <alignment horizontal="right" vertical="center" wrapText="1"/>
    </xf>
    <xf numFmtId="166" fontId="87" fillId="23" borderId="30" xfId="2" applyNumberFormat="1" applyFont="1" applyFill="1" applyBorder="1" applyAlignment="1" applyProtection="1">
      <alignment horizontal="right" vertical="center"/>
    </xf>
    <xf numFmtId="166" fontId="115" fillId="7" borderId="30" xfId="2" applyNumberFormat="1" applyFont="1" applyFill="1" applyBorder="1" applyAlignment="1" applyProtection="1">
      <alignment horizontal="right" vertical="center"/>
    </xf>
    <xf numFmtId="164" fontId="67" fillId="4" borderId="30" xfId="3" applyNumberFormat="1" applyFont="1" applyFill="1" applyBorder="1" applyAlignment="1" applyProtection="1">
      <alignment horizontal="right" vertical="center"/>
    </xf>
    <xf numFmtId="171" fontId="115" fillId="4" borderId="30" xfId="0" applyNumberFormat="1" applyFont="1" applyFill="1" applyBorder="1" applyAlignment="1">
      <alignment horizontal="right" vertical="center"/>
    </xf>
    <xf numFmtId="9" fontId="87" fillId="4" borderId="30" xfId="0" applyNumberFormat="1" applyFont="1" applyFill="1" applyBorder="1" applyAlignment="1">
      <alignment horizontal="right" vertical="center"/>
    </xf>
    <xf numFmtId="9" fontId="115" fillId="0" borderId="30" xfId="0" applyNumberFormat="1" applyFont="1" applyBorder="1" applyAlignment="1">
      <alignment horizontal="right" vertical="center"/>
    </xf>
    <xf numFmtId="10" fontId="7" fillId="2" borderId="0" xfId="0" applyNumberFormat="1" applyFont="1" applyFill="1" applyAlignment="1">
      <alignment horizontal="right" vertical="center"/>
    </xf>
    <xf numFmtId="166" fontId="30" fillId="5" borderId="0" xfId="0" applyNumberFormat="1" applyFont="1" applyFill="1" applyAlignment="1">
      <alignment horizontal="right" vertical="center"/>
    </xf>
    <xf numFmtId="168" fontId="110" fillId="5" borderId="0" xfId="0" applyNumberFormat="1" applyFont="1" applyFill="1" applyAlignment="1">
      <alignment horizontal="right" vertical="center"/>
    </xf>
    <xf numFmtId="169" fontId="83" fillId="8" borderId="30" xfId="0" applyNumberFormat="1" applyFont="1" applyFill="1" applyBorder="1" applyAlignment="1">
      <alignment vertical="center" wrapText="1"/>
    </xf>
    <xf numFmtId="0" fontId="52" fillId="8" borderId="30" xfId="0" applyFont="1" applyFill="1" applyBorder="1" applyAlignment="1">
      <alignment horizontal="left" vertical="center"/>
    </xf>
    <xf numFmtId="0" fontId="7" fillId="0" borderId="30" xfId="0" applyFont="1" applyBorder="1" applyAlignment="1">
      <alignment vertical="center"/>
    </xf>
    <xf numFmtId="0" fontId="7" fillId="0" borderId="30" xfId="0" applyFont="1" applyBorder="1" applyAlignment="1">
      <alignment horizontal="left" vertical="center"/>
    </xf>
    <xf numFmtId="3" fontId="10" fillId="4" borderId="30" xfId="0" applyNumberFormat="1" applyFont="1" applyFill="1" applyBorder="1" applyAlignment="1">
      <alignment horizontal="right" vertical="center"/>
    </xf>
    <xf numFmtId="3" fontId="7" fillId="0" borderId="30" xfId="0" applyNumberFormat="1" applyFont="1" applyBorder="1" applyAlignment="1">
      <alignment horizontal="right" vertical="center"/>
    </xf>
    <xf numFmtId="170" fontId="7" fillId="0" borderId="30" xfId="0" applyNumberFormat="1" applyFont="1" applyBorder="1" applyAlignment="1">
      <alignment horizontal="right" vertical="center"/>
    </xf>
    <xf numFmtId="0" fontId="7" fillId="0" borderId="30" xfId="0" applyFont="1" applyBorder="1" applyAlignment="1">
      <alignment horizontal="left" vertical="center" indent="1"/>
    </xf>
    <xf numFmtId="0" fontId="7" fillId="0" borderId="30" xfId="0" applyFont="1" applyBorder="1" applyAlignment="1">
      <alignment horizontal="left" vertical="center" wrapText="1" indent="1"/>
    </xf>
    <xf numFmtId="0" fontId="8" fillId="2" borderId="30" xfId="0" applyFont="1" applyFill="1" applyBorder="1" applyAlignment="1">
      <alignment horizontal="left" vertical="center"/>
    </xf>
    <xf numFmtId="0" fontId="8" fillId="2" borderId="30" xfId="0" applyFont="1" applyFill="1" applyBorder="1" applyAlignment="1">
      <alignment horizontal="right" vertical="center"/>
    </xf>
    <xf numFmtId="0" fontId="8" fillId="4" borderId="30" xfId="0" applyFont="1" applyFill="1" applyBorder="1" applyAlignment="1">
      <alignment horizontal="right" vertical="center"/>
    </xf>
    <xf numFmtId="3" fontId="87" fillId="4" borderId="30" xfId="0" applyNumberFormat="1" applyFont="1" applyFill="1" applyBorder="1" applyAlignment="1">
      <alignment horizontal="right" vertical="center"/>
    </xf>
    <xf numFmtId="170" fontId="115" fillId="0" borderId="30" xfId="0" applyNumberFormat="1" applyFont="1" applyBorder="1" applyAlignment="1">
      <alignment horizontal="right" vertical="center"/>
    </xf>
    <xf numFmtId="0" fontId="115" fillId="0" borderId="30" xfId="0" applyFont="1" applyBorder="1" applyAlignment="1">
      <alignment horizontal="left" vertical="center" indent="1"/>
    </xf>
    <xf numFmtId="0" fontId="7" fillId="2" borderId="0" xfId="0" applyFont="1" applyFill="1" applyAlignment="1">
      <alignment horizontal="left" vertical="center" indent="1"/>
    </xf>
    <xf numFmtId="0" fontId="115" fillId="0" borderId="30" xfId="0" applyFont="1" applyBorder="1" applyAlignment="1">
      <alignment horizontal="left" vertical="center" wrapText="1" indent="1"/>
    </xf>
    <xf numFmtId="0" fontId="7" fillId="2" borderId="0" xfId="0" applyFont="1" applyFill="1" applyAlignment="1">
      <alignment horizontal="left" vertical="center" wrapText="1" indent="1"/>
    </xf>
    <xf numFmtId="0" fontId="115" fillId="2" borderId="30" xfId="0" applyFont="1" applyFill="1" applyBorder="1" applyAlignment="1">
      <alignment horizontal="left" vertical="center"/>
    </xf>
    <xf numFmtId="3" fontId="120" fillId="4" borderId="30" xfId="0" applyNumberFormat="1" applyFont="1" applyFill="1" applyBorder="1" applyAlignment="1">
      <alignment horizontal="right" vertical="center"/>
    </xf>
    <xf numFmtId="0" fontId="7" fillId="2" borderId="0" xfId="0" applyFont="1" applyFill="1" applyAlignment="1">
      <alignment horizontal="left" vertical="center"/>
    </xf>
    <xf numFmtId="0" fontId="115" fillId="2" borderId="30" xfId="0" applyFont="1" applyFill="1" applyBorder="1" applyAlignment="1">
      <alignment horizontal="left" vertical="center" indent="1"/>
    </xf>
    <xf numFmtId="3" fontId="52" fillId="4" borderId="30" xfId="0" applyNumberFormat="1" applyFont="1" applyFill="1" applyBorder="1" applyAlignment="1">
      <alignment horizontal="right" vertical="center"/>
    </xf>
    <xf numFmtId="0" fontId="46" fillId="2" borderId="0" xfId="0" applyFont="1" applyFill="1" applyAlignment="1">
      <alignment vertical="center"/>
    </xf>
    <xf numFmtId="0" fontId="7" fillId="2" borderId="1" xfId="0" applyFont="1" applyFill="1" applyBorder="1" applyAlignment="1">
      <alignment horizontal="left" vertical="center" wrapText="1"/>
    </xf>
    <xf numFmtId="175" fontId="10" fillId="2" borderId="1" xfId="3" applyNumberFormat="1" applyFont="1" applyFill="1" applyBorder="1" applyAlignment="1" applyProtection="1">
      <alignment horizontal="right" vertical="center"/>
    </xf>
    <xf numFmtId="0" fontId="10" fillId="2" borderId="1" xfId="2" applyNumberFormat="1" applyFont="1" applyFill="1" applyBorder="1" applyAlignment="1" applyProtection="1">
      <alignment horizontal="right" vertical="center"/>
    </xf>
    <xf numFmtId="0" fontId="83" fillId="8" borderId="30" xfId="0" applyFont="1" applyFill="1" applyBorder="1" applyAlignment="1">
      <alignment vertical="center"/>
    </xf>
    <xf numFmtId="0" fontId="7" fillId="8" borderId="30" xfId="0" applyFont="1" applyFill="1" applyBorder="1" applyAlignment="1">
      <alignment horizontal="right" vertical="center"/>
    </xf>
    <xf numFmtId="0" fontId="7" fillId="8" borderId="30" xfId="2" applyNumberFormat="1" applyFont="1" applyFill="1" applyBorder="1" applyAlignment="1" applyProtection="1">
      <alignment horizontal="right" vertical="center"/>
    </xf>
    <xf numFmtId="0" fontId="72" fillId="4" borderId="30" xfId="0" applyFont="1" applyFill="1" applyBorder="1" applyAlignment="1">
      <alignment vertical="center"/>
    </xf>
    <xf numFmtId="0" fontId="21" fillId="4" borderId="30" xfId="0" applyFont="1" applyFill="1" applyBorder="1" applyAlignment="1">
      <alignment horizontal="left" vertical="center"/>
    </xf>
    <xf numFmtId="166" fontId="117" fillId="4" borderId="30" xfId="2" applyNumberFormat="1" applyFont="1" applyFill="1" applyBorder="1" applyAlignment="1" applyProtection="1">
      <alignment horizontal="right" vertical="center"/>
    </xf>
    <xf numFmtId="164" fontId="114" fillId="4" borderId="30" xfId="3" applyNumberFormat="1" applyFont="1" applyFill="1" applyBorder="1" applyAlignment="1" applyProtection="1">
      <alignment horizontal="right" vertical="center"/>
    </xf>
    <xf numFmtId="166" fontId="158" fillId="4" borderId="30" xfId="2" applyNumberFormat="1" applyFont="1" applyFill="1" applyBorder="1" applyAlignment="1" applyProtection="1">
      <alignment horizontal="right" vertical="center"/>
    </xf>
    <xf numFmtId="166" fontId="115" fillId="2" borderId="30" xfId="2" applyNumberFormat="1" applyFont="1" applyFill="1" applyBorder="1" applyAlignment="1" applyProtection="1">
      <alignment horizontal="right" vertical="center"/>
    </xf>
    <xf numFmtId="164" fontId="87" fillId="4" borderId="30" xfId="3" applyNumberFormat="1" applyFont="1" applyFill="1" applyBorder="1" applyAlignment="1" applyProtection="1">
      <alignment horizontal="right" vertical="center"/>
    </xf>
    <xf numFmtId="0" fontId="114" fillId="2" borderId="30" xfId="0" applyFont="1" applyFill="1" applyBorder="1" applyAlignment="1">
      <alignment horizontal="left" vertical="center"/>
    </xf>
    <xf numFmtId="1" fontId="158"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xf>
    <xf numFmtId="167" fontId="114" fillId="2" borderId="30" xfId="2" applyNumberFormat="1" applyFont="1" applyFill="1" applyBorder="1" applyAlignment="1" applyProtection="1">
      <alignment horizontal="right" vertical="center"/>
    </xf>
    <xf numFmtId="166" fontId="114" fillId="2" borderId="30" xfId="2" applyNumberFormat="1" applyFont="1" applyFill="1" applyBorder="1" applyAlignment="1" applyProtection="1">
      <alignment horizontal="right" vertical="center"/>
    </xf>
    <xf numFmtId="166" fontId="114" fillId="0" borderId="30" xfId="2" applyNumberFormat="1" applyFont="1" applyFill="1" applyBorder="1" applyAlignment="1" applyProtection="1">
      <alignment horizontal="right" vertical="center"/>
    </xf>
    <xf numFmtId="0" fontId="117" fillId="2" borderId="30" xfId="0" applyFont="1" applyFill="1" applyBorder="1" applyAlignment="1">
      <alignment vertical="center"/>
    </xf>
    <xf numFmtId="166" fontId="117" fillId="2" borderId="30" xfId="2" applyNumberFormat="1" applyFont="1" applyFill="1" applyBorder="1" applyAlignment="1" applyProtection="1">
      <alignment horizontal="right" vertical="center"/>
    </xf>
    <xf numFmtId="166" fontId="87" fillId="4" borderId="30" xfId="2" applyNumberFormat="1" applyFont="1" applyFill="1" applyBorder="1" applyAlignment="1" applyProtection="1">
      <alignment horizontal="right" vertical="center"/>
    </xf>
    <xf numFmtId="9" fontId="87" fillId="2" borderId="0" xfId="3" applyFont="1" applyFill="1" applyBorder="1" applyAlignment="1" applyProtection="1">
      <alignment horizontal="right" vertical="center"/>
    </xf>
    <xf numFmtId="166" fontId="117" fillId="2" borderId="0" xfId="2" applyNumberFormat="1" applyFont="1" applyFill="1" applyBorder="1" applyAlignment="1" applyProtection="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pplyProtection="1">
      <alignment horizontal="right" vertical="center"/>
    </xf>
    <xf numFmtId="9" fontId="117" fillId="4" borderId="30" xfId="3" applyFont="1" applyFill="1" applyBorder="1" applyAlignment="1" applyProtection="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pplyProtection="1">
      <alignment horizontal="right" vertical="center"/>
    </xf>
    <xf numFmtId="0" fontId="87" fillId="4" borderId="30" xfId="0" applyFont="1" applyFill="1" applyBorder="1" applyAlignment="1">
      <alignment horizontal="right" vertical="center"/>
    </xf>
    <xf numFmtId="0" fontId="117" fillId="0" borderId="30" xfId="0" applyFont="1" applyBorder="1" applyAlignment="1">
      <alignment horizontal="right" vertical="center"/>
    </xf>
    <xf numFmtId="2" fontId="114" fillId="2" borderId="0" xfId="3" applyNumberFormat="1" applyFont="1" applyFill="1" applyAlignment="1" applyProtection="1">
      <alignment horizontal="right" vertical="center"/>
    </xf>
    <xf numFmtId="9" fontId="117" fillId="0" borderId="30" xfId="3" applyFont="1" applyBorder="1" applyAlignment="1" applyProtection="1">
      <alignment horizontal="right" vertical="center"/>
    </xf>
    <xf numFmtId="164" fontId="114" fillId="2" borderId="0" xfId="3" applyNumberFormat="1" applyFont="1" applyFill="1" applyAlignment="1" applyProtection="1">
      <alignment horizontal="right" vertical="center"/>
    </xf>
    <xf numFmtId="0" fontId="117" fillId="2" borderId="0" xfId="0" applyFont="1" applyFill="1" applyAlignment="1">
      <alignment vertical="center"/>
    </xf>
    <xf numFmtId="9" fontId="87" fillId="2" borderId="0" xfId="0" applyNumberFormat="1" applyFont="1" applyFill="1" applyAlignment="1">
      <alignment horizontal="right" vertical="center"/>
    </xf>
    <xf numFmtId="9" fontId="117" fillId="2" borderId="0" xfId="3" applyFont="1" applyFill="1" applyBorder="1" applyAlignment="1" applyProtection="1">
      <alignment horizontal="right" vertical="center"/>
    </xf>
    <xf numFmtId="166" fontId="120" fillId="0" borderId="30" xfId="2" applyNumberFormat="1" applyFont="1" applyBorder="1" applyAlignment="1" applyProtection="1">
      <alignment horizontal="right" vertical="center"/>
    </xf>
    <xf numFmtId="43" fontId="8" fillId="2" borderId="0" xfId="0" applyNumberFormat="1" applyFont="1" applyFill="1" applyAlignment="1">
      <alignment vertical="center"/>
    </xf>
    <xf numFmtId="166" fontId="115" fillId="0" borderId="30" xfId="2" applyNumberFormat="1" applyFont="1" applyFill="1" applyBorder="1" applyAlignment="1" applyProtection="1">
      <alignment horizontal="right" vertical="center"/>
    </xf>
    <xf numFmtId="9" fontId="115" fillId="0" borderId="31" xfId="3" applyFont="1" applyFill="1" applyBorder="1" applyAlignment="1" applyProtection="1">
      <alignment horizontal="right" vertical="center"/>
    </xf>
    <xf numFmtId="9" fontId="115" fillId="0" borderId="30" xfId="3" applyFont="1" applyFill="1" applyBorder="1" applyAlignment="1" applyProtection="1">
      <alignment horizontal="right" vertical="center"/>
    </xf>
    <xf numFmtId="166" fontId="158" fillId="4" borderId="34" xfId="2" applyNumberFormat="1" applyFont="1" applyFill="1" applyBorder="1" applyAlignment="1" applyProtection="1">
      <alignment horizontal="right" vertical="center"/>
    </xf>
    <xf numFmtId="9" fontId="112" fillId="44" borderId="64" xfId="3" applyFont="1" applyFill="1" applyBorder="1" applyAlignment="1" applyProtection="1">
      <alignment vertical="center"/>
    </xf>
    <xf numFmtId="166" fontId="120" fillId="0" borderId="35" xfId="2" applyNumberFormat="1" applyFont="1" applyBorder="1" applyAlignment="1" applyProtection="1">
      <alignment horizontal="right" vertical="center"/>
    </xf>
    <xf numFmtId="164" fontId="158" fillId="4" borderId="30" xfId="3" applyNumberFormat="1" applyFont="1" applyFill="1" applyBorder="1" applyAlignment="1" applyProtection="1">
      <alignment horizontal="right" vertical="center"/>
    </xf>
    <xf numFmtId="1" fontId="6" fillId="2" borderId="0" xfId="0" applyNumberFormat="1" applyFont="1" applyFill="1" applyAlignment="1">
      <alignment vertical="center"/>
    </xf>
    <xf numFmtId="0" fontId="80" fillId="4" borderId="30" xfId="0" applyFont="1" applyFill="1" applyBorder="1" applyAlignment="1">
      <alignment vertical="center"/>
    </xf>
    <xf numFmtId="0" fontId="10" fillId="4" borderId="30" xfId="0" applyFont="1" applyFill="1" applyBorder="1" applyAlignment="1">
      <alignment horizontal="left" vertical="center"/>
    </xf>
    <xf numFmtId="166" fontId="120" fillId="4" borderId="30" xfId="2" applyNumberFormat="1" applyFont="1" applyFill="1" applyBorder="1" applyAlignment="1" applyProtection="1">
      <alignment horizontal="right" vertical="center"/>
    </xf>
    <xf numFmtId="0" fontId="114" fillId="4" borderId="30" xfId="0" applyFont="1" applyFill="1" applyBorder="1" applyAlignment="1">
      <alignment horizontal="right" vertical="center"/>
    </xf>
    <xf numFmtId="9" fontId="114" fillId="4" borderId="30" xfId="3" applyFont="1" applyFill="1" applyBorder="1" applyAlignment="1" applyProtection="1">
      <alignment horizontal="right" vertical="center"/>
    </xf>
    <xf numFmtId="166" fontId="151"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wrapText="1"/>
    </xf>
    <xf numFmtId="166" fontId="115" fillId="0" borderId="30" xfId="2" applyNumberFormat="1" applyFont="1" applyBorder="1" applyAlignment="1" applyProtection="1">
      <alignment horizontal="right" vertical="center"/>
    </xf>
    <xf numFmtId="166" fontId="150" fillId="4" borderId="30" xfId="2" applyNumberFormat="1" applyFont="1" applyFill="1" applyBorder="1" applyAlignment="1" applyProtection="1">
      <alignment horizontal="right" vertical="center"/>
    </xf>
    <xf numFmtId="3" fontId="117" fillId="0" borderId="30" xfId="0" applyNumberFormat="1" applyFont="1" applyBorder="1" applyAlignment="1">
      <alignment horizontal="right" vertical="center" wrapText="1"/>
    </xf>
    <xf numFmtId="166" fontId="120" fillId="2" borderId="30" xfId="2" applyNumberFormat="1" applyFont="1" applyFill="1" applyBorder="1" applyAlignment="1" applyProtection="1">
      <alignment horizontal="right" vertical="center"/>
    </xf>
    <xf numFmtId="0" fontId="150" fillId="2" borderId="0" xfId="0" applyFont="1" applyFill="1" applyAlignment="1">
      <alignment horizontal="right" vertical="center"/>
    </xf>
    <xf numFmtId="166" fontId="120" fillId="2" borderId="0" xfId="2" applyNumberFormat="1" applyFont="1" applyFill="1" applyBorder="1" applyAlignment="1" applyProtection="1">
      <alignment horizontal="right" vertical="center"/>
    </xf>
    <xf numFmtId="176" fontId="120" fillId="2" borderId="0" xfId="2" applyNumberFormat="1" applyFont="1" applyFill="1" applyBorder="1" applyAlignment="1" applyProtection="1">
      <alignment horizontal="right" vertical="center"/>
    </xf>
    <xf numFmtId="164" fontId="8" fillId="2" borderId="0" xfId="3" applyNumberFormat="1" applyFont="1" applyFill="1" applyBorder="1" applyAlignment="1" applyProtection="1">
      <alignment vertical="center"/>
    </xf>
    <xf numFmtId="9" fontId="87" fillId="4" borderId="30" xfId="3" applyFont="1" applyFill="1" applyBorder="1" applyAlignment="1" applyProtection="1">
      <alignment horizontal="right" vertical="center"/>
    </xf>
    <xf numFmtId="166" fontId="86" fillId="4" borderId="30" xfId="2" applyNumberFormat="1" applyFont="1" applyFill="1" applyBorder="1" applyAlignment="1" applyProtection="1">
      <alignment horizontal="right" vertical="center"/>
    </xf>
    <xf numFmtId="166" fontId="86" fillId="4" borderId="30" xfId="0" applyNumberFormat="1" applyFont="1" applyFill="1" applyBorder="1" applyAlignment="1">
      <alignment horizontal="right" vertical="center"/>
    </xf>
    <xf numFmtId="166" fontId="114" fillId="2" borderId="30" xfId="0" applyNumberFormat="1" applyFont="1" applyFill="1" applyBorder="1" applyAlignment="1">
      <alignment horizontal="right" vertical="center"/>
    </xf>
    <xf numFmtId="166" fontId="87" fillId="4" borderId="30" xfId="0" applyNumberFormat="1" applyFont="1" applyFill="1" applyBorder="1" applyAlignment="1">
      <alignment horizontal="right" vertical="center"/>
    </xf>
    <xf numFmtId="166" fontId="117" fillId="2" borderId="30" xfId="0" applyNumberFormat="1" applyFont="1" applyFill="1" applyBorder="1" applyAlignment="1">
      <alignment horizontal="right" vertical="center"/>
    </xf>
    <xf numFmtId="0" fontId="8" fillId="2" borderId="0" xfId="0" applyFont="1" applyFill="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pplyProtection="1">
      <alignment horizontal="right" vertical="center"/>
    </xf>
    <xf numFmtId="166" fontId="115" fillId="0" borderId="7" xfId="2" applyNumberFormat="1" applyFont="1" applyBorder="1" applyAlignment="1" applyProtection="1">
      <alignment horizontal="right" vertical="center"/>
    </xf>
    <xf numFmtId="10" fontId="114" fillId="2" borderId="0" xfId="0" applyNumberFormat="1" applyFont="1" applyFill="1" applyAlignment="1">
      <alignment horizontal="right" vertical="center"/>
    </xf>
    <xf numFmtId="0" fontId="120" fillId="0" borderId="7" xfId="0" applyFont="1" applyBorder="1" applyAlignment="1">
      <alignment horizontal="left" vertical="center"/>
    </xf>
    <xf numFmtId="166" fontId="120" fillId="4" borderId="7" xfId="2" applyNumberFormat="1" applyFont="1" applyFill="1" applyBorder="1" applyAlignment="1" applyProtection="1">
      <alignment horizontal="right" vertical="center"/>
    </xf>
    <xf numFmtId="166" fontId="120" fillId="0" borderId="7" xfId="2" applyNumberFormat="1" applyFont="1" applyBorder="1" applyAlignment="1" applyProtection="1">
      <alignment horizontal="right" vertical="center"/>
    </xf>
    <xf numFmtId="0" fontId="114" fillId="0" borderId="7" xfId="0" applyFont="1" applyBorder="1" applyAlignment="1">
      <alignment vertical="center"/>
    </xf>
    <xf numFmtId="166" fontId="118" fillId="4" borderId="7" xfId="2" applyNumberFormat="1" applyFont="1" applyFill="1" applyBorder="1" applyAlignment="1" applyProtection="1">
      <alignment horizontal="right" vertical="center"/>
    </xf>
    <xf numFmtId="166" fontId="118" fillId="0" borderId="7" xfId="2" applyNumberFormat="1" applyFont="1" applyBorder="1" applyAlignment="1" applyProtection="1">
      <alignment horizontal="righ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pplyProtection="1">
      <alignment horizontal="right" vertical="center"/>
    </xf>
    <xf numFmtId="164" fontId="115" fillId="0" borderId="7" xfId="2" applyNumberFormat="1" applyFont="1" applyBorder="1" applyAlignment="1" applyProtection="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8" fillId="0" borderId="7" xfId="0" applyFont="1" applyBorder="1" applyAlignment="1">
      <alignment vertical="center"/>
    </xf>
    <xf numFmtId="166" fontId="115" fillId="0" borderId="7" xfId="2" applyNumberFormat="1" applyFont="1" applyFill="1" applyBorder="1" applyAlignment="1" applyProtection="1">
      <alignment horizontal="right" vertical="center"/>
    </xf>
    <xf numFmtId="1" fontId="118" fillId="4" borderId="7" xfId="2" applyNumberFormat="1" applyFont="1" applyFill="1" applyBorder="1" applyAlignment="1" applyProtection="1">
      <alignment horizontal="right" vertical="center"/>
    </xf>
    <xf numFmtId="1" fontId="118" fillId="0" borderId="7" xfId="2" applyNumberFormat="1" applyFont="1" applyFill="1" applyBorder="1" applyAlignment="1" applyProtection="1">
      <alignment horizontal="right" vertical="center"/>
    </xf>
    <xf numFmtId="1" fontId="115" fillId="0" borderId="7" xfId="2" applyNumberFormat="1" applyFont="1" applyFill="1" applyBorder="1" applyAlignment="1" applyProtection="1">
      <alignment horizontal="right" vertical="center"/>
    </xf>
    <xf numFmtId="0" fontId="119" fillId="0" borderId="7" xfId="0" applyFont="1" applyBorder="1" applyAlignment="1">
      <alignment vertical="center"/>
    </xf>
    <xf numFmtId="166" fontId="120" fillId="0" borderId="7" xfId="2" applyNumberFormat="1" applyFont="1" applyFill="1" applyBorder="1" applyAlignment="1" applyProtection="1">
      <alignment horizontal="right" vertical="center"/>
    </xf>
    <xf numFmtId="0" fontId="54" fillId="2" borderId="0" xfId="0" applyFont="1" applyFill="1" applyAlignment="1">
      <alignment horizontal="left" vertical="center"/>
    </xf>
    <xf numFmtId="168" fontId="10" fillId="2" borderId="0" xfId="2" applyNumberFormat="1" applyFont="1" applyFill="1" applyAlignment="1" applyProtection="1">
      <alignment horizontal="right" vertical="center"/>
    </xf>
    <xf numFmtId="0" fontId="153" fillId="8" borderId="30" xfId="0" applyFont="1" applyFill="1" applyBorder="1" applyAlignment="1">
      <alignment vertical="center"/>
    </xf>
    <xf numFmtId="1" fontId="87" fillId="4" borderId="30" xfId="0" applyNumberFormat="1" applyFont="1" applyFill="1" applyBorder="1" applyAlignment="1">
      <alignment horizontal="right" vertical="center"/>
    </xf>
    <xf numFmtId="9" fontId="10" fillId="2" borderId="0" xfId="3" applyFont="1" applyFill="1" applyAlignment="1" applyProtection="1">
      <alignment horizontal="right" vertical="center"/>
    </xf>
    <xf numFmtId="9" fontId="7" fillId="2" borderId="0" xfId="3" applyFont="1" applyFill="1" applyAlignment="1" applyProtection="1">
      <alignment horizontal="right" vertical="center"/>
    </xf>
    <xf numFmtId="0" fontId="7" fillId="2" borderId="0" xfId="0" applyFont="1" applyFill="1" applyAlignment="1">
      <alignment horizontal="right" vertical="center"/>
    </xf>
    <xf numFmtId="3" fontId="7" fillId="0" borderId="30" xfId="0" applyNumberFormat="1" applyFont="1" applyBorder="1" applyAlignment="1">
      <alignment vertical="center" wrapText="1"/>
    </xf>
    <xf numFmtId="1" fontId="86" fillId="4" borderId="30" xfId="0" applyNumberFormat="1" applyFont="1" applyFill="1" applyBorder="1" applyAlignment="1">
      <alignment horizontal="right" vertical="center"/>
    </xf>
    <xf numFmtId="167" fontId="87" fillId="4" borderId="30" xfId="2" applyNumberFormat="1" applyFont="1" applyFill="1" applyBorder="1" applyAlignment="1" applyProtection="1">
      <alignment horizontal="right" vertical="center"/>
    </xf>
    <xf numFmtId="9" fontId="86" fillId="4" borderId="30" xfId="3" applyFont="1" applyFill="1" applyBorder="1" applyAlignment="1" applyProtection="1">
      <alignment horizontal="right" vertical="center"/>
    </xf>
    <xf numFmtId="9" fontId="115" fillId="0" borderId="30" xfId="3" applyFont="1" applyBorder="1" applyAlignment="1" applyProtection="1">
      <alignment horizontal="right" vertical="center"/>
    </xf>
    <xf numFmtId="9" fontId="8" fillId="2" borderId="0" xfId="3" applyFont="1" applyFill="1" applyAlignment="1" applyProtection="1">
      <alignment vertical="center" wrapText="1"/>
    </xf>
    <xf numFmtId="178" fontId="8" fillId="2" borderId="0" xfId="0" applyNumberFormat="1" applyFont="1" applyFill="1" applyAlignment="1">
      <alignment vertical="center" wrapText="1"/>
    </xf>
    <xf numFmtId="0" fontId="117" fillId="2" borderId="30" xfId="0" applyFont="1" applyFill="1" applyBorder="1" applyAlignment="1">
      <alignment horizontal="left" vertical="center"/>
    </xf>
    <xf numFmtId="0" fontId="117" fillId="4" borderId="30" xfId="0" applyFont="1" applyFill="1" applyBorder="1" applyAlignment="1">
      <alignment horizontal="left" vertical="center"/>
    </xf>
    <xf numFmtId="0" fontId="117" fillId="2" borderId="0" xfId="0" applyFont="1" applyFill="1" applyAlignment="1">
      <alignment horizontal="left" vertical="center"/>
    </xf>
    <xf numFmtId="0" fontId="117" fillId="0" borderId="30" xfId="0" applyFont="1" applyBorder="1" applyAlignment="1">
      <alignment horizontal="left" vertical="center"/>
    </xf>
    <xf numFmtId="0" fontId="120" fillId="0" borderId="30" xfId="0" applyFont="1" applyBorder="1" applyAlignment="1">
      <alignment horizontal="left" vertical="center"/>
    </xf>
    <xf numFmtId="0" fontId="87" fillId="2" borderId="0" xfId="0" applyFont="1" applyFill="1" applyAlignment="1">
      <alignment horizontal="left" vertical="center" wrapText="1"/>
    </xf>
    <xf numFmtId="0" fontId="120" fillId="4" borderId="30" xfId="0" applyFont="1" applyFill="1" applyBorder="1" applyAlignment="1">
      <alignment horizontal="left" vertical="center"/>
    </xf>
    <xf numFmtId="0" fontId="117" fillId="0" borderId="7" xfId="0" applyFont="1" applyBorder="1" applyAlignment="1">
      <alignment vertical="center" wrapText="1"/>
    </xf>
    <xf numFmtId="0" fontId="117" fillId="0" borderId="7" xfId="0" applyFont="1" applyBorder="1" applyAlignment="1">
      <alignment vertical="center"/>
    </xf>
    <xf numFmtId="0" fontId="193" fillId="4" borderId="7" xfId="0" applyFont="1" applyFill="1" applyBorder="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horizontal="left" vertical="center" wrapText="1"/>
    </xf>
    <xf numFmtId="0" fontId="58" fillId="35" borderId="30" xfId="0" applyFont="1" applyFill="1" applyBorder="1" applyAlignment="1">
      <alignment horizontal="left" vertical="center" wrapText="1"/>
    </xf>
    <xf numFmtId="0" fontId="119" fillId="2" borderId="30" xfId="0" applyFont="1" applyFill="1" applyBorder="1" applyAlignment="1">
      <alignment vertical="center" wrapText="1"/>
    </xf>
    <xf numFmtId="166" fontId="87" fillId="20" borderId="30" xfId="0" applyNumberFormat="1" applyFont="1" applyFill="1" applyBorder="1" applyAlignment="1">
      <alignment vertical="center"/>
    </xf>
    <xf numFmtId="3" fontId="119" fillId="0" borderId="30" xfId="0" applyNumberFormat="1" applyFont="1" applyBorder="1" applyAlignment="1">
      <alignment vertical="center" wrapText="1"/>
    </xf>
    <xf numFmtId="3" fontId="117" fillId="2" borderId="30" xfId="0" applyNumberFormat="1" applyFont="1" applyFill="1" applyBorder="1" applyAlignment="1">
      <alignment vertical="center" wrapText="1"/>
    </xf>
    <xf numFmtId="43" fontId="8" fillId="2" borderId="0" xfId="0" applyNumberFormat="1" applyFont="1" applyFill="1"/>
    <xf numFmtId="0" fontId="114" fillId="2" borderId="30" xfId="0" applyFont="1" applyFill="1" applyBorder="1" applyAlignment="1">
      <alignment horizontal="left" vertical="center" indent="2"/>
    </xf>
    <xf numFmtId="166" fontId="86" fillId="20" borderId="30" xfId="0" applyNumberFormat="1" applyFont="1" applyFill="1" applyBorder="1" applyAlignment="1">
      <alignment vertical="center"/>
    </xf>
    <xf numFmtId="166" fontId="118" fillId="0" borderId="30" xfId="0" applyNumberFormat="1" applyFont="1" applyBorder="1" applyAlignment="1">
      <alignment vertical="center"/>
    </xf>
    <xf numFmtId="166" fontId="114" fillId="2" borderId="30" xfId="0" applyNumberFormat="1" applyFont="1" applyFill="1" applyBorder="1" applyAlignment="1">
      <alignment vertical="center"/>
    </xf>
    <xf numFmtId="166" fontId="114" fillId="2" borderId="31" xfId="0" applyNumberFormat="1" applyFont="1" applyFill="1" applyBorder="1" applyAlignment="1">
      <alignment vertical="center"/>
    </xf>
    <xf numFmtId="166" fontId="114" fillId="2" borderId="34" xfId="0" applyNumberFormat="1" applyFont="1" applyFill="1" applyBorder="1" applyAlignment="1">
      <alignment vertical="center"/>
    </xf>
    <xf numFmtId="164" fontId="8" fillId="2" borderId="0" xfId="3" applyNumberFormat="1" applyFont="1" applyFill="1" applyProtection="1"/>
    <xf numFmtId="166" fontId="118" fillId="0" borderId="30" xfId="2" applyNumberFormat="1" applyFont="1" applyFill="1" applyBorder="1" applyAlignment="1" applyProtection="1">
      <alignment vertical="center"/>
    </xf>
    <xf numFmtId="166" fontId="115" fillId="0" borderId="34" xfId="2" applyNumberFormat="1" applyFont="1" applyBorder="1" applyAlignment="1" applyProtection="1">
      <alignment vertical="center"/>
    </xf>
    <xf numFmtId="166" fontId="115" fillId="2" borderId="30" xfId="2" applyNumberFormat="1" applyFont="1" applyFill="1" applyBorder="1" applyAlignment="1" applyProtection="1">
      <alignment vertical="center"/>
    </xf>
    <xf numFmtId="166" fontId="115" fillId="2" borderId="32" xfId="2" applyNumberFormat="1" applyFont="1" applyFill="1" applyBorder="1" applyAlignment="1" applyProtection="1">
      <alignment vertical="center"/>
    </xf>
    <xf numFmtId="164" fontId="81" fillId="2" borderId="0" xfId="3" applyNumberFormat="1" applyFont="1" applyFill="1" applyAlignment="1" applyProtection="1">
      <alignment horizontal="left" vertical="center" wrapText="1"/>
    </xf>
    <xf numFmtId="10" fontId="8" fillId="2" borderId="0" xfId="3" applyNumberFormat="1" applyFont="1" applyFill="1" applyAlignment="1" applyProtection="1">
      <alignment horizontal="left" vertical="center" wrapText="1"/>
    </xf>
    <xf numFmtId="0" fontId="58" fillId="35" borderId="30" xfId="0" applyFont="1" applyFill="1" applyBorder="1" applyAlignment="1">
      <alignment vertical="center" wrapText="1"/>
    </xf>
    <xf numFmtId="0" fontId="120" fillId="21" borderId="30" xfId="0" applyFont="1" applyFill="1" applyBorder="1" applyAlignment="1">
      <alignment horizontal="left" vertical="center"/>
    </xf>
    <xf numFmtId="0" fontId="115" fillId="21" borderId="30" xfId="0" applyFont="1" applyFill="1" applyBorder="1" applyAlignment="1">
      <alignment horizontal="center" vertical="center" wrapText="1"/>
    </xf>
    <xf numFmtId="0" fontId="6" fillId="2" borderId="0" xfId="0" applyFont="1" applyFill="1" applyAlignment="1">
      <alignment horizontal="left" vertical="center" wrapText="1"/>
    </xf>
    <xf numFmtId="0" fontId="120" fillId="0" borderId="30" xfId="0" applyFont="1" applyBorder="1" applyAlignment="1">
      <alignment vertical="center"/>
    </xf>
    <xf numFmtId="0" fontId="120" fillId="20" borderId="30" xfId="0" applyFont="1" applyFill="1" applyBorder="1" applyAlignment="1">
      <alignment vertical="center"/>
    </xf>
    <xf numFmtId="0" fontId="114" fillId="0" borderId="30" xfId="0" applyFont="1" applyBorder="1" applyAlignment="1">
      <alignment horizontal="right" wrapText="1"/>
    </xf>
    <xf numFmtId="9" fontId="82" fillId="23" borderId="30" xfId="3" applyFont="1" applyFill="1" applyBorder="1" applyAlignment="1" applyProtection="1">
      <alignment vertical="center" wrapText="1"/>
    </xf>
    <xf numFmtId="0" fontId="114" fillId="20" borderId="30" xfId="0" applyFont="1" applyFill="1" applyBorder="1" applyAlignment="1">
      <alignment horizontal="left" indent="2"/>
    </xf>
    <xf numFmtId="166" fontId="114" fillId="0" borderId="30" xfId="2" applyNumberFormat="1" applyFont="1" applyBorder="1" applyAlignment="1" applyProtection="1">
      <alignment horizontal="center" vertical="center" wrapText="1"/>
    </xf>
    <xf numFmtId="166" fontId="6" fillId="2" borderId="0" xfId="0" applyNumberFormat="1" applyFont="1" applyFill="1"/>
    <xf numFmtId="9" fontId="6" fillId="2" borderId="0" xfId="0" applyNumberFormat="1" applyFont="1" applyFill="1" applyAlignment="1">
      <alignment vertical="center" wrapText="1"/>
    </xf>
    <xf numFmtId="0" fontId="117" fillId="2" borderId="30" xfId="0" applyFont="1" applyFill="1" applyBorder="1" applyAlignment="1">
      <alignment horizontal="left" wrapText="1" indent="2"/>
    </xf>
    <xf numFmtId="0" fontId="117" fillId="20" borderId="30" xfId="0" applyFont="1" applyFill="1" applyBorder="1" applyAlignment="1">
      <alignment horizontal="left" wrapText="1" indent="2"/>
    </xf>
    <xf numFmtId="166" fontId="115" fillId="0" borderId="30" xfId="2" applyNumberFormat="1" applyFont="1" applyBorder="1" applyAlignment="1" applyProtection="1">
      <alignment horizontal="center" vertical="center" wrapText="1"/>
    </xf>
    <xf numFmtId="0" fontId="174" fillId="0" borderId="0" xfId="0" applyFont="1"/>
    <xf numFmtId="164" fontId="6" fillId="2" borderId="0" xfId="0" applyNumberFormat="1" applyFont="1" applyFill="1"/>
    <xf numFmtId="9" fontId="6" fillId="2" borderId="0" xfId="3" applyFont="1" applyFill="1" applyProtection="1"/>
    <xf numFmtId="9" fontId="6" fillId="2" borderId="0" xfId="0" applyNumberFormat="1" applyFont="1" applyFill="1" applyAlignment="1">
      <alignment horizontal="left" vertical="center" wrapText="1"/>
    </xf>
    <xf numFmtId="0" fontId="164" fillId="2" borderId="0" xfId="0" applyFont="1" applyFill="1"/>
    <xf numFmtId="9" fontId="6" fillId="2" borderId="0" xfId="0" applyNumberFormat="1" applyFont="1" applyFill="1"/>
    <xf numFmtId="0" fontId="115" fillId="20" borderId="30" xfId="0" applyFont="1" applyFill="1" applyBorder="1" applyAlignment="1">
      <alignment horizontal="center" vertical="center" wrapText="1"/>
    </xf>
    <xf numFmtId="9" fontId="82" fillId="38" borderId="30" xfId="3" applyFont="1" applyFill="1" applyBorder="1" applyAlignment="1" applyProtection="1">
      <alignment vertical="center" wrapText="1"/>
    </xf>
    <xf numFmtId="166" fontId="86" fillId="20" borderId="30" xfId="2" applyNumberFormat="1" applyFont="1" applyFill="1" applyBorder="1" applyAlignment="1" applyProtection="1">
      <alignment horizontal="right" vertical="center" wrapText="1"/>
    </xf>
    <xf numFmtId="166" fontId="118" fillId="0" borderId="30" xfId="2" applyNumberFormat="1" applyFont="1" applyFill="1" applyBorder="1" applyAlignment="1" applyProtection="1">
      <alignment horizontal="right" vertical="center" wrapText="1"/>
    </xf>
    <xf numFmtId="166" fontId="115" fillId="0" borderId="30" xfId="2" applyNumberFormat="1" applyFont="1" applyBorder="1" applyAlignment="1" applyProtection="1">
      <alignment horizontal="right" vertical="center" wrapText="1"/>
    </xf>
    <xf numFmtId="9" fontId="86" fillId="38" borderId="30" xfId="3" applyFont="1" applyFill="1" applyBorder="1" applyAlignment="1" applyProtection="1">
      <alignment vertical="center" wrapText="1"/>
    </xf>
    <xf numFmtId="164" fontId="6" fillId="2" borderId="0" xfId="3" applyNumberFormat="1" applyFont="1" applyFill="1" applyProtection="1"/>
    <xf numFmtId="9" fontId="25" fillId="2" borderId="0" xfId="3" applyFont="1" applyFill="1" applyProtection="1"/>
    <xf numFmtId="0" fontId="6" fillId="0" borderId="0" xfId="0" applyFont="1"/>
    <xf numFmtId="0" fontId="120" fillId="2" borderId="30" xfId="0" applyFont="1" applyFill="1" applyBorder="1" applyAlignment="1">
      <alignment horizontal="left" wrapText="1"/>
    </xf>
    <xf numFmtId="166" fontId="87" fillId="20" borderId="30" xfId="2" applyNumberFormat="1" applyFont="1" applyFill="1" applyBorder="1" applyAlignment="1" applyProtection="1">
      <alignment horizontal="right" vertical="center" wrapText="1"/>
    </xf>
    <xf numFmtId="166" fontId="119" fillId="0" borderId="30" xfId="2" applyNumberFormat="1" applyFont="1" applyFill="1" applyBorder="1" applyAlignment="1" applyProtection="1">
      <alignment horizontal="right" vertical="center" wrapText="1"/>
    </xf>
    <xf numFmtId="166" fontId="120" fillId="0" borderId="30" xfId="2" applyNumberFormat="1" applyFont="1" applyBorder="1" applyAlignment="1" applyProtection="1">
      <alignment horizontal="right" vertical="center" wrapText="1"/>
    </xf>
    <xf numFmtId="9" fontId="87" fillId="38" borderId="30" xfId="3" applyFont="1" applyFill="1" applyBorder="1" applyAlignment="1" applyProtection="1">
      <alignment vertical="center" wrapText="1"/>
    </xf>
    <xf numFmtId="0" fontId="114" fillId="0" borderId="30" xfId="0" applyFont="1" applyBorder="1" applyAlignment="1">
      <alignment vertical="center" wrapText="1"/>
    </xf>
    <xf numFmtId="9" fontId="128" fillId="38" borderId="30" xfId="3" applyFont="1" applyFill="1" applyBorder="1" applyAlignment="1" applyProtection="1">
      <alignment vertical="center" wrapText="1"/>
    </xf>
    <xf numFmtId="0" fontId="164" fillId="2" borderId="0" xfId="0" applyFont="1" applyFill="1" applyAlignment="1">
      <alignment wrapText="1"/>
    </xf>
    <xf numFmtId="10" fontId="8" fillId="2" borderId="0" xfId="3" applyNumberFormat="1" applyFont="1" applyFill="1" applyAlignment="1" applyProtection="1">
      <alignment wrapText="1"/>
    </xf>
    <xf numFmtId="9" fontId="8" fillId="2" borderId="0" xfId="3" applyFont="1" applyFill="1" applyAlignment="1" applyProtection="1">
      <alignment horizontal="left" vertical="center" wrapText="1"/>
    </xf>
    <xf numFmtId="166" fontId="7" fillId="2" borderId="0" xfId="2" applyNumberFormat="1" applyFont="1" applyFill="1" applyAlignment="1" applyProtection="1">
      <alignment horizontal="center" vertical="center" wrapText="1"/>
    </xf>
    <xf numFmtId="9" fontId="7" fillId="2" borderId="0" xfId="3" applyFont="1" applyFill="1" applyAlignment="1" applyProtection="1">
      <alignment horizontal="center" vertical="center" wrapText="1"/>
    </xf>
    <xf numFmtId="9" fontId="82" fillId="7" borderId="0" xfId="3" applyFont="1" applyFill="1" applyAlignment="1" applyProtection="1">
      <alignment vertical="center" wrapText="1"/>
    </xf>
    <xf numFmtId="0" fontId="58" fillId="35" borderId="30" xfId="0" applyFont="1" applyFill="1" applyBorder="1" applyAlignment="1">
      <alignment vertical="center"/>
    </xf>
    <xf numFmtId="0" fontId="114" fillId="20" borderId="30" xfId="0" applyFont="1" applyFill="1" applyBorder="1" applyAlignment="1">
      <alignment horizontal="right" wrapText="1"/>
    </xf>
    <xf numFmtId="0" fontId="118" fillId="2" borderId="30" xfId="0" applyFont="1" applyFill="1" applyBorder="1" applyAlignment="1">
      <alignment horizontal="right" wrapText="1"/>
    </xf>
    <xf numFmtId="0" fontId="114" fillId="2" borderId="30" xfId="0" applyFont="1" applyFill="1" applyBorder="1" applyAlignment="1">
      <alignment horizontal="right" wrapText="1"/>
    </xf>
    <xf numFmtId="0" fontId="8" fillId="0" borderId="30" xfId="0" applyFont="1" applyBorder="1" applyAlignment="1">
      <alignment horizontal="right" wrapText="1"/>
    </xf>
    <xf numFmtId="0" fontId="115" fillId="2" borderId="30" xfId="0" applyFont="1" applyFill="1" applyBorder="1" applyAlignment="1">
      <alignment horizontal="left" wrapText="1" indent="1"/>
    </xf>
    <xf numFmtId="166" fontId="128" fillId="20" borderId="30" xfId="2" applyNumberFormat="1" applyFont="1" applyFill="1" applyBorder="1" applyAlignment="1" applyProtection="1">
      <alignment horizontal="right" vertical="center" wrapText="1"/>
    </xf>
    <xf numFmtId="166" fontId="118" fillId="2" borderId="30" xfId="2" applyNumberFormat="1" applyFont="1" applyFill="1" applyBorder="1" applyAlignment="1" applyProtection="1">
      <alignment horizontal="right" vertical="center" wrapText="1"/>
    </xf>
    <xf numFmtId="166" fontId="115" fillId="2" borderId="30" xfId="2" applyNumberFormat="1" applyFont="1" applyFill="1" applyBorder="1" applyAlignment="1" applyProtection="1">
      <alignment horizontal="right" vertical="center" wrapText="1"/>
    </xf>
    <xf numFmtId="0" fontId="114" fillId="20" borderId="30" xfId="0" applyFont="1" applyFill="1" applyBorder="1" applyAlignment="1">
      <alignment horizontal="left" vertical="center" wrapText="1"/>
    </xf>
    <xf numFmtId="0" fontId="120" fillId="2" borderId="30" xfId="0" applyFont="1" applyFill="1" applyBorder="1" applyAlignment="1">
      <alignment vertical="center" wrapText="1"/>
    </xf>
    <xf numFmtId="166" fontId="158" fillId="20" borderId="30" xfId="2" applyNumberFormat="1" applyFont="1" applyFill="1" applyBorder="1" applyAlignment="1" applyProtection="1">
      <alignment horizontal="right" vertical="center" wrapText="1"/>
    </xf>
    <xf numFmtId="166" fontId="119" fillId="2" borderId="30" xfId="2" applyNumberFormat="1" applyFont="1" applyFill="1" applyBorder="1" applyAlignment="1" applyProtection="1">
      <alignment horizontal="right" vertical="center" wrapText="1"/>
    </xf>
    <xf numFmtId="166" fontId="120" fillId="2" borderId="30" xfId="2" applyNumberFormat="1" applyFont="1" applyFill="1" applyBorder="1" applyAlignment="1" applyProtection="1">
      <alignment horizontal="right" vertical="center" wrapText="1"/>
    </xf>
    <xf numFmtId="9" fontId="158" fillId="38" borderId="30" xfId="3" applyFont="1" applyFill="1" applyBorder="1" applyAlignment="1" applyProtection="1">
      <alignment vertical="center" wrapText="1"/>
    </xf>
    <xf numFmtId="0" fontId="115" fillId="2" borderId="30" xfId="0" applyFont="1" applyFill="1" applyBorder="1" applyAlignment="1">
      <alignment horizontal="left" vertical="center" wrapText="1"/>
    </xf>
    <xf numFmtId="0" fontId="165" fillId="2" borderId="0" xfId="0" applyFont="1" applyFill="1"/>
    <xf numFmtId="0" fontId="115" fillId="2" borderId="0" xfId="0" applyFont="1" applyFill="1" applyAlignment="1">
      <alignment horizontal="left" vertical="center" wrapText="1"/>
    </xf>
    <xf numFmtId="166" fontId="86" fillId="2" borderId="0" xfId="2" applyNumberFormat="1" applyFont="1" applyFill="1" applyAlignment="1" applyProtection="1">
      <alignment horizontal="right" vertical="center" wrapText="1"/>
    </xf>
    <xf numFmtId="10" fontId="86" fillId="2" borderId="0" xfId="3" applyNumberFormat="1" applyFont="1" applyFill="1" applyAlignment="1" applyProtection="1">
      <alignment horizontal="right" vertical="center" wrapText="1"/>
    </xf>
    <xf numFmtId="166" fontId="115" fillId="2" borderId="0" xfId="2" applyNumberFormat="1" applyFont="1" applyFill="1" applyAlignment="1" applyProtection="1">
      <alignment horizontal="right" vertical="center" wrapText="1"/>
    </xf>
    <xf numFmtId="0" fontId="58" fillId="35" borderId="64" xfId="0" applyFont="1" applyFill="1" applyBorder="1" applyAlignment="1">
      <alignment vertical="center"/>
    </xf>
    <xf numFmtId="0" fontId="120" fillId="21" borderId="64" xfId="0" applyFont="1" applyFill="1" applyBorder="1" applyAlignment="1">
      <alignment horizontal="left" vertical="center" wrapText="1"/>
    </xf>
    <xf numFmtId="0" fontId="8" fillId="21" borderId="64" xfId="0" applyFont="1" applyFill="1" applyBorder="1" applyAlignment="1">
      <alignment horizontal="center" vertical="center" wrapText="1"/>
    </xf>
    <xf numFmtId="0" fontId="115" fillId="0" borderId="64" xfId="0" applyFont="1" applyBorder="1" applyAlignment="1">
      <alignment vertical="center"/>
    </xf>
    <xf numFmtId="166" fontId="128" fillId="20" borderId="64" xfId="2" applyNumberFormat="1" applyFont="1" applyFill="1" applyBorder="1" applyAlignment="1" applyProtection="1">
      <alignment horizontal="right" vertical="center" wrapText="1"/>
    </xf>
    <xf numFmtId="9" fontId="128" fillId="20" borderId="64" xfId="3" applyFont="1" applyFill="1" applyBorder="1" applyAlignment="1" applyProtection="1">
      <alignment horizontal="right" vertical="center" wrapText="1"/>
    </xf>
    <xf numFmtId="0" fontId="128" fillId="20" borderId="64" xfId="2" applyNumberFormat="1" applyFont="1" applyFill="1" applyBorder="1" applyAlignment="1" applyProtection="1">
      <alignment horizontal="right" vertical="center" wrapText="1"/>
    </xf>
    <xf numFmtId="10" fontId="115" fillId="2" borderId="0" xfId="3" applyNumberFormat="1" applyFont="1" applyFill="1" applyAlignment="1" applyProtection="1">
      <alignment horizontal="right" vertical="center" wrapText="1"/>
    </xf>
    <xf numFmtId="0" fontId="115" fillId="0" borderId="64" xfId="0" applyFont="1" applyBorder="1" applyAlignment="1">
      <alignment horizontal="left" vertical="center"/>
    </xf>
    <xf numFmtId="0" fontId="115" fillId="2" borderId="64" xfId="0" applyFont="1" applyFill="1" applyBorder="1" applyAlignment="1">
      <alignment horizontal="left" vertical="center" wrapText="1"/>
    </xf>
    <xf numFmtId="0" fontId="120" fillId="2" borderId="64" xfId="0" applyFont="1" applyFill="1" applyBorder="1" applyAlignment="1">
      <alignment horizontal="right" vertical="center" wrapText="1"/>
    </xf>
    <xf numFmtId="166" fontId="119" fillId="0" borderId="64" xfId="0" applyNumberFormat="1" applyFont="1" applyBorder="1" applyAlignment="1">
      <alignment horizontal="right" vertical="center" wrapText="1"/>
    </xf>
    <xf numFmtId="9" fontId="119" fillId="0" borderId="64" xfId="3" applyFont="1" applyBorder="1" applyAlignment="1" applyProtection="1">
      <alignment horizontal="right" vertical="center" wrapText="1"/>
    </xf>
    <xf numFmtId="9" fontId="86" fillId="2" borderId="0" xfId="3" applyFont="1" applyFill="1" applyAlignment="1" applyProtection="1">
      <alignment vertical="center" wrapText="1"/>
    </xf>
    <xf numFmtId="0" fontId="120" fillId="21" borderId="30" xfId="0" applyFont="1" applyFill="1" applyBorder="1" applyAlignment="1">
      <alignment horizontal="left" vertical="center" wrapText="1"/>
    </xf>
    <xf numFmtId="0" fontId="8" fillId="21" borderId="30" xfId="0" applyFont="1" applyFill="1" applyBorder="1" applyAlignment="1">
      <alignment horizontal="center" vertical="center" wrapText="1"/>
    </xf>
    <xf numFmtId="9" fontId="86" fillId="20" borderId="30" xfId="3" applyFont="1" applyFill="1" applyBorder="1" applyAlignment="1" applyProtection="1">
      <alignment horizontal="right" vertical="center" wrapText="1"/>
    </xf>
    <xf numFmtId="1" fontId="118" fillId="2" borderId="30" xfId="2" applyNumberFormat="1" applyFont="1" applyFill="1" applyBorder="1" applyAlignment="1" applyProtection="1">
      <alignment horizontal="right" vertical="center" wrapText="1"/>
    </xf>
    <xf numFmtId="1" fontId="115" fillId="2" borderId="30" xfId="2" applyNumberFormat="1" applyFont="1" applyFill="1" applyBorder="1" applyAlignment="1" applyProtection="1">
      <alignment horizontal="right" vertical="center" wrapText="1"/>
    </xf>
    <xf numFmtId="9" fontId="115" fillId="2" borderId="0" xfId="3" applyFont="1" applyFill="1" applyAlignment="1" applyProtection="1">
      <alignment horizontal="right" vertical="center" wrapText="1"/>
    </xf>
    <xf numFmtId="164" fontId="115" fillId="2" borderId="0" xfId="3" applyNumberFormat="1" applyFont="1" applyFill="1" applyAlignment="1" applyProtection="1">
      <alignment horizontal="right" vertical="center" wrapText="1"/>
    </xf>
    <xf numFmtId="0" fontId="115" fillId="2" borderId="31" xfId="0" applyFont="1" applyFill="1" applyBorder="1" applyAlignment="1">
      <alignment horizontal="left" vertical="center" wrapText="1"/>
    </xf>
    <xf numFmtId="166" fontId="86" fillId="20" borderId="31" xfId="2" applyNumberFormat="1" applyFont="1" applyFill="1" applyBorder="1" applyAlignment="1" applyProtection="1">
      <alignment horizontal="right" vertical="center" wrapText="1"/>
    </xf>
    <xf numFmtId="166" fontId="118" fillId="2" borderId="31" xfId="2" applyNumberFormat="1" applyFont="1" applyFill="1" applyBorder="1" applyAlignment="1" applyProtection="1">
      <alignment horizontal="right" vertical="center" wrapText="1"/>
    </xf>
    <xf numFmtId="1" fontId="118" fillId="2" borderId="31" xfId="2" applyNumberFormat="1" applyFont="1" applyFill="1" applyBorder="1" applyAlignment="1" applyProtection="1">
      <alignment horizontal="right" vertical="center" wrapText="1"/>
    </xf>
    <xf numFmtId="166" fontId="115" fillId="2" borderId="31" xfId="2" applyNumberFormat="1" applyFont="1" applyFill="1" applyBorder="1" applyAlignment="1" applyProtection="1">
      <alignment horizontal="right" vertical="center" wrapText="1"/>
    </xf>
    <xf numFmtId="1" fontId="115" fillId="2" borderId="31" xfId="2" applyNumberFormat="1" applyFont="1" applyFill="1" applyBorder="1" applyAlignment="1" applyProtection="1">
      <alignment horizontal="right" vertical="center" wrapText="1"/>
    </xf>
    <xf numFmtId="0" fontId="120" fillId="0" borderId="30" xfId="0" applyFont="1" applyBorder="1" applyAlignment="1">
      <alignment horizontal="right" vertical="center"/>
    </xf>
    <xf numFmtId="9" fontId="87" fillId="20" borderId="30" xfId="3" applyFont="1" applyFill="1" applyBorder="1" applyAlignment="1" applyProtection="1">
      <alignment horizontal="right" vertical="center" wrapText="1"/>
    </xf>
    <xf numFmtId="1" fontId="119" fillId="2" borderId="30" xfId="2" applyNumberFormat="1" applyFont="1" applyFill="1" applyBorder="1" applyAlignment="1" applyProtection="1">
      <alignment horizontal="right" vertical="center" wrapText="1"/>
    </xf>
    <xf numFmtId="1" fontId="120" fillId="0" borderId="30" xfId="2" applyNumberFormat="1" applyFont="1" applyBorder="1" applyAlignment="1" applyProtection="1">
      <alignment horizontal="right" vertical="center" wrapText="1"/>
    </xf>
    <xf numFmtId="9" fontId="86" fillId="20" borderId="30" xfId="2" applyNumberFormat="1" applyFont="1" applyFill="1" applyBorder="1" applyAlignment="1" applyProtection="1">
      <alignment horizontal="right" vertical="center" wrapText="1"/>
    </xf>
    <xf numFmtId="0" fontId="118" fillId="0" borderId="30" xfId="0" applyFont="1" applyBorder="1" applyAlignment="1">
      <alignment horizontal="right" vertical="center" wrapText="1"/>
    </xf>
    <xf numFmtId="1" fontId="118" fillId="0" borderId="30" xfId="0" applyNumberFormat="1" applyFont="1" applyBorder="1" applyAlignment="1">
      <alignment horizontal="right" vertical="center" wrapText="1"/>
    </xf>
    <xf numFmtId="0" fontId="114" fillId="2" borderId="30" xfId="0" applyFont="1" applyFill="1" applyBorder="1" applyAlignment="1">
      <alignment horizontal="right" vertical="center" wrapText="1"/>
    </xf>
    <xf numFmtId="1" fontId="114" fillId="2" borderId="30" xfId="0" applyNumberFormat="1" applyFont="1" applyFill="1" applyBorder="1" applyAlignment="1">
      <alignment horizontal="right" vertical="center" wrapText="1"/>
    </xf>
    <xf numFmtId="1" fontId="118" fillId="0" borderId="30" xfId="2" applyNumberFormat="1" applyFont="1" applyFill="1" applyBorder="1" applyAlignment="1" applyProtection="1">
      <alignment horizontal="right" vertical="center" wrapText="1"/>
    </xf>
    <xf numFmtId="0" fontId="115" fillId="2" borderId="30" xfId="2" applyNumberFormat="1" applyFont="1" applyFill="1" applyBorder="1" applyAlignment="1" applyProtection="1">
      <alignment horizontal="right" vertical="center" wrapText="1"/>
    </xf>
    <xf numFmtId="9" fontId="87" fillId="20" borderId="30" xfId="2" applyNumberFormat="1" applyFont="1" applyFill="1" applyBorder="1" applyAlignment="1" applyProtection="1">
      <alignment horizontal="right" vertical="center" wrapText="1"/>
    </xf>
    <xf numFmtId="1" fontId="119" fillId="0" borderId="30" xfId="2" applyNumberFormat="1" applyFont="1" applyFill="1" applyBorder="1" applyAlignment="1" applyProtection="1">
      <alignment horizontal="right" vertical="center" wrapText="1"/>
    </xf>
    <xf numFmtId="164" fontId="86" fillId="20" borderId="30" xfId="2" applyNumberFormat="1" applyFont="1" applyFill="1" applyBorder="1" applyAlignment="1" applyProtection="1">
      <alignment horizontal="right" vertical="center" wrapText="1"/>
    </xf>
    <xf numFmtId="0" fontId="115" fillId="2" borderId="30" xfId="0" applyFont="1" applyFill="1" applyBorder="1" applyAlignment="1">
      <alignment horizontal="right" vertical="center" wrapText="1"/>
    </xf>
    <xf numFmtId="1" fontId="115" fillId="2" borderId="30" xfId="0" applyNumberFormat="1" applyFont="1" applyFill="1" applyBorder="1" applyAlignment="1">
      <alignment horizontal="right" vertical="center" wrapText="1"/>
    </xf>
    <xf numFmtId="1" fontId="115" fillId="0" borderId="30" xfId="0" applyNumberFormat="1" applyFont="1" applyBorder="1" applyAlignment="1">
      <alignment horizontal="right" vertical="center" wrapText="1"/>
    </xf>
    <xf numFmtId="0" fontId="86" fillId="20" borderId="30" xfId="2" applyNumberFormat="1" applyFont="1" applyFill="1" applyBorder="1" applyAlignment="1" applyProtection="1">
      <alignment horizontal="right" vertical="center" wrapText="1"/>
    </xf>
    <xf numFmtId="0" fontId="120" fillId="2" borderId="30" xfId="0" applyFont="1" applyFill="1" applyBorder="1" applyAlignment="1">
      <alignment horizontal="right" vertical="center" wrapText="1"/>
    </xf>
    <xf numFmtId="0" fontId="119" fillId="0" borderId="30" xfId="0" applyFont="1" applyBorder="1" applyAlignment="1">
      <alignment horizontal="right" vertical="center" wrapText="1"/>
    </xf>
    <xf numFmtId="9" fontId="119" fillId="0" borderId="30" xfId="3" applyFont="1" applyBorder="1" applyAlignment="1" applyProtection="1">
      <alignment horizontal="right" vertical="center" wrapText="1"/>
    </xf>
    <xf numFmtId="1" fontId="119" fillId="0" borderId="30" xfId="0" applyNumberFormat="1" applyFont="1" applyBorder="1" applyAlignment="1">
      <alignment horizontal="right" vertical="center" wrapText="1"/>
    </xf>
    <xf numFmtId="0" fontId="120" fillId="0" borderId="30" xfId="0" applyFont="1" applyBorder="1" applyAlignment="1">
      <alignment horizontal="right" vertical="center" wrapText="1"/>
    </xf>
    <xf numFmtId="1" fontId="120" fillId="0" borderId="30" xfId="0" applyNumberFormat="1" applyFont="1" applyBorder="1" applyAlignment="1">
      <alignment horizontal="right" vertical="center" wrapText="1"/>
    </xf>
    <xf numFmtId="0" fontId="10" fillId="2" borderId="0" xfId="0" applyFont="1" applyFill="1" applyAlignment="1">
      <alignment vertical="center"/>
    </xf>
    <xf numFmtId="0" fontId="64" fillId="2" borderId="0" xfId="0" applyFont="1" applyFill="1" applyAlignment="1">
      <alignment vertical="center" wrapText="1"/>
    </xf>
    <xf numFmtId="166" fontId="10" fillId="2" borderId="0" xfId="2" applyNumberFormat="1" applyFont="1" applyFill="1" applyAlignment="1" applyProtection="1">
      <alignment horizontal="center" vertical="center" wrapText="1"/>
    </xf>
    <xf numFmtId="0" fontId="7" fillId="21"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top" wrapText="1"/>
    </xf>
    <xf numFmtId="9" fontId="118" fillId="0" borderId="30" xfId="2" applyNumberFormat="1" applyFont="1" applyFill="1" applyBorder="1" applyAlignment="1" applyProtection="1">
      <alignment horizontal="right" vertical="center" wrapText="1"/>
    </xf>
    <xf numFmtId="9" fontId="115" fillId="2" borderId="30" xfId="2" applyNumberFormat="1" applyFont="1" applyFill="1" applyBorder="1" applyAlignment="1" applyProtection="1">
      <alignment horizontal="right" vertical="center" wrapText="1"/>
    </xf>
    <xf numFmtId="9" fontId="119" fillId="0" borderId="30" xfId="2" applyNumberFormat="1" applyFont="1" applyFill="1" applyBorder="1" applyAlignment="1" applyProtection="1">
      <alignment horizontal="right" vertical="center" wrapText="1"/>
    </xf>
    <xf numFmtId="164" fontId="119" fillId="0" borderId="30" xfId="2" applyNumberFormat="1" applyFont="1" applyFill="1" applyBorder="1" applyAlignment="1" applyProtection="1">
      <alignment horizontal="right" vertical="center" wrapText="1"/>
    </xf>
    <xf numFmtId="9" fontId="120" fillId="2" borderId="30" xfId="2" applyNumberFormat="1" applyFont="1" applyFill="1" applyBorder="1" applyAlignment="1" applyProtection="1">
      <alignment horizontal="right" vertical="center" wrapText="1"/>
    </xf>
    <xf numFmtId="164" fontId="120" fillId="2" borderId="30" xfId="2" applyNumberFormat="1" applyFont="1" applyFill="1" applyBorder="1" applyAlignment="1" applyProtection="1">
      <alignment horizontal="right" vertical="center" wrapText="1"/>
    </xf>
    <xf numFmtId="0" fontId="12" fillId="5" borderId="0" xfId="0" applyFont="1" applyFill="1"/>
    <xf numFmtId="9" fontId="6" fillId="2" borderId="0" xfId="0" applyNumberFormat="1" applyFont="1" applyFill="1" applyAlignment="1">
      <alignment wrapText="1"/>
    </xf>
    <xf numFmtId="0" fontId="58" fillId="42" borderId="30" xfId="0" applyFont="1" applyFill="1" applyBorder="1" applyAlignment="1">
      <alignment horizontal="left" vertical="center" wrapText="1"/>
    </xf>
    <xf numFmtId="0" fontId="97" fillId="35" borderId="30" xfId="0" applyFont="1" applyFill="1" applyBorder="1" applyAlignment="1">
      <alignment horizontal="center" vertical="center" wrapText="1"/>
    </xf>
    <xf numFmtId="166" fontId="86" fillId="20" borderId="30" xfId="0" applyNumberFormat="1" applyFont="1" applyFill="1" applyBorder="1" applyAlignment="1">
      <alignment horizontal="right" wrapText="1"/>
    </xf>
    <xf numFmtId="166" fontId="86" fillId="20" borderId="30" xfId="2" applyNumberFormat="1" applyFont="1" applyFill="1" applyBorder="1" applyAlignment="1" applyProtection="1">
      <alignment horizontal="right" vertical="center"/>
    </xf>
    <xf numFmtId="9" fontId="87" fillId="20" borderId="30" xfId="3" applyFont="1" applyFill="1" applyBorder="1" applyAlignment="1" applyProtection="1">
      <alignment horizontal="right" wrapText="1"/>
    </xf>
    <xf numFmtId="166" fontId="115" fillId="2" borderId="30" xfId="0" applyNumberFormat="1" applyFont="1" applyFill="1" applyBorder="1" applyAlignment="1">
      <alignment horizontal="right" wrapText="1"/>
    </xf>
    <xf numFmtId="9" fontId="120" fillId="2" borderId="30" xfId="3" applyFont="1" applyFill="1" applyBorder="1" applyAlignment="1" applyProtection="1">
      <alignment horizontal="right" wrapText="1"/>
    </xf>
    <xf numFmtId="9" fontId="6" fillId="2" borderId="0" xfId="3" applyFont="1" applyFill="1" applyAlignment="1" applyProtection="1">
      <alignment wrapText="1"/>
    </xf>
    <xf numFmtId="0" fontId="114" fillId="2" borderId="30" xfId="0" applyFont="1" applyFill="1" applyBorder="1" applyAlignment="1">
      <alignment wrapText="1"/>
    </xf>
    <xf numFmtId="0" fontId="25" fillId="26" borderId="30" xfId="0" applyFont="1" applyFill="1" applyBorder="1" applyAlignment="1">
      <alignment horizontal="center" vertical="center" wrapText="1"/>
    </xf>
    <xf numFmtId="0" fontId="97" fillId="26" borderId="30" xfId="0" applyFont="1" applyFill="1" applyBorder="1" applyAlignment="1">
      <alignment horizontal="center" vertical="center" wrapText="1"/>
    </xf>
    <xf numFmtId="166" fontId="118" fillId="0" borderId="30" xfId="0" applyNumberFormat="1" applyFont="1" applyBorder="1" applyAlignment="1">
      <alignment horizontal="right" wrapText="1"/>
    </xf>
    <xf numFmtId="166" fontId="118" fillId="0" borderId="30" xfId="2" applyNumberFormat="1" applyFont="1" applyFill="1" applyBorder="1" applyAlignment="1" applyProtection="1">
      <alignment horizontal="right" vertical="center"/>
    </xf>
    <xf numFmtId="9" fontId="119" fillId="0" borderId="30" xfId="3" applyFont="1" applyFill="1" applyBorder="1" applyAlignment="1" applyProtection="1">
      <alignment horizontal="right" wrapText="1"/>
    </xf>
    <xf numFmtId="9" fontId="119" fillId="0" borderId="30" xfId="3" applyFont="1" applyFill="1" applyBorder="1" applyAlignment="1" applyProtection="1">
      <alignment horizontal="right" vertical="center" wrapText="1"/>
    </xf>
    <xf numFmtId="9" fontId="120" fillId="2" borderId="30" xfId="3" applyFont="1" applyFill="1" applyBorder="1" applyAlignment="1" applyProtection="1">
      <alignment horizontal="right" vertical="center" wrapText="1"/>
    </xf>
    <xf numFmtId="166" fontId="86" fillId="20" borderId="30" xfId="2" applyNumberFormat="1" applyFont="1" applyFill="1" applyBorder="1" applyAlignment="1" applyProtection="1">
      <alignment horizontal="right" wrapText="1"/>
    </xf>
    <xf numFmtId="166" fontId="118" fillId="0" borderId="30" xfId="2" applyNumberFormat="1" applyFont="1" applyFill="1" applyBorder="1" applyAlignment="1" applyProtection="1">
      <alignment horizontal="right" wrapText="1"/>
    </xf>
    <xf numFmtId="166" fontId="115" fillId="2" borderId="30" xfId="2" applyNumberFormat="1" applyFont="1" applyFill="1" applyBorder="1" applyAlignment="1" applyProtection="1">
      <alignment horizontal="right" wrapText="1"/>
    </xf>
    <xf numFmtId="166" fontId="6" fillId="19" borderId="13" xfId="2" applyNumberFormat="1" applyFont="1" applyFill="1" applyBorder="1" applyAlignment="1" applyProtection="1">
      <alignment horizontal="right" vertical="center" wrapText="1"/>
    </xf>
    <xf numFmtId="49" fontId="6" fillId="19" borderId="13" xfId="2" applyNumberFormat="1" applyFont="1" applyFill="1" applyBorder="1" applyAlignment="1" applyProtection="1">
      <alignment horizontal="right" vertical="center" wrapText="1"/>
    </xf>
    <xf numFmtId="49" fontId="6" fillId="2" borderId="0" xfId="2" applyNumberFormat="1" applyFont="1" applyFill="1" applyAlignment="1" applyProtection="1">
      <alignment horizontal="right" vertical="center" wrapText="1"/>
    </xf>
    <xf numFmtId="166" fontId="6" fillId="2" borderId="0" xfId="2" applyNumberFormat="1" applyFont="1" applyFill="1" applyAlignment="1" applyProtection="1">
      <alignment horizontal="right" vertical="center" wrapText="1"/>
    </xf>
    <xf numFmtId="3" fontId="151" fillId="20" borderId="30" xfId="0" applyNumberFormat="1" applyFont="1" applyFill="1" applyBorder="1" applyAlignment="1">
      <alignment horizontal="right" vertical="center" wrapText="1"/>
    </xf>
    <xf numFmtId="0" fontId="151" fillId="20" borderId="30" xfId="0" applyFont="1" applyFill="1" applyBorder="1" applyAlignment="1">
      <alignment horizontal="right" vertical="center" wrapText="1"/>
    </xf>
    <xf numFmtId="9" fontId="151" fillId="20" borderId="30" xfId="0" applyNumberFormat="1" applyFont="1" applyFill="1" applyBorder="1" applyAlignment="1">
      <alignment horizontal="right" vertical="center" wrapText="1"/>
    </xf>
    <xf numFmtId="9" fontId="115" fillId="2" borderId="30" xfId="3" applyFont="1" applyFill="1" applyBorder="1" applyAlignment="1" applyProtection="1">
      <alignment horizontal="right" vertical="center" wrapText="1"/>
    </xf>
    <xf numFmtId="166" fontId="151" fillId="20" borderId="30" xfId="2" applyNumberFormat="1" applyFont="1" applyFill="1" applyBorder="1" applyAlignment="1" applyProtection="1">
      <alignment horizontal="right" vertical="center" wrapText="1"/>
    </xf>
    <xf numFmtId="3" fontId="150" fillId="20" borderId="30" xfId="0" applyNumberFormat="1" applyFont="1" applyFill="1" applyBorder="1" applyAlignment="1">
      <alignment horizontal="right" vertical="center" wrapText="1"/>
    </xf>
    <xf numFmtId="9" fontId="150" fillId="20" borderId="30" xfId="0" applyNumberFormat="1" applyFont="1" applyFill="1" applyBorder="1" applyAlignment="1">
      <alignment horizontal="right" vertical="center" wrapText="1"/>
    </xf>
    <xf numFmtId="164" fontId="8" fillId="2" borderId="0" xfId="3" applyNumberFormat="1" applyFont="1" applyFill="1" applyAlignment="1" applyProtection="1">
      <alignment wrapText="1"/>
    </xf>
    <xf numFmtId="0" fontId="11" fillId="2" borderId="0" xfId="0" applyFont="1" applyFill="1"/>
    <xf numFmtId="0" fontId="114" fillId="2" borderId="34" xfId="0" applyFont="1" applyFill="1" applyBorder="1" applyAlignment="1">
      <alignment horizontal="left" vertical="center" wrapText="1"/>
    </xf>
    <xf numFmtId="171" fontId="151" fillId="20" borderId="30" xfId="0" applyNumberFormat="1" applyFont="1" applyFill="1" applyBorder="1" applyAlignment="1">
      <alignment horizontal="right" vertical="center" wrapText="1"/>
    </xf>
    <xf numFmtId="168" fontId="118" fillId="0" borderId="30" xfId="2" applyNumberFormat="1" applyFont="1" applyFill="1" applyBorder="1" applyAlignment="1" applyProtection="1">
      <alignment horizontal="right" vertical="center" wrapText="1"/>
    </xf>
    <xf numFmtId="166" fontId="118" fillId="0" borderId="30" xfId="0" applyNumberFormat="1" applyFont="1" applyBorder="1" applyAlignment="1">
      <alignment horizontal="right" vertical="center" wrapText="1"/>
    </xf>
    <xf numFmtId="166" fontId="115" fillId="2" borderId="30" xfId="0" applyNumberFormat="1" applyFont="1" applyFill="1" applyBorder="1" applyAlignment="1">
      <alignment horizontal="right" vertical="center" wrapText="1"/>
    </xf>
    <xf numFmtId="166" fontId="86" fillId="0" borderId="0" xfId="0" applyNumberFormat="1" applyFont="1" applyAlignment="1">
      <alignment horizontal="right" vertical="center" wrapText="1"/>
    </xf>
    <xf numFmtId="166" fontId="115" fillId="2" borderId="0" xfId="0" applyNumberFormat="1" applyFont="1" applyFill="1" applyAlignment="1">
      <alignment horizontal="right" vertical="center" wrapText="1"/>
    </xf>
    <xf numFmtId="166" fontId="118" fillId="2" borderId="30" xfId="0" applyNumberFormat="1" applyFont="1" applyFill="1" applyBorder="1" applyAlignment="1">
      <alignment horizontal="right" vertical="center" wrapText="1"/>
    </xf>
    <xf numFmtId="9" fontId="118" fillId="2" borderId="30" xfId="0" applyNumberFormat="1" applyFont="1" applyFill="1" applyBorder="1" applyAlignment="1">
      <alignment horizontal="right" vertical="center" wrapText="1"/>
    </xf>
    <xf numFmtId="0" fontId="8" fillId="2" borderId="0" xfId="0" applyFont="1" applyFill="1" applyAlignment="1">
      <alignment horizontal="right" wrapText="1"/>
    </xf>
    <xf numFmtId="166" fontId="24" fillId="2" borderId="0" xfId="0" applyNumberFormat="1" applyFont="1" applyFill="1" applyAlignment="1">
      <alignment horizontal="right" vertical="center" wrapText="1"/>
    </xf>
    <xf numFmtId="166" fontId="115" fillId="8" borderId="30" xfId="0" applyNumberFormat="1" applyFont="1" applyFill="1" applyBorder="1" applyAlignment="1">
      <alignment horizontal="right" vertical="center" wrapText="1"/>
    </xf>
    <xf numFmtId="9" fontId="115" fillId="8" borderId="30" xfId="3" applyFont="1" applyFill="1" applyBorder="1" applyAlignment="1" applyProtection="1">
      <alignment horizontal="right" vertical="center" wrapText="1"/>
    </xf>
    <xf numFmtId="166" fontId="118" fillId="8" borderId="30" xfId="0" applyNumberFormat="1" applyFont="1" applyFill="1" applyBorder="1" applyAlignment="1">
      <alignment horizontal="right" vertical="center" wrapText="1"/>
    </xf>
    <xf numFmtId="9" fontId="118" fillId="8" borderId="30" xfId="0" applyNumberFormat="1" applyFont="1" applyFill="1" applyBorder="1" applyAlignment="1">
      <alignment horizontal="right" vertical="center" wrapText="1"/>
    </xf>
    <xf numFmtId="1" fontId="24" fillId="2" borderId="0" xfId="0" applyNumberFormat="1" applyFont="1" applyFill="1" applyAlignment="1">
      <alignment horizontal="right" vertical="center" wrapText="1"/>
    </xf>
    <xf numFmtId="9" fontId="114" fillId="2" borderId="34" xfId="3" applyFont="1" applyFill="1" applyBorder="1" applyAlignment="1" applyProtection="1">
      <alignment horizontal="right"/>
    </xf>
    <xf numFmtId="9" fontId="114" fillId="0" borderId="35" xfId="3" applyFont="1" applyBorder="1" applyProtection="1"/>
    <xf numFmtId="9" fontId="114" fillId="0" borderId="30" xfId="3" applyFont="1" applyBorder="1" applyProtection="1"/>
    <xf numFmtId="9" fontId="112" fillId="44" borderId="65" xfId="3" applyFont="1" applyFill="1" applyBorder="1" applyAlignment="1" applyProtection="1">
      <alignment vertical="center"/>
    </xf>
    <xf numFmtId="165" fontId="151" fillId="20" borderId="30" xfId="0" applyNumberFormat="1" applyFont="1" applyFill="1" applyBorder="1" applyAlignment="1">
      <alignment horizontal="right" vertical="center" wrapText="1"/>
    </xf>
    <xf numFmtId="173" fontId="114" fillId="2" borderId="34" xfId="3" applyNumberFormat="1" applyFont="1" applyFill="1" applyBorder="1" applyAlignment="1" applyProtection="1">
      <alignment horizontal="right"/>
    </xf>
    <xf numFmtId="9" fontId="112" fillId="44" borderId="66" xfId="3" applyFont="1" applyFill="1" applyBorder="1" applyAlignment="1" applyProtection="1">
      <alignment vertical="center"/>
    </xf>
    <xf numFmtId="0" fontId="151" fillId="41" borderId="30" xfId="0" applyFont="1" applyFill="1" applyBorder="1" applyAlignment="1">
      <alignment horizontal="right" vertical="center" wrapText="1"/>
    </xf>
    <xf numFmtId="9" fontId="114" fillId="41" borderId="34" xfId="3" applyFont="1" applyFill="1" applyBorder="1" applyAlignment="1" applyProtection="1">
      <alignment horizontal="right"/>
    </xf>
    <xf numFmtId="9" fontId="114" fillId="41" borderId="35" xfId="3" applyFont="1" applyFill="1" applyBorder="1" applyAlignment="1" applyProtection="1">
      <alignment horizontal="right"/>
    </xf>
    <xf numFmtId="9" fontId="114" fillId="41" borderId="30" xfId="3" applyFont="1" applyFill="1" applyBorder="1" applyAlignment="1" applyProtection="1">
      <alignment horizontal="right"/>
    </xf>
    <xf numFmtId="0" fontId="115" fillId="2" borderId="30" xfId="0" applyFont="1" applyFill="1" applyBorder="1" applyAlignment="1">
      <alignment horizontal="right" wrapText="1"/>
    </xf>
    <xf numFmtId="9" fontId="114" fillId="0" borderId="30" xfId="3" applyFont="1" applyBorder="1" applyAlignment="1" applyProtection="1">
      <alignment horizontal="right"/>
    </xf>
    <xf numFmtId="0" fontId="114" fillId="2" borderId="30" xfId="0" applyFont="1" applyFill="1" applyBorder="1" applyAlignment="1">
      <alignment horizontal="right"/>
    </xf>
    <xf numFmtId="49" fontId="114" fillId="2" borderId="30" xfId="0" applyNumberFormat="1" applyFont="1" applyFill="1" applyBorder="1" applyAlignment="1">
      <alignment horizontal="right"/>
    </xf>
    <xf numFmtId="49" fontId="118" fillId="2" borderId="30" xfId="0" applyNumberFormat="1" applyFont="1" applyFill="1" applyBorder="1" applyAlignment="1">
      <alignment horizontal="right"/>
    </xf>
    <xf numFmtId="49" fontId="118" fillId="0" borderId="30" xfId="3" applyNumberFormat="1" applyFont="1" applyBorder="1" applyAlignment="1" applyProtection="1">
      <alignment horizontal="right"/>
    </xf>
    <xf numFmtId="49" fontId="118" fillId="0" borderId="30" xfId="2" applyNumberFormat="1" applyFont="1" applyBorder="1" applyAlignment="1" applyProtection="1">
      <alignment horizontal="right" wrapText="1"/>
    </xf>
    <xf numFmtId="0" fontId="118" fillId="2" borderId="30" xfId="0" applyFont="1" applyFill="1" applyBorder="1" applyAlignment="1">
      <alignment horizontal="right"/>
    </xf>
    <xf numFmtId="9" fontId="118" fillId="0" borderId="30" xfId="3" applyFont="1" applyBorder="1" applyAlignment="1" applyProtection="1">
      <alignment horizontal="right"/>
    </xf>
    <xf numFmtId="168" fontId="118" fillId="0" borderId="30" xfId="2" applyNumberFormat="1" applyFont="1" applyBorder="1" applyAlignment="1" applyProtection="1">
      <alignment horizontal="right" vertical="center" wrapText="1"/>
    </xf>
    <xf numFmtId="0" fontId="114" fillId="2" borderId="30" xfId="0" applyFont="1" applyFill="1" applyBorder="1" applyAlignment="1">
      <alignment horizontal="left" indent="4"/>
    </xf>
    <xf numFmtId="0" fontId="16" fillId="35" borderId="30" xfId="0" applyFont="1" applyFill="1" applyBorder="1" applyAlignment="1">
      <alignment horizontal="center" vertical="center"/>
    </xf>
    <xf numFmtId="0" fontId="25" fillId="35" borderId="30" xfId="0" applyFont="1" applyFill="1" applyBorder="1" applyAlignment="1">
      <alignment horizontal="center" vertical="center"/>
    </xf>
    <xf numFmtId="0" fontId="20" fillId="35" borderId="30" xfId="0" applyFont="1" applyFill="1" applyBorder="1" applyAlignment="1">
      <alignment horizontal="center" vertical="center"/>
    </xf>
    <xf numFmtId="0" fontId="25" fillId="35" borderId="31" xfId="0" applyFont="1" applyFill="1" applyBorder="1" applyAlignment="1">
      <alignment horizontal="center" vertical="center"/>
    </xf>
    <xf numFmtId="0" fontId="13" fillId="2" borderId="0" xfId="0" applyFont="1" applyFill="1" applyAlignment="1">
      <alignment vertical="top" wrapText="1"/>
    </xf>
    <xf numFmtId="0" fontId="155" fillId="0" borderId="0" xfId="1" applyFont="1" applyProtection="1"/>
    <xf numFmtId="1" fontId="118" fillId="20" borderId="30" xfId="0" applyNumberFormat="1" applyFont="1" applyFill="1" applyBorder="1" applyAlignment="1">
      <alignment horizontal="center" wrapText="1"/>
    </xf>
    <xf numFmtId="1" fontId="118" fillId="0" borderId="30" xfId="0" applyNumberFormat="1" applyFont="1" applyBorder="1" applyAlignment="1">
      <alignment horizontal="center" wrapText="1"/>
    </xf>
    <xf numFmtId="9" fontId="118" fillId="20" borderId="30" xfId="0" applyNumberFormat="1" applyFont="1" applyFill="1" applyBorder="1" applyAlignment="1">
      <alignment horizontal="center" wrapText="1"/>
    </xf>
    <xf numFmtId="0" fontId="118" fillId="0" borderId="30" xfId="0" applyFont="1" applyBorder="1" applyAlignment="1">
      <alignment horizontal="left" wrapText="1"/>
    </xf>
    <xf numFmtId="10" fontId="118" fillId="20" borderId="30" xfId="0" applyNumberFormat="1" applyFont="1" applyFill="1" applyBorder="1" applyAlignment="1">
      <alignment horizontal="center" wrapText="1"/>
    </xf>
    <xf numFmtId="9" fontId="118" fillId="0" borderId="30" xfId="0" applyNumberFormat="1" applyFont="1" applyBorder="1" applyAlignment="1">
      <alignment horizontal="center" wrapText="1"/>
    </xf>
    <xf numFmtId="164" fontId="118" fillId="0" borderId="30" xfId="0" applyNumberFormat="1" applyFont="1" applyBorder="1" applyAlignment="1">
      <alignment horizontal="center" wrapText="1"/>
    </xf>
    <xf numFmtId="0" fontId="171" fillId="0" borderId="30" xfId="0" applyFont="1" applyBorder="1" applyAlignment="1">
      <alignment horizontal="left" vertical="center" wrapText="1"/>
    </xf>
    <xf numFmtId="1" fontId="118" fillId="0" borderId="30" xfId="3" applyNumberFormat="1" applyFont="1" applyBorder="1" applyAlignment="1" applyProtection="1">
      <alignment horizontal="center" wrapText="1"/>
    </xf>
    <xf numFmtId="0" fontId="183" fillId="0" borderId="30" xfId="0" applyFont="1" applyBorder="1" applyAlignment="1">
      <alignment horizontal="left" vertical="center" wrapText="1"/>
    </xf>
    <xf numFmtId="9" fontId="115" fillId="20" borderId="30" xfId="3" applyFont="1" applyFill="1" applyBorder="1" applyAlignment="1" applyProtection="1">
      <alignment horizontal="center" wrapText="1"/>
    </xf>
    <xf numFmtId="0" fontId="182" fillId="2" borderId="0" xfId="0" applyFont="1" applyFill="1"/>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5" borderId="0" xfId="0" applyFont="1" applyFill="1" applyAlignment="1">
      <alignment horizontal="left" vertical="top" wrapText="1"/>
    </xf>
    <xf numFmtId="0" fontId="50" fillId="35"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2" fillId="4" borderId="0" xfId="0" applyFont="1" applyFill="1" applyAlignment="1">
      <alignment horizontal="left" vertical="top" wrapText="1" indent="4"/>
    </xf>
    <xf numFmtId="0" fontId="148" fillId="2" borderId="0" xfId="0" applyFont="1" applyFill="1" applyAlignment="1">
      <alignment horizontal="left" vertical="top" wrapText="1"/>
    </xf>
    <xf numFmtId="0" fontId="63" fillId="32" borderId="57" xfId="0" applyFont="1" applyFill="1" applyBorder="1" applyAlignment="1">
      <alignment horizontal="center" vertical="center"/>
    </xf>
    <xf numFmtId="0" fontId="63" fillId="32" borderId="58" xfId="0" applyFont="1" applyFill="1" applyBorder="1" applyAlignment="1">
      <alignment horizontal="center" vertical="center"/>
    </xf>
    <xf numFmtId="0" fontId="63" fillId="32" borderId="59" xfId="0" applyFont="1" applyFill="1" applyBorder="1" applyAlignment="1">
      <alignment horizontal="center" vertical="center"/>
    </xf>
    <xf numFmtId="0" fontId="63" fillId="36" borderId="57" xfId="0" applyFont="1" applyFill="1" applyBorder="1" applyAlignment="1">
      <alignment horizontal="center" vertical="center"/>
    </xf>
    <xf numFmtId="0" fontId="63" fillId="36" borderId="58" xfId="0" applyFont="1" applyFill="1" applyBorder="1" applyAlignment="1">
      <alignment horizontal="center" vertical="center"/>
    </xf>
    <xf numFmtId="0" fontId="21" fillId="31" borderId="54" xfId="0" applyFont="1" applyFill="1" applyBorder="1" applyAlignment="1">
      <alignment horizontal="left" vertical="center" indent="1"/>
    </xf>
    <xf numFmtId="0" fontId="21" fillId="31" borderId="55" xfId="0" applyFont="1" applyFill="1" applyBorder="1" applyAlignment="1">
      <alignment horizontal="left" vertical="center" indent="1"/>
    </xf>
    <xf numFmtId="0" fontId="117" fillId="36" borderId="31" xfId="0" applyFont="1" applyFill="1" applyBorder="1" applyAlignment="1">
      <alignment horizontal="center" vertical="center" wrapText="1"/>
    </xf>
    <xf numFmtId="0" fontId="117" fillId="36" borderId="33" xfId="0" applyFont="1" applyFill="1" applyBorder="1" applyAlignment="1">
      <alignment horizontal="center" vertical="center" wrapText="1"/>
    </xf>
    <xf numFmtId="0" fontId="117" fillId="36" borderId="32" xfId="0" applyFont="1" applyFill="1" applyBorder="1" applyAlignment="1">
      <alignment horizontal="center" vertical="center" wrapText="1"/>
    </xf>
    <xf numFmtId="0" fontId="117" fillId="31" borderId="31" xfId="0" applyFont="1" applyFill="1" applyBorder="1" applyAlignment="1">
      <alignment horizontal="center" vertical="center" wrapText="1"/>
    </xf>
    <xf numFmtId="0" fontId="117" fillId="31" borderId="33" xfId="0" applyFont="1" applyFill="1" applyBorder="1" applyAlignment="1">
      <alignment horizontal="center" vertical="center" wrapText="1"/>
    </xf>
    <xf numFmtId="0" fontId="117" fillId="31" borderId="32" xfId="0" applyFont="1" applyFill="1" applyBorder="1" applyAlignment="1">
      <alignment horizontal="center" vertical="center" wrapText="1"/>
    </xf>
    <xf numFmtId="0" fontId="117" fillId="32" borderId="31" xfId="0" applyFont="1" applyFill="1" applyBorder="1" applyAlignment="1">
      <alignment horizontal="center" vertical="center"/>
    </xf>
    <xf numFmtId="0" fontId="117" fillId="32" borderId="33" xfId="0" applyFont="1" applyFill="1" applyBorder="1" applyAlignment="1">
      <alignment horizontal="center" vertical="center"/>
    </xf>
    <xf numFmtId="0" fontId="117" fillId="32" borderId="32" xfId="0" applyFont="1" applyFill="1" applyBorder="1" applyAlignment="1">
      <alignment horizontal="center" vertical="center"/>
    </xf>
    <xf numFmtId="0" fontId="117" fillId="36" borderId="31" xfId="0" applyFont="1" applyFill="1" applyBorder="1" applyAlignment="1">
      <alignment horizontal="center" vertical="center"/>
    </xf>
    <xf numFmtId="0" fontId="117" fillId="36" borderId="33" xfId="0" applyFont="1" applyFill="1" applyBorder="1" applyAlignment="1">
      <alignment horizontal="center" vertical="center"/>
    </xf>
    <xf numFmtId="0" fontId="117" fillId="36" borderId="32" xfId="0" applyFont="1" applyFill="1" applyBorder="1" applyAlignment="1">
      <alignment horizontal="center" vertical="center"/>
    </xf>
    <xf numFmtId="0" fontId="7" fillId="0" borderId="30" xfId="1" applyFont="1" applyFill="1" applyBorder="1" applyAlignment="1" applyProtection="1">
      <alignment horizontal="center" vertical="center" wrapText="1"/>
    </xf>
    <xf numFmtId="0" fontId="6" fillId="0" borderId="30" xfId="1" applyFont="1" applyFill="1" applyBorder="1" applyAlignment="1" applyProtection="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17" fillId="12" borderId="31" xfId="0" applyFont="1" applyFill="1" applyBorder="1" applyAlignment="1">
      <alignment horizontal="left" vertical="center" wrapText="1"/>
    </xf>
    <xf numFmtId="0" fontId="117" fillId="12" borderId="32" xfId="0" applyFont="1" applyFill="1" applyBorder="1" applyAlignment="1">
      <alignment horizontal="left" vertical="center" wrapText="1"/>
    </xf>
    <xf numFmtId="0" fontId="12" fillId="0" borderId="30" xfId="0" applyFont="1" applyBorder="1" applyAlignment="1">
      <alignment horizontal="center" vertical="center"/>
    </xf>
    <xf numFmtId="0" fontId="66" fillId="14" borderId="30" xfId="0" applyFont="1" applyFill="1" applyBorder="1" applyAlignment="1">
      <alignment horizontal="left" vertical="center" wrapText="1"/>
    </xf>
    <xf numFmtId="0" fontId="117" fillId="12" borderId="30" xfId="0" applyFont="1" applyFill="1" applyBorder="1" applyAlignment="1">
      <alignment horizontal="left" vertical="center" wrapText="1"/>
    </xf>
    <xf numFmtId="0" fontId="12" fillId="0" borderId="30" xfId="0" applyFont="1" applyBorder="1" applyAlignment="1">
      <alignment horizontal="center" vertical="center" wrapText="1"/>
    </xf>
    <xf numFmtId="0" fontId="65" fillId="0" borderId="30" xfId="0" applyFont="1" applyBorder="1" applyAlignment="1">
      <alignment horizontal="left" vertical="center" wrapText="1"/>
    </xf>
    <xf numFmtId="0" fontId="66" fillId="14" borderId="35" xfId="0" applyFont="1" applyFill="1" applyBorder="1" applyAlignment="1">
      <alignment horizontal="left" vertical="center" wrapText="1"/>
    </xf>
    <xf numFmtId="0" fontId="117" fillId="12" borderId="30" xfId="0" applyFont="1" applyFill="1" applyBorder="1" applyAlignment="1">
      <alignment horizontal="center" vertical="center" wrapText="1"/>
    </xf>
    <xf numFmtId="0" fontId="13" fillId="15" borderId="30" xfId="0" applyFont="1" applyFill="1" applyBorder="1" applyAlignment="1">
      <alignment horizontal="center" vertical="center"/>
    </xf>
    <xf numFmtId="0" fontId="60" fillId="2" borderId="0" xfId="0" applyFont="1" applyFill="1" applyAlignment="1">
      <alignment horizontal="left" vertical="center"/>
    </xf>
    <xf numFmtId="0" fontId="66" fillId="14" borderId="71" xfId="0" applyFont="1" applyFill="1" applyBorder="1" applyAlignment="1">
      <alignment horizontal="left" vertical="center" wrapText="1"/>
    </xf>
    <xf numFmtId="0" fontId="66" fillId="14" borderId="32" xfId="0" applyFont="1" applyFill="1" applyBorder="1" applyAlignment="1">
      <alignment horizontal="left" vertical="center" wrapText="1"/>
    </xf>
    <xf numFmtId="0" fontId="66" fillId="14" borderId="72"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17" fillId="12" borderId="39" xfId="0" applyFont="1" applyFill="1" applyBorder="1" applyAlignment="1">
      <alignment horizontal="left" vertical="center" wrapText="1"/>
    </xf>
    <xf numFmtId="0" fontId="115" fillId="0" borderId="60" xfId="0" applyFont="1" applyBorder="1" applyAlignment="1">
      <alignment horizontal="left" vertical="center" wrapText="1"/>
    </xf>
    <xf numFmtId="0" fontId="115" fillId="0" borderId="60" xfId="0" applyFont="1" applyBorder="1" applyAlignment="1">
      <alignment vertical="center"/>
    </xf>
    <xf numFmtId="0" fontId="13" fillId="0" borderId="30" xfId="0" applyFont="1" applyBorder="1" applyAlignment="1">
      <alignment horizontal="left" vertical="center" wrapText="1"/>
    </xf>
    <xf numFmtId="0" fontId="63" fillId="35" borderId="60" xfId="0" applyFont="1" applyFill="1" applyBorder="1" applyAlignment="1">
      <alignment horizontal="left" vertical="center" wrapText="1"/>
    </xf>
    <xf numFmtId="0" fontId="63" fillId="35" borderId="60" xfId="0" applyFont="1" applyFill="1" applyBorder="1" applyAlignment="1">
      <alignment horizontal="left" vertical="center"/>
    </xf>
    <xf numFmtId="0" fontId="104" fillId="35" borderId="31" xfId="0" applyFont="1" applyFill="1" applyBorder="1" applyAlignment="1">
      <alignment horizontal="center" vertical="center" wrapText="1"/>
    </xf>
    <xf numFmtId="0" fontId="117" fillId="32" borderId="30" xfId="0" applyFont="1" applyFill="1" applyBorder="1" applyAlignment="1">
      <alignment horizontal="center" vertical="center" wrapText="1"/>
    </xf>
    <xf numFmtId="0" fontId="117" fillId="32" borderId="44" xfId="0" applyFont="1" applyFill="1" applyBorder="1" applyAlignment="1">
      <alignment horizontal="center" vertical="center" wrapText="1"/>
    </xf>
    <xf numFmtId="0" fontId="80" fillId="31" borderId="48" xfId="0" applyFont="1" applyFill="1" applyBorder="1" applyAlignment="1">
      <alignment horizontal="center" vertical="center" wrapText="1"/>
    </xf>
    <xf numFmtId="0" fontId="117" fillId="32" borderId="31" xfId="0" applyFont="1" applyFill="1" applyBorder="1" applyAlignment="1">
      <alignment horizontal="center" vertical="center" wrapText="1"/>
    </xf>
    <xf numFmtId="0" fontId="117" fillId="32" borderId="46" xfId="0" applyFont="1" applyFill="1" applyBorder="1" applyAlignment="1">
      <alignment horizontal="center" vertical="center" wrapText="1"/>
    </xf>
    <xf numFmtId="0" fontId="12" fillId="2" borderId="31" xfId="0" applyFont="1" applyFill="1" applyBorder="1" applyAlignment="1">
      <alignment horizontal="right" vertical="center" wrapText="1"/>
    </xf>
    <xf numFmtId="0" fontId="12" fillId="2" borderId="30" xfId="0" applyFont="1" applyFill="1" applyBorder="1" applyAlignment="1">
      <alignment horizontal="right" vertical="center" wrapText="1"/>
    </xf>
    <xf numFmtId="0" fontId="66" fillId="14" borderId="34" xfId="0" applyFont="1" applyFill="1" applyBorder="1" applyAlignment="1">
      <alignment horizontal="left" vertical="center" wrapText="1"/>
    </xf>
    <xf numFmtId="0" fontId="176" fillId="12" borderId="30" xfId="0" applyFont="1" applyFill="1" applyBorder="1" applyAlignment="1">
      <alignment horizontal="left" vertical="center" wrapText="1"/>
    </xf>
    <xf numFmtId="0" fontId="19" fillId="13" borderId="68" xfId="0" applyFont="1" applyFill="1" applyBorder="1" applyAlignment="1">
      <alignment horizontal="left" vertical="center"/>
    </xf>
    <xf numFmtId="0" fontId="19" fillId="13" borderId="69" xfId="0" applyFont="1" applyFill="1" applyBorder="1" applyAlignment="1">
      <alignment horizontal="left" vertical="center"/>
    </xf>
    <xf numFmtId="0" fontId="19" fillId="13" borderId="38" xfId="0" applyFont="1" applyFill="1" applyBorder="1" applyAlignment="1">
      <alignment horizontal="left" vertical="center"/>
    </xf>
    <xf numFmtId="0" fontId="19" fillId="13" borderId="70" xfId="0" applyFont="1" applyFill="1" applyBorder="1" applyAlignment="1">
      <alignment horizontal="left"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17" fillId="12" borderId="33" xfId="0" applyFont="1" applyFill="1" applyBorder="1" applyAlignment="1">
      <alignment horizontal="left" vertical="center" wrapText="1"/>
    </xf>
    <xf numFmtId="0" fontId="12" fillId="0" borderId="33" xfId="0" applyFont="1" applyBorder="1" applyAlignment="1">
      <alignment horizontal="right" vertical="center"/>
    </xf>
    <xf numFmtId="0" fontId="12" fillId="0" borderId="32" xfId="0" applyFont="1" applyBorder="1" applyAlignment="1">
      <alignment horizontal="right" vertical="center"/>
    </xf>
    <xf numFmtId="0" fontId="12" fillId="0" borderId="31" xfId="0" applyFont="1" applyBorder="1" applyAlignment="1">
      <alignment horizontal="right" vertical="center" wrapText="1"/>
    </xf>
    <xf numFmtId="0" fontId="12" fillId="0" borderId="32" xfId="0" applyFont="1" applyBorder="1" applyAlignment="1">
      <alignment horizontal="right" vertical="center" wrapText="1"/>
    </xf>
    <xf numFmtId="0" fontId="66" fillId="14" borderId="36" xfId="0" applyFont="1" applyFill="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9" fillId="35" borderId="30" xfId="0" applyFont="1" applyFill="1" applyBorder="1" applyAlignment="1">
      <alignment horizontal="left" vertical="center" wrapText="1"/>
    </xf>
    <xf numFmtId="0" fontId="19" fillId="13" borderId="39" xfId="0" applyFont="1" applyFill="1" applyBorder="1" applyAlignment="1">
      <alignment horizontal="left" vertical="center"/>
    </xf>
    <xf numFmtId="0" fontId="104" fillId="35"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2" fillId="15" borderId="37"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12" fillId="15" borderId="47" xfId="0" applyFont="1" applyFill="1" applyBorder="1" applyAlignment="1">
      <alignment horizontal="center" vertical="center" wrapText="1"/>
    </xf>
    <xf numFmtId="0" fontId="12" fillId="15" borderId="44" xfId="0" applyFont="1" applyFill="1" applyBorder="1" applyAlignment="1">
      <alignment horizontal="center" vertical="center" wrapText="1"/>
    </xf>
    <xf numFmtId="0" fontId="120" fillId="12" borderId="31" xfId="0" applyFont="1" applyFill="1" applyBorder="1" applyAlignment="1">
      <alignment horizontal="left" vertical="center" wrapText="1"/>
    </xf>
    <xf numFmtId="0" fontId="120" fillId="12" borderId="44" xfId="0" applyFont="1" applyFill="1" applyBorder="1" applyAlignment="1">
      <alignment horizontal="left" vertical="center" wrapText="1"/>
    </xf>
    <xf numFmtId="0" fontId="120" fillId="12" borderId="30" xfId="0" applyFont="1" applyFill="1" applyBorder="1" applyAlignment="1">
      <alignment horizontal="left"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3" fillId="0" borderId="33" xfId="0" applyFont="1" applyBorder="1" applyAlignment="1">
      <alignment horizontal="left" vertical="center" wrapText="1"/>
    </xf>
    <xf numFmtId="0" fontId="177" fillId="2" borderId="0" xfId="0" applyFont="1" applyFill="1" applyAlignment="1">
      <alignment horizontal="center" vertical="center" wrapText="1"/>
    </xf>
    <xf numFmtId="0" fontId="117" fillId="32" borderId="33" xfId="0" applyFont="1" applyFill="1" applyBorder="1" applyAlignment="1">
      <alignment horizontal="center" vertical="center" wrapText="1"/>
    </xf>
    <xf numFmtId="0" fontId="117" fillId="32" borderId="32" xfId="0" applyFont="1" applyFill="1" applyBorder="1" applyAlignment="1">
      <alignment horizontal="center" vertical="center" wrapText="1"/>
    </xf>
    <xf numFmtId="0" fontId="175" fillId="14" borderId="30" xfId="0" applyFont="1" applyFill="1" applyBorder="1" applyAlignment="1">
      <alignment horizontal="left" vertical="center" wrapText="1"/>
    </xf>
    <xf numFmtId="0" fontId="80" fillId="31" borderId="31" xfId="0" applyFont="1" applyFill="1" applyBorder="1" applyAlignment="1">
      <alignment horizontal="center" vertical="center" wrapText="1"/>
    </xf>
    <xf numFmtId="0" fontId="80" fillId="31" borderId="32" xfId="0" applyFont="1" applyFill="1" applyBorder="1" applyAlignment="1">
      <alignment horizontal="center" vertical="center" wrapText="1"/>
    </xf>
    <xf numFmtId="0" fontId="12" fillId="0" borderId="31" xfId="0" applyFont="1" applyBorder="1" applyAlignment="1">
      <alignment horizontal="right" vertical="center"/>
    </xf>
    <xf numFmtId="0" fontId="27" fillId="2" borderId="0" xfId="0" applyFont="1" applyFill="1" applyAlignment="1">
      <alignment horizontal="left" vertical="center" wrapText="1"/>
    </xf>
    <xf numFmtId="0" fontId="66" fillId="0" borderId="30" xfId="0" applyFont="1" applyBorder="1" applyAlignment="1">
      <alignment horizontal="left" vertical="center" wrapText="1"/>
    </xf>
    <xf numFmtId="0" fontId="146" fillId="0" borderId="0" xfId="0" applyFont="1" applyAlignment="1">
      <alignment horizontal="left" vertical="center"/>
    </xf>
    <xf numFmtId="0" fontId="66" fillId="2" borderId="30" xfId="0" applyFont="1" applyFill="1" applyBorder="1" applyAlignment="1">
      <alignment horizontal="left" vertical="center" wrapText="1"/>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117" fillId="2" borderId="42" xfId="0" applyFont="1" applyFill="1" applyBorder="1" applyAlignment="1">
      <alignment horizontal="left" vertical="center" wrapText="1"/>
    </xf>
    <xf numFmtId="0" fontId="117" fillId="2" borderId="7" xfId="0" applyFont="1" applyFill="1" applyBorder="1" applyAlignment="1">
      <alignment horizontal="left" vertical="center"/>
    </xf>
    <xf numFmtId="0" fontId="117" fillId="2" borderId="43" xfId="0" applyFont="1" applyFill="1" applyBorder="1" applyAlignment="1">
      <alignment horizontal="left" vertical="center"/>
    </xf>
    <xf numFmtId="0" fontId="152" fillId="0" borderId="0" xfId="0" applyFont="1" applyAlignment="1">
      <alignment horizontal="left" vertical="top" wrapText="1"/>
    </xf>
    <xf numFmtId="0" fontId="66" fillId="4" borderId="30" xfId="0" applyFont="1" applyFill="1" applyBorder="1" applyAlignment="1">
      <alignment horizontal="left" vertical="center"/>
    </xf>
    <xf numFmtId="0" fontId="13" fillId="19" borderId="30" xfId="0" applyFont="1" applyFill="1" applyBorder="1" applyAlignment="1">
      <alignment horizontal="left" vertical="center" wrapText="1"/>
    </xf>
    <xf numFmtId="0" fontId="66" fillId="4"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08" fillId="4" borderId="30" xfId="0" applyFont="1" applyFill="1" applyBorder="1" applyAlignment="1">
      <alignment horizontal="right" vertical="center" wrapText="1"/>
    </xf>
    <xf numFmtId="0" fontId="160" fillId="4" borderId="30" xfId="0" applyFont="1" applyFill="1" applyBorder="1" applyAlignment="1">
      <alignment horizontal="right" vertical="center" wrapText="1"/>
    </xf>
    <xf numFmtId="0" fontId="13" fillId="2" borderId="30" xfId="0" applyFont="1" applyFill="1" applyBorder="1" applyAlignment="1">
      <alignment horizontal="left" vertical="center"/>
    </xf>
    <xf numFmtId="0" fontId="155" fillId="2" borderId="30" xfId="1" applyFont="1" applyFill="1" applyBorder="1" applyAlignment="1" applyProtection="1">
      <alignment horizontal="right" vertical="center" wrapText="1"/>
    </xf>
    <xf numFmtId="0" fontId="155" fillId="2" borderId="31" xfId="1" applyFont="1" applyFill="1" applyBorder="1" applyAlignment="1" applyProtection="1">
      <alignment horizontal="right" vertical="center" wrapText="1"/>
    </xf>
    <xf numFmtId="0" fontId="155" fillId="2" borderId="32" xfId="1" applyFont="1" applyFill="1" applyBorder="1" applyAlignment="1" applyProtection="1">
      <alignment horizontal="right" vertical="center" wrapText="1"/>
    </xf>
    <xf numFmtId="0" fontId="150" fillId="10" borderId="34" xfId="0" applyFont="1" applyFill="1" applyBorder="1" applyAlignment="1">
      <alignment horizontal="center" vertical="center" wrapText="1"/>
    </xf>
    <xf numFmtId="0" fontId="150" fillId="10" borderId="36" xfId="0" applyFont="1" applyFill="1" applyBorder="1" applyAlignment="1">
      <alignment horizontal="center" vertical="center" wrapText="1"/>
    </xf>
    <xf numFmtId="0" fontId="150" fillId="10" borderId="35" xfId="0" applyFont="1" applyFill="1" applyBorder="1" applyAlignment="1">
      <alignment horizontal="center" vertical="center" wrapText="1"/>
    </xf>
    <xf numFmtId="0" fontId="114" fillId="8" borderId="64" xfId="0" applyFont="1" applyFill="1" applyBorder="1" applyAlignment="1">
      <alignment horizontal="center" vertical="center" wrapText="1"/>
    </xf>
    <xf numFmtId="0" fontId="87" fillId="10" borderId="64" xfId="0" applyFont="1" applyFill="1" applyBorder="1" applyAlignment="1">
      <alignment horizontal="left" vertical="center"/>
    </xf>
    <xf numFmtId="0" fontId="87" fillId="8" borderId="31" xfId="0" applyFont="1" applyFill="1" applyBorder="1" applyAlignment="1">
      <alignment horizontal="left" vertical="center"/>
    </xf>
    <xf numFmtId="0" fontId="87" fillId="8" borderId="32" xfId="0" applyFont="1" applyFill="1" applyBorder="1" applyAlignment="1">
      <alignment horizontal="left" vertical="center"/>
    </xf>
    <xf numFmtId="0" fontId="87" fillId="8" borderId="31" xfId="0" applyFont="1" applyFill="1" applyBorder="1" applyAlignment="1">
      <alignment horizontal="center" vertical="center"/>
    </xf>
    <xf numFmtId="0" fontId="87" fillId="8" borderId="32" xfId="0" applyFont="1" applyFill="1" applyBorder="1" applyAlignment="1">
      <alignment horizontal="center" vertical="center"/>
    </xf>
    <xf numFmtId="0" fontId="115" fillId="8" borderId="31" xfId="0" applyFont="1" applyFill="1" applyBorder="1" applyAlignment="1">
      <alignment horizontal="center" vertical="center"/>
    </xf>
    <xf numFmtId="0" fontId="115" fillId="8" borderId="32" xfId="0" applyFont="1" applyFill="1" applyBorder="1" applyAlignment="1">
      <alignment horizontal="center" vertical="center"/>
    </xf>
    <xf numFmtId="0" fontId="86" fillId="0" borderId="0" xfId="0" applyFont="1" applyAlignment="1">
      <alignment horizontal="left" vertical="center" wrapText="1"/>
    </xf>
    <xf numFmtId="0" fontId="115" fillId="10" borderId="34" xfId="0" applyFont="1" applyFill="1" applyBorder="1" applyAlignment="1">
      <alignment horizontal="center" vertical="center"/>
    </xf>
    <xf numFmtId="0" fontId="115" fillId="10" borderId="36" xfId="0" applyFont="1" applyFill="1" applyBorder="1" applyAlignment="1">
      <alignment horizontal="center" vertical="center"/>
    </xf>
    <xf numFmtId="0" fontId="87" fillId="10" borderId="31" xfId="0" applyFont="1" applyFill="1" applyBorder="1" applyAlignment="1">
      <alignment horizontal="left" vertical="center"/>
    </xf>
    <xf numFmtId="0" fontId="87" fillId="10" borderId="32" xfId="0" applyFont="1" applyFill="1" applyBorder="1" applyAlignment="1">
      <alignment horizontal="left" vertical="center"/>
    </xf>
    <xf numFmtId="0" fontId="115" fillId="10" borderId="35" xfId="0" applyFont="1" applyFill="1" applyBorder="1" applyAlignment="1">
      <alignment horizontal="center" vertical="center"/>
    </xf>
    <xf numFmtId="0" fontId="87" fillId="10" borderId="30" xfId="0" applyFont="1" applyFill="1" applyBorder="1" applyAlignment="1">
      <alignment horizontal="left" vertical="center"/>
    </xf>
    <xf numFmtId="0" fontId="87" fillId="10" borderId="30" xfId="0" applyFont="1" applyFill="1" applyBorder="1" applyAlignment="1">
      <alignment horizontal="left" vertical="center" wrapText="1"/>
    </xf>
    <xf numFmtId="0" fontId="160" fillId="2" borderId="0" xfId="0" applyFont="1" applyFill="1" applyAlignment="1">
      <alignment horizontal="left" wrapText="1"/>
    </xf>
    <xf numFmtId="0" fontId="146" fillId="5" borderId="0" xfId="0" applyFont="1" applyFill="1" applyAlignment="1">
      <alignment horizontal="left"/>
    </xf>
    <xf numFmtId="0" fontId="188" fillId="2" borderId="0" xfId="1" applyFont="1" applyFill="1" applyAlignment="1" applyProtection="1">
      <alignment horizontal="left" wrapText="1"/>
    </xf>
    <xf numFmtId="0" fontId="187" fillId="2" borderId="0" xfId="1" applyFont="1" applyFill="1" applyAlignment="1" applyProtection="1">
      <alignment horizontal="left" wrapText="1"/>
    </xf>
    <xf numFmtId="0" fontId="159" fillId="5" borderId="0" xfId="0" applyFont="1" applyFill="1" applyAlignment="1">
      <alignment horizontal="left" vertical="center" wrapText="1"/>
    </xf>
    <xf numFmtId="0" fontId="10" fillId="10" borderId="30" xfId="0" applyFont="1" applyFill="1" applyBorder="1" applyAlignment="1">
      <alignment horizontal="left" vertical="center" wrapText="1"/>
    </xf>
    <xf numFmtId="0" fontId="159" fillId="2" borderId="0" xfId="1" applyFont="1" applyFill="1" applyAlignment="1" applyProtection="1">
      <alignment horizontal="left" vertical="center" wrapText="1"/>
    </xf>
    <xf numFmtId="0" fontId="128" fillId="5" borderId="0" xfId="0" applyFont="1" applyFill="1" applyAlignment="1">
      <alignment horizontal="left" vertical="center" wrapText="1"/>
    </xf>
    <xf numFmtId="0" fontId="43" fillId="37" borderId="0" xfId="0" applyFont="1" applyFill="1" applyAlignment="1">
      <alignment horizontal="center" vertical="center"/>
    </xf>
    <xf numFmtId="0" fontId="83" fillId="10" borderId="30" xfId="0" applyFont="1" applyFill="1" applyBorder="1" applyAlignment="1">
      <alignment horizontal="left" vertical="center"/>
    </xf>
    <xf numFmtId="0" fontId="52" fillId="10" borderId="30" xfId="0" applyFont="1" applyFill="1" applyBorder="1" applyAlignment="1">
      <alignment horizontal="left" vertical="center" wrapText="1"/>
    </xf>
    <xf numFmtId="0" fontId="83" fillId="10" borderId="31" xfId="0" applyFont="1" applyFill="1" applyBorder="1" applyAlignment="1">
      <alignment horizontal="left" vertical="center"/>
    </xf>
    <xf numFmtId="0" fontId="52" fillId="8" borderId="31" xfId="0" applyFont="1" applyFill="1" applyBorder="1" applyAlignment="1">
      <alignment horizontal="left" vertical="center"/>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16" fillId="35" borderId="64" xfId="0" applyFont="1" applyFill="1" applyBorder="1" applyAlignment="1">
      <alignment horizontal="center" vertical="center" wrapText="1"/>
    </xf>
    <xf numFmtId="0" fontId="25" fillId="35" borderId="30" xfId="0" applyFont="1" applyFill="1" applyBorder="1" applyAlignment="1">
      <alignment horizontal="center" vertical="center" wrapText="1"/>
    </xf>
    <xf numFmtId="0" fontId="43" fillId="37" borderId="30" xfId="0" applyFont="1" applyFill="1" applyBorder="1" applyAlignment="1">
      <alignment horizontal="center" vertical="center" wrapText="1"/>
    </xf>
    <xf numFmtId="166" fontId="115" fillId="0" borderId="30" xfId="2" applyNumberFormat="1" applyFont="1" applyBorder="1" applyAlignment="1" applyProtection="1">
      <alignment horizontal="right" vertical="center" wrapText="1"/>
    </xf>
    <xf numFmtId="166" fontId="114" fillId="0" borderId="30" xfId="2" applyNumberFormat="1" applyFont="1" applyBorder="1" applyAlignment="1" applyProtection="1">
      <alignment horizontal="center" vertical="center" wrapText="1"/>
    </xf>
    <xf numFmtId="0" fontId="86" fillId="38"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center" wrapText="1"/>
    </xf>
    <xf numFmtId="0" fontId="189" fillId="2" borderId="0" xfId="1" applyFont="1" applyFill="1" applyAlignment="1" applyProtection="1">
      <alignment horizontal="left" vertical="center" wrapText="1"/>
    </xf>
    <xf numFmtId="0" fontId="1" fillId="2" borderId="0" xfId="1" applyFill="1" applyAlignment="1" applyProtection="1">
      <alignment horizontal="left" vertical="center" wrapText="1"/>
    </xf>
    <xf numFmtId="9" fontId="6" fillId="2" borderId="0" xfId="0" applyNumberFormat="1" applyFont="1" applyFill="1" applyAlignment="1">
      <alignment horizontal="center" vertical="center" wrapText="1"/>
    </xf>
    <xf numFmtId="9" fontId="25" fillId="2" borderId="0" xfId="0" applyNumberFormat="1" applyFont="1" applyFill="1" applyAlignment="1">
      <alignment horizontal="center" vertical="center" wrapText="1"/>
    </xf>
    <xf numFmtId="0" fontId="25" fillId="35" borderId="34" xfId="0" applyFont="1" applyFill="1" applyBorder="1" applyAlignment="1">
      <alignment horizontal="center" vertical="center" wrapText="1"/>
    </xf>
    <xf numFmtId="0" fontId="25" fillId="35" borderId="61" xfId="0" applyFont="1" applyFill="1" applyBorder="1" applyAlignment="1">
      <alignment horizontal="center" vertical="center" wrapText="1"/>
    </xf>
    <xf numFmtId="0" fontId="58" fillId="42" borderId="30" xfId="0" applyFont="1" applyFill="1" applyBorder="1" applyAlignment="1">
      <alignment horizontal="left" vertical="center" wrapText="1"/>
    </xf>
    <xf numFmtId="0" fontId="16" fillId="35" borderId="30" xfId="0" applyFont="1" applyFill="1" applyBorder="1" applyAlignment="1">
      <alignment horizontal="center" vertical="center" wrapText="1"/>
    </xf>
    <xf numFmtId="9" fontId="120" fillId="2" borderId="30" xfId="2" applyNumberFormat="1" applyFont="1" applyFill="1" applyBorder="1" applyAlignment="1" applyProtection="1">
      <alignment horizontal="center" vertical="center" wrapText="1"/>
    </xf>
    <xf numFmtId="9" fontId="115" fillId="2" borderId="30" xfId="2" applyNumberFormat="1" applyFont="1" applyFill="1" applyBorder="1" applyAlignment="1" applyProtection="1">
      <alignment horizontal="center" vertical="center" wrapText="1"/>
    </xf>
    <xf numFmtId="0" fontId="58" fillId="35" borderId="31" xfId="0" applyFont="1" applyFill="1" applyBorder="1" applyAlignment="1">
      <alignment horizontal="left" vertical="center"/>
    </xf>
    <xf numFmtId="0" fontId="25" fillId="26" borderId="34" xfId="0" applyFont="1" applyFill="1" applyBorder="1" applyAlignment="1">
      <alignment horizontal="center" vertical="center"/>
    </xf>
    <xf numFmtId="0" fontId="16" fillId="35" borderId="34"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35" xfId="0" applyFont="1" applyFill="1" applyBorder="1" applyAlignment="1">
      <alignment horizontal="center" vertical="center" wrapText="1"/>
    </xf>
    <xf numFmtId="0" fontId="16" fillId="26" borderId="34" xfId="0" applyFont="1" applyFill="1" applyBorder="1" applyAlignment="1">
      <alignment horizontal="center" vertical="center"/>
    </xf>
    <xf numFmtId="0" fontId="16" fillId="26" borderId="35" xfId="0" applyFont="1" applyFill="1" applyBorder="1" applyAlignment="1">
      <alignment horizontal="center" vertical="center"/>
    </xf>
    <xf numFmtId="0" fontId="25" fillId="26" borderId="30" xfId="0" applyFont="1" applyFill="1" applyBorder="1" applyAlignment="1">
      <alignment horizontal="center" vertical="center" wrapText="1"/>
    </xf>
    <xf numFmtId="0" fontId="8" fillId="2" borderId="0" xfId="0" applyFont="1" applyFill="1" applyAlignment="1">
      <alignment horizontal="center" wrapText="1"/>
    </xf>
    <xf numFmtId="168" fontId="115" fillId="2" borderId="39" xfId="2" applyNumberFormat="1" applyFont="1" applyFill="1" applyBorder="1" applyAlignment="1" applyProtection="1">
      <alignment horizontal="center" vertical="center" wrapText="1"/>
    </xf>
    <xf numFmtId="9" fontId="112" fillId="44" borderId="31" xfId="3" applyFont="1" applyFill="1" applyBorder="1" applyAlignment="1" applyProtection="1">
      <alignment horizontal="center" vertical="center"/>
    </xf>
    <xf numFmtId="9" fontId="112" fillId="44" borderId="33" xfId="3" applyFont="1" applyFill="1" applyBorder="1" applyAlignment="1" applyProtection="1">
      <alignment horizontal="center" vertical="center"/>
    </xf>
    <xf numFmtId="9" fontId="112" fillId="44" borderId="67" xfId="3" applyFont="1" applyFill="1" applyBorder="1" applyAlignment="1" applyProtection="1">
      <alignment horizontal="center" vertical="center"/>
    </xf>
    <xf numFmtId="0" fontId="13" fillId="2" borderId="0" xfId="0" applyFont="1" applyFill="1" applyAlignment="1">
      <alignment horizontal="left" vertical="top" wrapText="1"/>
    </xf>
    <xf numFmtId="9" fontId="114" fillId="41" borderId="64" xfId="3" applyFont="1" applyFill="1" applyBorder="1" applyAlignment="1" applyProtection="1">
      <alignment horizontal="center" vertical="center"/>
    </xf>
    <xf numFmtId="0" fontId="16" fillId="26" borderId="30" xfId="0" applyFont="1" applyFill="1" applyBorder="1" applyAlignment="1">
      <alignment horizontal="center" vertical="center" wrapText="1"/>
    </xf>
    <xf numFmtId="0" fontId="58" fillId="26" borderId="30" xfId="0" applyFont="1" applyFill="1" applyBorder="1" applyAlignment="1">
      <alignment horizontal="left" vertical="center" wrapText="1"/>
    </xf>
    <xf numFmtId="169" fontId="105" fillId="35" borderId="30" xfId="0" applyNumberFormat="1" applyFont="1" applyFill="1" applyBorder="1" applyAlignment="1">
      <alignment horizontal="center" vertical="center" wrapText="1"/>
    </xf>
    <xf numFmtId="169" fontId="104" fillId="35" borderId="30" xfId="0" applyNumberFormat="1" applyFont="1" applyFill="1" applyBorder="1" applyAlignment="1">
      <alignment horizontal="left" vertical="center"/>
    </xf>
    <xf numFmtId="0" fontId="65" fillId="2" borderId="0" xfId="0" applyFont="1" applyFill="1" applyAlignment="1">
      <alignment horizontal="center" vertical="top"/>
    </xf>
    <xf numFmtId="0" fontId="60" fillId="5" borderId="0" xfId="0" applyFont="1" applyFill="1" applyAlignment="1">
      <alignment horizontal="left" vertical="center" wrapText="1"/>
    </xf>
    <xf numFmtId="49" fontId="104" fillId="35" borderId="34" xfId="0" applyNumberFormat="1" applyFont="1" applyFill="1" applyBorder="1" applyAlignment="1">
      <alignment horizontal="center" vertical="center" wrapText="1"/>
    </xf>
    <xf numFmtId="49" fontId="104" fillId="35" borderId="35" xfId="0" applyNumberFormat="1" applyFont="1" applyFill="1" applyBorder="1" applyAlignment="1">
      <alignment horizontal="center" vertical="center" wrapText="1"/>
    </xf>
    <xf numFmtId="0" fontId="57" fillId="35" borderId="30" xfId="0" applyFont="1" applyFill="1" applyBorder="1" applyAlignment="1">
      <alignment horizontal="left" vertical="center"/>
    </xf>
    <xf numFmtId="0" fontId="63" fillId="35" borderId="30" xfId="0" applyFont="1" applyFill="1" applyBorder="1" applyAlignment="1">
      <alignment horizontal="left" vertical="center"/>
    </xf>
    <xf numFmtId="0" fontId="133" fillId="37" borderId="30" xfId="0" applyFont="1" applyFill="1" applyBorder="1" applyAlignment="1">
      <alignment vertical="center"/>
    </xf>
    <xf numFmtId="0" fontId="81" fillId="2" borderId="0" xfId="0" applyFont="1" applyFill="1" applyAlignment="1">
      <alignment horizontal="left" vertical="top" wrapText="1"/>
    </xf>
    <xf numFmtId="0" fontId="60" fillId="5" borderId="0" xfId="0" applyFont="1" applyFill="1" applyAlignment="1">
      <alignment horizontal="left" wrapText="1"/>
    </xf>
    <xf numFmtId="0" fontId="60" fillId="5" borderId="0" xfId="0" applyFont="1" applyFill="1" applyAlignment="1">
      <alignment horizontal="left"/>
    </xf>
    <xf numFmtId="0" fontId="159" fillId="2" borderId="0" xfId="0" applyFont="1" applyFill="1" applyAlignment="1">
      <alignment horizontal="left" vertical="top" wrapText="1"/>
    </xf>
    <xf numFmtId="0" fontId="140" fillId="0" borderId="31" xfId="0" applyFont="1" applyBorder="1" applyAlignment="1">
      <alignment horizontal="center" vertical="center" wrapText="1"/>
    </xf>
    <xf numFmtId="0" fontId="140" fillId="0" borderId="33" xfId="0" applyFont="1" applyBorder="1" applyAlignment="1">
      <alignment horizontal="center" vertical="center" wrapText="1"/>
    </xf>
    <xf numFmtId="0" fontId="140" fillId="0" borderId="32" xfId="0" applyFont="1" applyBorder="1" applyAlignment="1">
      <alignment horizontal="center" vertical="center" wrapText="1"/>
    </xf>
    <xf numFmtId="0" fontId="114" fillId="0" borderId="31" xfId="0" applyFont="1" applyBorder="1" applyAlignment="1">
      <alignment horizontal="left" vertical="center" wrapText="1"/>
    </xf>
    <xf numFmtId="0" fontId="114" fillId="0" borderId="33" xfId="0" applyFont="1" applyBorder="1" applyAlignment="1">
      <alignment horizontal="left" vertical="center" wrapText="1"/>
    </xf>
    <xf numFmtId="0" fontId="114" fillId="0" borderId="32" xfId="0" applyFont="1" applyBorder="1" applyAlignment="1">
      <alignment horizontal="left" vertical="center" wrapText="1"/>
    </xf>
    <xf numFmtId="0" fontId="160" fillId="2" borderId="0" xfId="0" applyFont="1" applyFill="1" applyAlignment="1">
      <alignment horizontal="left" vertical="top" wrapText="1"/>
    </xf>
    <xf numFmtId="0" fontId="13" fillId="0" borderId="34" xfId="0" applyFont="1" applyBorder="1" applyAlignment="1">
      <alignment horizontal="left" vertical="top" wrapText="1"/>
    </xf>
    <xf numFmtId="0" fontId="13" fillId="0" borderId="36" xfId="0" applyFont="1" applyBorder="1" applyAlignment="1">
      <alignment horizontal="left" vertical="top" wrapText="1"/>
    </xf>
    <xf numFmtId="0" fontId="13" fillId="0" borderId="35" xfId="0" applyFont="1" applyBorder="1" applyAlignment="1">
      <alignment horizontal="left" vertical="top" wrapText="1"/>
    </xf>
    <xf numFmtId="0" fontId="66" fillId="0" borderId="34" xfId="0" applyFont="1" applyBorder="1" applyAlignment="1">
      <alignment horizontal="left" vertical="top" wrapText="1"/>
    </xf>
    <xf numFmtId="0" fontId="66" fillId="0" borderId="36" xfId="0" applyFont="1" applyBorder="1" applyAlignment="1">
      <alignment horizontal="left" vertical="top" wrapText="1"/>
    </xf>
    <xf numFmtId="0" fontId="66" fillId="0" borderId="35" xfId="0" applyFont="1" applyBorder="1" applyAlignment="1">
      <alignment horizontal="left" vertical="top" wrapText="1"/>
    </xf>
    <xf numFmtId="0" fontId="66" fillId="0" borderId="34" xfId="0" applyFont="1" applyBorder="1" applyAlignment="1">
      <alignment vertical="top" wrapText="1"/>
    </xf>
    <xf numFmtId="0" fontId="66" fillId="0" borderId="36" xfId="0" applyFont="1" applyBorder="1" applyAlignment="1">
      <alignment vertical="top" wrapText="1"/>
    </xf>
    <xf numFmtId="0" fontId="66" fillId="0" borderId="35" xfId="0" applyFont="1" applyBorder="1" applyAlignment="1">
      <alignment vertical="top" wrapText="1"/>
    </xf>
    <xf numFmtId="0" fontId="88" fillId="5"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59" fillId="2" borderId="0" xfId="0" applyFont="1" applyFill="1" applyAlignment="1">
      <alignment horizontal="left" vertical="center"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0"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29"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0" fontId="25" fillId="2" borderId="0" xfId="0" applyFont="1" applyFill="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1E22AA"/>
      <color rgb="FF00ACE9"/>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0/relationships/richValueRel" Target="richData/richValueRel.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Structure" Target="richData/rdrichvaluestructure.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Sales from products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946339852160441"/>
          <c:y val="0.24994599280362709"/>
          <c:w val="0.42107298593503711"/>
          <c:h val="0.66743056463319816"/>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62D-4E14-A042-0174298580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062D-4E14-A042-0174298580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062D-4E14-A042-0174298580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062D-4E14-A042-0174298580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62D-4E14-A042-01742985803D}"/>
              </c:ext>
            </c:extLst>
          </c:dPt>
          <c:dLbls>
            <c:dLbl>
              <c:idx val="0"/>
              <c:layout>
                <c:manualLayout>
                  <c:x val="0.12760944244290104"/>
                  <c:y val="8.647687322412642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2D-4E14-A042-01742985803D}"/>
                </c:ext>
              </c:extLst>
            </c:dLbl>
            <c:dLbl>
              <c:idx val="1"/>
              <c:layout>
                <c:manualLayout>
                  <c:x val="-0.12401653770559165"/>
                  <c:y val="0.163387883039852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2D-4E14-A042-01742985803D}"/>
                </c:ext>
              </c:extLst>
            </c:dLbl>
            <c:dLbl>
              <c:idx val="2"/>
              <c:layout>
                <c:manualLayout>
                  <c:x val="-0.19116818730423132"/>
                  <c:y val="-1.946031140695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2D-4E14-A042-01742985803D}"/>
                </c:ext>
              </c:extLst>
            </c:dLbl>
            <c:dLbl>
              <c:idx val="3"/>
              <c:layout>
                <c:manualLayout>
                  <c:x val="-0.20109085400383989"/>
                  <c:y val="-0.141770742161366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62D-4E14-A042-01742985803D}"/>
                </c:ext>
              </c:extLst>
            </c:dLbl>
            <c:dLbl>
              <c:idx val="4"/>
              <c:layout>
                <c:manualLayout>
                  <c:x val="-0.1184437456826235"/>
                  <c:y val="-6.06218739465156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62D-4E14-A042-0174298580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SDGs'!$B$9:$B$13</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SDGs'!$D$9:$D$13</c:f>
              <c:numCache>
                <c:formatCode>0%</c:formatCode>
                <c:ptCount val="5"/>
                <c:pt idx="0">
                  <c:v>0.7</c:v>
                </c:pt>
                <c:pt idx="1">
                  <c:v>0.01</c:v>
                </c:pt>
                <c:pt idx="2">
                  <c:v>0.09</c:v>
                </c:pt>
                <c:pt idx="3">
                  <c:v>0.02</c:v>
                </c:pt>
                <c:pt idx="4">
                  <c:v>0.18</c:v>
                </c:pt>
              </c:numCache>
            </c:numRef>
          </c:val>
          <c:extLst>
            <c:ext xmlns:c16="http://schemas.microsoft.com/office/drawing/2014/chart" uri="{C3380CC4-5D6E-409C-BE32-E72D297353CC}">
              <c16:uniqueId val="{0000000C-062D-4E14-A042-0174298580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R&amp;D spend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777004735153235"/>
          <c:y val="0.23536045120610069"/>
          <c:w val="0.41739763032693938"/>
          <c:h val="0.6657944543846767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59-41E2-A37E-BA07C8B18F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59-41E2-A37E-BA07C8B18F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59-41E2-A37E-BA07C8B18F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59-41E2-A37E-BA07C8B18F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59-41E2-A37E-BA07C8B18F14}"/>
              </c:ext>
            </c:extLst>
          </c:dPt>
          <c:dLbls>
            <c:dLbl>
              <c:idx val="0"/>
              <c:layout>
                <c:manualLayout>
                  <c:x val="0.16369585787451682"/>
                  <c:y val="6.567448210241011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3690136845022908"/>
                      <c:h val="0.21865224241295977"/>
                    </c:manualLayout>
                  </c15:layout>
                </c:ext>
                <c:ext xmlns:c16="http://schemas.microsoft.com/office/drawing/2014/chart" uri="{C3380CC4-5D6E-409C-BE32-E72D297353CC}">
                  <c16:uniqueId val="{00000001-6659-41E2-A37E-BA07C8B18F14}"/>
                </c:ext>
              </c:extLst>
            </c:dLbl>
            <c:dLbl>
              <c:idx val="1"/>
              <c:layout>
                <c:manualLayout>
                  <c:x val="-0.11253796562394169"/>
                  <c:y val="9.63225737502025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59-41E2-A37E-BA07C8B18F14}"/>
                </c:ext>
              </c:extLst>
            </c:dLbl>
            <c:dLbl>
              <c:idx val="2"/>
              <c:layout>
                <c:manualLayout>
                  <c:x val="-0.18639476976823305"/>
                  <c:y val="5.9430520121013118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59-41E2-A37E-BA07C8B18F14}"/>
                </c:ext>
              </c:extLst>
            </c:dLbl>
            <c:dLbl>
              <c:idx val="3"/>
              <c:layout>
                <c:manualLayout>
                  <c:x val="-0.12351727934335062"/>
                  <c:y val="-2.18914940341369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59-41E2-A37E-BA07C8B18F14}"/>
                </c:ext>
              </c:extLst>
            </c:dLbl>
            <c:dLbl>
              <c:idx val="4"/>
              <c:layout>
                <c:manualLayout>
                  <c:x val="-0.16194487736128185"/>
                  <c:y val="-3.50263904546191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59-41E2-A37E-BA07C8B18F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SDGs'!$B$17:$B$21</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SDGs'!$D$17:$D$21</c:f>
              <c:numCache>
                <c:formatCode>0%</c:formatCode>
                <c:ptCount val="5"/>
                <c:pt idx="0">
                  <c:v>0.55249999999999999</c:v>
                </c:pt>
                <c:pt idx="1">
                  <c:v>5.21E-2</c:v>
                </c:pt>
                <c:pt idx="2">
                  <c:v>0.1288</c:v>
                </c:pt>
                <c:pt idx="3">
                  <c:v>0.13289999999999999</c:v>
                </c:pt>
                <c:pt idx="4">
                  <c:v>0.1336</c:v>
                </c:pt>
              </c:numCache>
            </c:numRef>
          </c:val>
          <c:extLst>
            <c:ext xmlns:c16="http://schemas.microsoft.com/office/drawing/2014/chart" uri="{C3380CC4-5D6E-409C-BE32-E72D297353CC}">
              <c16:uniqueId val="{0000000A-6659-41E2-A37E-BA07C8B18F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r>
              <a:rPr lang="en-GB"/>
              <a:t>Total</a:t>
            </a:r>
          </a:p>
          <a:p>
            <a:pPr>
              <a:defRPr/>
            </a:pPr>
            <a:r>
              <a:rPr lang="en-GB"/>
              <a:t>greenhouse gas</a:t>
            </a:r>
          </a:p>
          <a:p>
            <a:pPr>
              <a:defRPr/>
            </a:pPr>
            <a:r>
              <a:rPr lang="en-GB"/>
              <a:t>emissions</a:t>
            </a:r>
          </a:p>
        </c:rich>
      </c:tx>
      <c:layout>
        <c:manualLayout>
          <c:xMode val="edge"/>
          <c:yMode val="edge"/>
          <c:x val="0.43839903819659326"/>
          <c:y val="0.42655313207453294"/>
        </c:manualLayout>
      </c:layout>
      <c:overlay val="0"/>
      <c:spPr>
        <a:noFill/>
        <a:ln>
          <a:noFill/>
        </a:ln>
        <a:effectLst/>
      </c:spPr>
      <c:txPr>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9732411683481574"/>
          <c:y val="0.17007045635237275"/>
          <c:w val="0.43866989818360524"/>
          <c:h val="0.72446742522000906"/>
        </c:manualLayout>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4-28BE-4489-845C-33E2BC0FEF4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2-28BE-4489-845C-33E2BC0FEF4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1-28BE-4489-845C-33E2BC0FEF4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3-28BE-4489-845C-33E2BC0FEF41}"/>
              </c:ext>
            </c:extLst>
          </c:dPt>
          <c:dLbls>
            <c:dLbl>
              <c:idx val="0"/>
              <c:layout>
                <c:manualLayout>
                  <c:x val="1.2393443584524468E-2"/>
                  <c:y val="-0.14445416798151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BE-4489-845C-33E2BC0FEF41}"/>
                </c:ext>
              </c:extLst>
            </c:dLbl>
            <c:dLbl>
              <c:idx val="1"/>
              <c:layout>
                <c:manualLayout>
                  <c:x val="0.21696801112656466"/>
                  <c:y val="-2.31481481481481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8BE-4489-845C-33E2BC0FEF41}"/>
                </c:ext>
              </c:extLst>
            </c:dLbl>
            <c:dLbl>
              <c:idx val="2"/>
              <c:layout>
                <c:manualLayout>
                  <c:x val="0.32333666505678044"/>
                  <c:y val="-3.693823529730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BE-4489-845C-33E2BC0FEF41}"/>
                </c:ext>
              </c:extLst>
            </c:dLbl>
            <c:dLbl>
              <c:idx val="3"/>
              <c:layout>
                <c:manualLayout>
                  <c:x val="-0.1872689533358467"/>
                  <c:y val="-0.101033695128435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BE-4489-845C-33E2BC0FEF41}"/>
                </c:ext>
              </c:extLst>
            </c:dLbl>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Environment!$M$39:$M$42</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Environment!$N$39:$N$42</c:f>
              <c:numCache>
                <c:formatCode>0%</c:formatCode>
                <c:ptCount val="4"/>
                <c:pt idx="0">
                  <c:v>6.103163007458999E-2</c:v>
                </c:pt>
                <c:pt idx="1">
                  <c:v>5.7431974619518312E-3</c:v>
                </c:pt>
                <c:pt idx="2">
                  <c:v>0.83560056134617733</c:v>
                </c:pt>
                <c:pt idx="3">
                  <c:v>9.762461111728081E-2</c:v>
                </c:pt>
              </c:numCache>
            </c:numRef>
          </c:val>
          <c:extLst>
            <c:ext xmlns:c16="http://schemas.microsoft.com/office/drawing/2014/chart" uri="{C3380CC4-5D6E-409C-BE32-E72D297353CC}">
              <c16:uniqueId val="{00000000-28BE-4489-845C-33E2BC0FEF41}"/>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3.8031267478768938E-4"/>
          <c:y val="0.39443915798028045"/>
          <c:w val="0.32510285354858209"/>
          <c:h val="0.4640442694728461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30221585291162451"/>
          <c:y val="0.22063730361905981"/>
          <c:w val="0.40828980218936045"/>
          <c:h val="0.715549518373281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4B-4A2C-9421-B163E9A840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4B-4A2C-9421-B163E9A840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E4B-4A2C-9421-B163E9A840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E4B-4A2C-9421-B163E9A840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E4B-4A2C-9421-B163E9A840F0}"/>
              </c:ext>
            </c:extLst>
          </c:dPt>
          <c:dLbls>
            <c:dLbl>
              <c:idx val="1"/>
              <c:layout>
                <c:manualLayout>
                  <c:x val="8.3291010665312262E-2"/>
                  <c:y val="-1.78422759663420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4B-4A2C-9421-B163E9A840F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People!$Z$31:$Z$35</c:f>
              <c:strCache>
                <c:ptCount val="5"/>
                <c:pt idx="0">
                  <c:v>UK </c:v>
                </c:pt>
                <c:pt idx="1">
                  <c:v>Rest of Europe</c:v>
                </c:pt>
                <c:pt idx="2">
                  <c:v>North America</c:v>
                </c:pt>
                <c:pt idx="3">
                  <c:v>Asia</c:v>
                </c:pt>
                <c:pt idx="4">
                  <c:v>Rest of World</c:v>
                </c:pt>
              </c:strCache>
            </c:strRef>
          </c:cat>
          <c:val>
            <c:numRef>
              <c:f>People!$AA$31:$AA$35</c:f>
              <c:numCache>
                <c:formatCode>0.0%</c:formatCode>
                <c:ptCount val="5"/>
                <c:pt idx="0">
                  <c:v>0.3432453721937771</c:v>
                </c:pt>
                <c:pt idx="1">
                  <c:v>0.23139031114612052</c:v>
                </c:pt>
                <c:pt idx="2">
                  <c:v>0.19446632532493108</c:v>
                </c:pt>
                <c:pt idx="3">
                  <c:v>0.21386372587632926</c:v>
                </c:pt>
                <c:pt idx="4">
                  <c:v>1.7034265458842065E-2</c:v>
                </c:pt>
              </c:numCache>
            </c:numRef>
          </c:val>
          <c:extLst>
            <c:ext xmlns:c16="http://schemas.microsoft.com/office/drawing/2014/chart" uri="{C3380CC4-5D6E-409C-BE32-E72D297353CC}">
              <c16:uniqueId val="{00000002-9BDF-480E-8D73-2A9E8BA273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1E22AA"/>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Safety'!$P$27:$V$27</c:f>
              <c:numCache>
                <c:formatCode>0.00</c:formatCode>
                <c:ptCount val="7"/>
                <c:pt idx="0">
                  <c:v>1.5349999999999999</c:v>
                </c:pt>
                <c:pt idx="1">
                  <c:v>1.1819999999999999</c:v>
                </c:pt>
                <c:pt idx="2">
                  <c:v>0.77</c:v>
                </c:pt>
                <c:pt idx="3">
                  <c:v>1.3220000000000001</c:v>
                </c:pt>
                <c:pt idx="4">
                  <c:v>1.0149999999999999</c:v>
                </c:pt>
                <c:pt idx="5">
                  <c:v>0.88</c:v>
                </c:pt>
                <c:pt idx="6">
                  <c:v>0.82</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Safety'!$P$23:$V$23</c:f>
              <c:numCache>
                <c:formatCode>General</c:formatCode>
                <c:ptCount val="7"/>
                <c:pt idx="0">
                  <c:v>0.97</c:v>
                </c:pt>
                <c:pt idx="1">
                  <c:v>0.79</c:v>
                </c:pt>
                <c:pt idx="2">
                  <c:v>0.55000000000000004</c:v>
                </c:pt>
                <c:pt idx="3">
                  <c:v>0.59</c:v>
                </c:pt>
                <c:pt idx="4">
                  <c:v>0.47</c:v>
                </c:pt>
                <c:pt idx="5">
                  <c:v>0.36</c:v>
                </c:pt>
                <c:pt idx="6" formatCode="0.00">
                  <c:v>0.35717850817456592</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1E22AA"/>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Safety'!$P$20:$V$20</c:f>
              <c:numCache>
                <c:formatCode>General</c:formatCode>
                <c:ptCount val="7"/>
                <c:pt idx="0">
                  <c:v>0.56000000000000005</c:v>
                </c:pt>
                <c:pt idx="1">
                  <c:v>0.34</c:v>
                </c:pt>
                <c:pt idx="2">
                  <c:v>0.28000000000000003</c:v>
                </c:pt>
                <c:pt idx="3" formatCode="0.00">
                  <c:v>0.3</c:v>
                </c:pt>
                <c:pt idx="4">
                  <c:v>0.24</c:v>
                </c:pt>
                <c:pt idx="5">
                  <c:v>0.17</c:v>
                </c:pt>
                <c:pt idx="6" formatCode="0.00">
                  <c:v>0.17008500389265047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of</a:t>
            </a:r>
            <a:r>
              <a:rPr lang="en-GB" b="1" baseline="0"/>
              <a:t> </a:t>
            </a:r>
            <a:r>
              <a:rPr lang="en-GB" b="1"/>
              <a:t>Speak Up reports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Compliance'!$T$15:$Y$15</c:f>
              <c:strCache>
                <c:ptCount val="6"/>
                <c:pt idx="0">
                  <c:v>2019/20</c:v>
                </c:pt>
                <c:pt idx="1">
                  <c:v>2020/21</c:v>
                </c:pt>
                <c:pt idx="2">
                  <c:v>2021/22</c:v>
                </c:pt>
                <c:pt idx="3">
                  <c:v>2022/23</c:v>
                </c:pt>
                <c:pt idx="4">
                  <c:v>2023/24</c:v>
                </c:pt>
                <c:pt idx="5">
                  <c:v>2024/25</c:v>
                </c:pt>
              </c:strCache>
            </c:strRef>
          </c:cat>
          <c:val>
            <c:numRef>
              <c:f>'Ethics and Compliance'!$T$16:$Y$16</c:f>
              <c:numCache>
                <c:formatCode>General</c:formatCode>
                <c:ptCount val="6"/>
                <c:pt idx="0">
                  <c:v>123</c:v>
                </c:pt>
                <c:pt idx="1">
                  <c:v>129</c:v>
                </c:pt>
                <c:pt idx="2">
                  <c:v>158</c:v>
                </c:pt>
                <c:pt idx="3">
                  <c:v>153</c:v>
                </c:pt>
                <c:pt idx="4">
                  <c:v>138</c:v>
                </c:pt>
                <c:pt idx="5">
                  <c:v>147</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1.xml"/><Relationship Id="rId1" Type="http://schemas.openxmlformats.org/officeDocument/2006/relationships/image" Target="../media/image9.png"/><Relationship Id="rId4"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0.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1.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1.png"/><Relationship Id="rId4"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2.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Home!A1"/><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40823</xdr:rowOff>
    </xdr:from>
    <xdr:to>
      <xdr:col>15</xdr:col>
      <xdr:colOff>41923</xdr:colOff>
      <xdr:row>37</xdr:row>
      <xdr:rowOff>152400</xdr:rowOff>
    </xdr:to>
    <xdr:pic>
      <xdr:nvPicPr>
        <xdr:cNvPr id="5" name="Picture 4">
          <a:extLst>
            <a:ext uri="{FF2B5EF4-FFF2-40B4-BE49-F238E27FC236}">
              <a16:creationId xmlns:a16="http://schemas.microsoft.com/office/drawing/2014/main" id="{100E7298-950F-6514-69C6-0E77D2795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 y="40823"/>
          <a:ext cx="8887927" cy="6807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487570</xdr:colOff>
      <xdr:row>1</xdr:row>
      <xdr:rowOff>137852</xdr:rowOff>
    </xdr:from>
    <xdr:to>
      <xdr:col>13</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1540039</xdr:colOff>
      <xdr:row>2</xdr:row>
      <xdr:rowOff>72837</xdr:rowOff>
    </xdr:from>
    <xdr:to>
      <xdr:col>3</xdr:col>
      <xdr:colOff>1079367</xdr:colOff>
      <xdr:row>19</xdr:row>
      <xdr:rowOff>147796</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2477" y="787212"/>
          <a:ext cx="3492203" cy="3242022"/>
        </a:xfrm>
        <a:prstGeom prst="rect">
          <a:avLst/>
        </a:prstGeom>
      </xdr:spPr>
    </xdr:pic>
    <xdr:clientData/>
  </xdr:twoCellAnchor>
  <xdr:oneCellAnchor>
    <xdr:from>
      <xdr:col>3</xdr:col>
      <xdr:colOff>3247231</xdr:colOff>
      <xdr:row>2</xdr:row>
      <xdr:rowOff>122237</xdr:rowOff>
    </xdr:from>
    <xdr:ext cx="184731" cy="264560"/>
    <xdr:sp macro="" textlink="">
      <xdr:nvSpPr>
        <xdr:cNvPr id="3" name="TextBox 2">
          <a:extLst>
            <a:ext uri="{FF2B5EF4-FFF2-40B4-BE49-F238E27FC236}">
              <a16:creationId xmlns:a16="http://schemas.microsoft.com/office/drawing/2014/main" id="{A36FADBB-1D3D-8496-EEC6-5FF8545577A9}"/>
            </a:ext>
          </a:extLst>
        </xdr:cNvPr>
        <xdr:cNvSpPr txBox="1"/>
      </xdr:nvSpPr>
      <xdr:spPr>
        <a:xfrm>
          <a:off x="7652544" y="83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3197672</xdr:colOff>
      <xdr:row>3</xdr:row>
      <xdr:rowOff>141584</xdr:rowOff>
    </xdr:to>
    <xdr:pic>
      <xdr:nvPicPr>
        <xdr:cNvPr id="2" name="Picture 1">
          <a:extLst>
            <a:ext uri="{FF2B5EF4-FFF2-40B4-BE49-F238E27FC236}">
              <a16:creationId xmlns:a16="http://schemas.microsoft.com/office/drawing/2014/main" id="{33107C59-79EB-E6E8-594F-7C94AC6A0CAE}"/>
            </a:ext>
          </a:extLst>
        </xdr:cNvPr>
        <xdr:cNvPicPr>
          <a:picLocks noChangeAspect="1"/>
        </xdr:cNvPicPr>
      </xdr:nvPicPr>
      <xdr:blipFill>
        <a:blip xmlns:r="http://schemas.openxmlformats.org/officeDocument/2006/relationships" r:embed="rId1"/>
        <a:stretch>
          <a:fillRect/>
        </a:stretch>
      </xdr:blipFill>
      <xdr:spPr>
        <a:xfrm>
          <a:off x="449036" y="721179"/>
          <a:ext cx="3200847" cy="495369"/>
        </a:xfrm>
        <a:prstGeom prst="rect">
          <a:avLst/>
        </a:prstGeom>
      </xdr:spPr>
    </xdr:pic>
    <xdr:clientData/>
  </xdr:twoCellAnchor>
  <xdr:twoCellAnchor>
    <xdr:from>
      <xdr:col>1</xdr:col>
      <xdr:colOff>63651</xdr:colOff>
      <xdr:row>23</xdr:row>
      <xdr:rowOff>21167</xdr:rowOff>
    </xdr:from>
    <xdr:to>
      <xdr:col>1</xdr:col>
      <xdr:colOff>4677834</xdr:colOff>
      <xdr:row>40</xdr:row>
      <xdr:rowOff>94500</xdr:rowOff>
    </xdr:to>
    <xdr:graphicFrame macro="">
      <xdr:nvGraphicFramePr>
        <xdr:cNvPr id="67" name="Chart 2">
          <a:extLst>
            <a:ext uri="{FF2B5EF4-FFF2-40B4-BE49-F238E27FC236}">
              <a16:creationId xmlns:a16="http://schemas.microsoft.com/office/drawing/2014/main" id="{EE9DA872-98D8-F929-8682-BC012649E5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488157</xdr:colOff>
      <xdr:row>1</xdr:row>
      <xdr:rowOff>285750</xdr:rowOff>
    </xdr:from>
    <xdr:to>
      <xdr:col>6</xdr:col>
      <xdr:colOff>895124</xdr:colOff>
      <xdr:row>2</xdr:row>
      <xdr:rowOff>148545</xdr:rowOff>
    </xdr:to>
    <xdr:sp macro="" textlink="">
      <xdr:nvSpPr>
        <xdr:cNvPr id="8" name="Rectangle: Rounded Corners 2">
          <a:hlinkClick xmlns:r="http://schemas.openxmlformats.org/officeDocument/2006/relationships" r:id="rId3"/>
          <a:extLst>
            <a:ext uri="{FF2B5EF4-FFF2-40B4-BE49-F238E27FC236}">
              <a16:creationId xmlns:a16="http://schemas.microsoft.com/office/drawing/2014/main" id="{8A53B764-0E0A-4120-B258-DF0459C00E36}"/>
            </a:ext>
          </a:extLst>
        </xdr:cNvPr>
        <xdr:cNvSpPr/>
      </xdr:nvSpPr>
      <xdr:spPr>
        <a:xfrm>
          <a:off x="8893970" y="452438"/>
          <a:ext cx="1299935" cy="410482"/>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xdr:from>
      <xdr:col>1</xdr:col>
      <xdr:colOff>5506243</xdr:colOff>
      <xdr:row>23</xdr:row>
      <xdr:rowOff>62705</xdr:rowOff>
    </xdr:from>
    <xdr:to>
      <xdr:col>6</xdr:col>
      <xdr:colOff>771639</xdr:colOff>
      <xdr:row>40</xdr:row>
      <xdr:rowOff>132863</xdr:rowOff>
    </xdr:to>
    <xdr:graphicFrame macro="">
      <xdr:nvGraphicFramePr>
        <xdr:cNvPr id="28" name="Chart 4">
          <a:extLst>
            <a:ext uri="{FF2B5EF4-FFF2-40B4-BE49-F238E27FC236}">
              <a16:creationId xmlns:a16="http://schemas.microsoft.com/office/drawing/2014/main" id="{0210A81E-56A7-4425-BF2C-301B7396F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66222</xdr:colOff>
      <xdr:row>1</xdr:row>
      <xdr:rowOff>464911</xdr:rowOff>
    </xdr:from>
    <xdr:to>
      <xdr:col>10</xdr:col>
      <xdr:colOff>1362982</xdr:colOff>
      <xdr:row>2</xdr:row>
      <xdr:rowOff>191861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21633543" y="641804"/>
          <a:ext cx="1296760" cy="407307"/>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446312</xdr:colOff>
      <xdr:row>34</xdr:row>
      <xdr:rowOff>48606</xdr:rowOff>
    </xdr:from>
    <xdr:to>
      <xdr:col>20</xdr:col>
      <xdr:colOff>407306</xdr:colOff>
      <xdr:row>49</xdr:row>
      <xdr:rowOff>234950</xdr:rowOff>
    </xdr:to>
    <xdr:graphicFrame macro="">
      <xdr:nvGraphicFramePr>
        <xdr:cNvPr id="5" name="Chart 2">
          <a:extLst>
            <a:ext uri="{FF2B5EF4-FFF2-40B4-BE49-F238E27FC236}">
              <a16:creationId xmlns:a16="http://schemas.microsoft.com/office/drawing/2014/main" id="{C1C3E0CC-068F-0D5E-FAF3-157C7D7BDC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297656</xdr:colOff>
      <xdr:row>1</xdr:row>
      <xdr:rowOff>7027</xdr:rowOff>
    </xdr:from>
    <xdr:to>
      <xdr:col>12</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2445225</xdr:colOff>
      <xdr:row>2</xdr:row>
      <xdr:rowOff>88560</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19</xdr:col>
      <xdr:colOff>114300</xdr:colOff>
      <xdr:row>12</xdr:row>
      <xdr:rowOff>6562</xdr:rowOff>
    </xdr:from>
    <xdr:to>
      <xdr:col>27</xdr:col>
      <xdr:colOff>63500</xdr:colOff>
      <xdr:row>42</xdr:row>
      <xdr:rowOff>152400</xdr:rowOff>
    </xdr:to>
    <xdr:graphicFrame macro="">
      <xdr:nvGraphicFramePr>
        <xdr:cNvPr id="3" name="Chart 4">
          <a:extLst>
            <a:ext uri="{FF2B5EF4-FFF2-40B4-BE49-F238E27FC236}">
              <a16:creationId xmlns:a16="http://schemas.microsoft.com/office/drawing/2014/main" id="{DA298B5C-A7E4-F844-76BA-36D2D24A4552}"/>
            </a:ext>
            <a:ext uri="{147F2762-F138-4A5C-976F-8EAC2B608ADB}">
              <a16:predDERef xmlns:a16="http://schemas.microsoft.com/office/drawing/2014/main" pred="{CE4D3046-5E37-4196-91B8-36F5C6E016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688975</xdr:colOff>
      <xdr:row>37</xdr:row>
      <xdr:rowOff>44451</xdr:rowOff>
    </xdr:from>
    <xdr:to>
      <xdr:col>24</xdr:col>
      <xdr:colOff>176212</xdr:colOff>
      <xdr:row>54</xdr:row>
      <xdr:rowOff>73026</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648154</xdr:colOff>
      <xdr:row>3</xdr:row>
      <xdr:rowOff>154782</xdr:rowOff>
    </xdr:from>
    <xdr:to>
      <xdr:col>24</xdr:col>
      <xdr:colOff>209550</xdr:colOff>
      <xdr:row>19</xdr:row>
      <xdr:rowOff>111579</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669812</xdr:colOff>
      <xdr:row>19</xdr:row>
      <xdr:rowOff>371359</xdr:rowOff>
    </xdr:from>
    <xdr:to>
      <xdr:col>24</xdr:col>
      <xdr:colOff>185738</xdr:colOff>
      <xdr:row>35</xdr:row>
      <xdr:rowOff>126656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16033</xdr:colOff>
      <xdr:row>1</xdr:row>
      <xdr:rowOff>160497</xdr:rowOff>
    </xdr:from>
    <xdr:to>
      <xdr:col>8</xdr:col>
      <xdr:colOff>1174750</xdr:colOff>
      <xdr:row>1</xdr:row>
      <xdr:rowOff>508000</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18621533" y="335122"/>
          <a:ext cx="1158717" cy="347503"/>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3472021</xdr:colOff>
      <xdr:row>0</xdr:row>
      <xdr:rowOff>0</xdr:rowOff>
    </xdr:from>
    <xdr:to>
      <xdr:col>1</xdr:col>
      <xdr:colOff>4527253</xdr:colOff>
      <xdr:row>2</xdr:row>
      <xdr:rowOff>239442</xdr:rowOff>
    </xdr:to>
    <xdr:pic>
      <xdr:nvPicPr>
        <xdr:cNvPr id="5"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1146" y="0"/>
          <a:ext cx="1055232" cy="1046345"/>
        </a:xfrm>
        <a:prstGeom prst="rect">
          <a:avLst/>
        </a:prstGeom>
      </xdr:spPr>
    </xdr:pic>
    <xdr:clientData/>
  </xdr:twoCellAnchor>
  <xdr:twoCellAnchor>
    <xdr:from>
      <xdr:col>1</xdr:col>
      <xdr:colOff>225425</xdr:colOff>
      <xdr:row>40</xdr:row>
      <xdr:rowOff>107383</xdr:rowOff>
    </xdr:from>
    <xdr:to>
      <xdr:col>2</xdr:col>
      <xdr:colOff>543379</xdr:colOff>
      <xdr:row>60</xdr:row>
      <xdr:rowOff>87880</xdr:rowOff>
    </xdr:to>
    <xdr:graphicFrame macro="">
      <xdr:nvGraphicFramePr>
        <xdr:cNvPr id="4"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11907</xdr:colOff>
      <xdr:row>28</xdr:row>
      <xdr:rowOff>83874</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10</xdr:col>
      <xdr:colOff>23813</xdr:colOff>
      <xdr:row>1</xdr:row>
      <xdr:rowOff>299243</xdr:rowOff>
    </xdr:from>
    <xdr:to>
      <xdr:col>10</xdr:col>
      <xdr:colOff>1024733</xdr:colOff>
      <xdr:row>1</xdr:row>
      <xdr:rowOff>604044</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930188" y="465931"/>
          <a:ext cx="1000920"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1779811</xdr:colOff>
      <xdr:row>2</xdr:row>
      <xdr:rowOff>311694</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208756</xdr:colOff>
      <xdr:row>1</xdr:row>
      <xdr:rowOff>149225</xdr:rowOff>
    </xdr:from>
    <xdr:to>
      <xdr:col>14</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3324225</xdr:colOff>
      <xdr:row>0</xdr:row>
      <xdr:rowOff>104775</xdr:rowOff>
    </xdr:from>
    <xdr:to>
      <xdr:col>1</xdr:col>
      <xdr:colOff>4292600</xdr:colOff>
      <xdr:row>2</xdr:row>
      <xdr:rowOff>34925</xdr:rowOff>
    </xdr:to>
    <xdr:pic>
      <xdr:nvPicPr>
        <xdr:cNvPr id="2" name="Picture 1">
          <a:extLst>
            <a:ext uri="{FF2B5EF4-FFF2-40B4-BE49-F238E27FC236}">
              <a16:creationId xmlns:a16="http://schemas.microsoft.com/office/drawing/2014/main" id="{38651880-CA6C-9FF5-505F-7B47CD00993A}"/>
            </a:ext>
            <a:ext uri="{147F2762-F138-4A5C-976F-8EAC2B608ADB}">
              <a16:predDERef xmlns:a16="http://schemas.microsoft.com/office/drawing/2014/main" pred="{06FCF078-B7B3-7B5C-ED9E-DD0677DD6C3B}"/>
            </a:ext>
          </a:extLst>
        </xdr:cNvPr>
        <xdr:cNvPicPr>
          <a:picLocks noChangeAspect="1"/>
        </xdr:cNvPicPr>
      </xdr:nvPicPr>
      <xdr:blipFill>
        <a:blip xmlns:r="http://schemas.openxmlformats.org/officeDocument/2006/relationships" r:embed="rId2"/>
        <a:stretch>
          <a:fillRect/>
        </a:stretch>
      </xdr:blipFill>
      <xdr:spPr>
        <a:xfrm>
          <a:off x="3495675" y="104775"/>
          <a:ext cx="968375" cy="101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140424</xdr:colOff>
      <xdr:row>17</xdr:row>
      <xdr:rowOff>399263</xdr:rowOff>
    </xdr:from>
    <xdr:to>
      <xdr:col>4</xdr:col>
      <xdr:colOff>247650</xdr:colOff>
      <xdr:row>17</xdr:row>
      <xdr:rowOff>684742</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49999" y="7123913"/>
          <a:ext cx="2993301"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17927737-994B-4D51-B08C-1454D57B233C}"/>
            </a:ext>
          </a:extLst>
        </xdr:cNvPr>
        <xdr:cNvSpPr/>
      </xdr:nvSpPr>
      <xdr:spPr>
        <a:xfrm>
          <a:off x="12334081" y="320675"/>
          <a:ext cx="66675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3097530</xdr:colOff>
      <xdr:row>0</xdr:row>
      <xdr:rowOff>59531</xdr:rowOff>
    </xdr:from>
    <xdr:to>
      <xdr:col>1</xdr:col>
      <xdr:colOff>4584436</xdr:colOff>
      <xdr:row>2</xdr:row>
      <xdr:rowOff>183092</xdr:rowOff>
    </xdr:to>
    <xdr:pic>
      <xdr:nvPicPr>
        <xdr:cNvPr id="4" name="Picture 3">
          <a:extLst>
            <a:ext uri="{FF2B5EF4-FFF2-40B4-BE49-F238E27FC236}">
              <a16:creationId xmlns:a16="http://schemas.microsoft.com/office/drawing/2014/main" id="{E36A1C0E-3E85-43CE-83AF-6520F8377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6863" y="59531"/>
          <a:ext cx="1480556" cy="11998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9028113</xdr:colOff>
      <xdr:row>1</xdr:row>
      <xdr:rowOff>150019</xdr:rowOff>
    </xdr:from>
    <xdr:to>
      <xdr:col>2</xdr:col>
      <xdr:colOff>9726613</xdr:colOff>
      <xdr:row>1</xdr:row>
      <xdr:rowOff>450057</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67E85A77-278C-4EE6-8DB3-D2D849D8ACE9}"/>
            </a:ext>
          </a:extLst>
        </xdr:cNvPr>
        <xdr:cNvSpPr/>
      </xdr:nvSpPr>
      <xdr:spPr>
        <a:xfrm>
          <a:off x="14362113" y="316707"/>
          <a:ext cx="698500" cy="3000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523875</xdr:colOff>
      <xdr:row>6</xdr:row>
      <xdr:rowOff>249417</xdr:rowOff>
    </xdr:from>
    <xdr:to>
      <xdr:col>14</xdr:col>
      <xdr:colOff>589785</xdr:colOff>
      <xdr:row>15</xdr:row>
      <xdr:rowOff>74169</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1156" y="1761511"/>
          <a:ext cx="3780660" cy="3360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Ellen Briggs-Coquio" id="{EDA095FD-F599-4871-90AD-D38C80FC82B8}" userId="Ellen.Briggs-Coquio@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5-09T16:20:34.88" personId="{FFB89494-4C8C-4DF8-AB66-EF7261C141A5}" id="{28CD9136-3778-4ED6-8BA8-1625F9C05E17}">
    <text>@Ellen Briggs-Coquio UN SDG data</text>
    <mentions>
      <mention mentionpersonId="{EDA095FD-F599-4871-90AD-D38C80FC82B8}" mentionId="{D3CB6F5E-78AC-4844-886D-6E621E4147CC}"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3.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0.bin"/><Relationship Id="rId5" Type="http://schemas.microsoft.com/office/2017/10/relationships/threadedComment" Target="../threadedComments/threadedComment3.xml"/><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1.bin"/><Relationship Id="rId5" Type="http://schemas.microsoft.com/office/2017/10/relationships/threadedComment" Target="../threadedComments/threadedComment4.xml"/><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matthey.com/documents/161599/3025776/Johnson+Matthey+Biodiversity+Statement_Final.pdf/90c41ae0-fec6-9257-7aa3-6092de17b250?t=1717588061345" TargetMode="External"/><Relationship Id="rId18" Type="http://schemas.openxmlformats.org/officeDocument/2006/relationships/hyperlink" Target="https://matthey.com/careers/life-at-jm/rewards-and-benefits" TargetMode="External"/><Relationship Id="rId26" Type="http://schemas.openxmlformats.org/officeDocument/2006/relationships/hyperlink" Target="https://matthey.com/sustainability/people/communities" TargetMode="External"/><Relationship Id="rId39" Type="http://schemas.openxmlformats.org/officeDocument/2006/relationships/hyperlink" Target="https://matthey.com/sustainability/people/product-stewardship" TargetMode="External"/><Relationship Id="rId21" Type="http://schemas.openxmlformats.org/officeDocument/2006/relationships/hyperlink" Target="https://matthey.com/documents/161599/2096356/JM_Gender%20Pay%20Gap%20Report%202024_V6.pdf/776fa739-0d3e-c2eb-85cd-dccf8b3191a6?t=1743494242608" TargetMode="External"/><Relationship Id="rId34" Type="http://schemas.openxmlformats.org/officeDocument/2006/relationships/hyperlink" Target="https://matthey.com/en/sustainability/people/labour-and-human-rights" TargetMode="External"/><Relationship Id="rId42" Type="http://schemas.openxmlformats.org/officeDocument/2006/relationships/hyperlink" Target="https://matthey.com/sustainability/people/responsible-sourcing" TargetMode="External"/><Relationship Id="rId7" Type="http://schemas.openxmlformats.org/officeDocument/2006/relationships/hyperlink" Target="https://matthey.com/documents/161599/481702/Global%20Speak%20Up%20Policy%20-%20English.pdf/40ca267b-e6fb-38df-c078-f8b1d9827aa9?t=1742897215301" TargetMode="External"/><Relationship Id="rId2" Type="http://schemas.openxmlformats.org/officeDocument/2006/relationships/hyperlink" Target="https://matthey.com/en/sustainability/sustainability-governance" TargetMode="External"/><Relationship Id="rId16" Type="http://schemas.openxmlformats.org/officeDocument/2006/relationships/hyperlink" Target="https://matthey.com/documents/161599/481702/2022-06-07+Corporate+EHS+Policy+Statement+FINAL+%28Amended%29.pdf/5dd3eee5-76e0-8d4d-4854-42163d9a7447?t=1654961678367" TargetMode="External"/><Relationship Id="rId29" Type="http://schemas.openxmlformats.org/officeDocument/2006/relationships/hyperlink" Target="https://matthey.com/en/sustainability/people/labour-and-human-rights" TargetMode="External"/><Relationship Id="rId1" Type="http://schemas.openxmlformats.org/officeDocument/2006/relationships/hyperlink" Target="https://matthey.com/documents/161599/481702/Global%20Conflicts%20of%20Interest%20Policy%20-%20English.pdf/931d9633-df43-a8e8-11a3-5801399e7b9e?t=1742896918143" TargetMode="External"/><Relationship Id="rId6" Type="http://schemas.openxmlformats.org/officeDocument/2006/relationships/hyperlink" Target="https://matthey.com/about-us" TargetMode="External"/><Relationship Id="rId11" Type="http://schemas.openxmlformats.org/officeDocument/2006/relationships/hyperlink" Target="https://matthey.com/science-and-innovation/collaboration" TargetMode="External"/><Relationship Id="rId24" Type="http://schemas.openxmlformats.org/officeDocument/2006/relationships/hyperlink" Target="https://matthey.com/sustainability/people/communities" TargetMode="External"/><Relationship Id="rId32" Type="http://schemas.openxmlformats.org/officeDocument/2006/relationships/hyperlink" Target="https://matthey.com/careers/life-at-jm/rewards-and-benefits" TargetMode="External"/><Relationship Id="rId37" Type="http://schemas.openxmlformats.org/officeDocument/2006/relationships/hyperlink" Target="https://matthey.com/en/sustainability/people/labour-and-human-rights" TargetMode="External"/><Relationship Id="rId40" Type="http://schemas.openxmlformats.org/officeDocument/2006/relationships/hyperlink" Target="https://matthey.com/sustainability/people/responsible-sourcing" TargetMode="External"/><Relationship Id="rId45" Type="http://schemas.openxmlformats.org/officeDocument/2006/relationships/printerSettings" Target="../printerSettings/printerSettings5.bin"/><Relationship Id="rId5" Type="http://schemas.openxmlformats.org/officeDocument/2006/relationships/hyperlink" Target="https://matthey.com/en/sustainability/sustainability-governance" TargetMode="External"/><Relationship Id="rId15" Type="http://schemas.openxmlformats.org/officeDocument/2006/relationships/hyperlink" Target="https://matthey.com/documents/161599/481702/2022-06-07+Corporate+EHS+Policy+Statement+FINAL+%28Amended%29.pdf/5dd3eee5-76e0-8d4d-4854-42163d9a7447?t=1654961678367" TargetMode="External"/><Relationship Id="rId23" Type="http://schemas.openxmlformats.org/officeDocument/2006/relationships/hyperlink" Target="https://matthey.com/documents/161599/2096356/JM_Modern_Slavery_Statement_FY23-24.pdf/bd783ad3-c82a-65b3-27c5-2a77730cb5a6?t=1725900743364" TargetMode="External"/><Relationship Id="rId28" Type="http://schemas.openxmlformats.org/officeDocument/2006/relationships/hyperlink" Target="https://matthey.com/documents/161599/3025776/Tax%20Strategy%20FY2425.pdf/d7f6cc91-1a33-498d-e663-6d1dee889c5e?t=1727445410178" TargetMode="External"/><Relationship Id="rId36" Type="http://schemas.openxmlformats.org/officeDocument/2006/relationships/hyperlink" Target="https://matthey.com/en/sustainability/people/labour-and-human-rights" TargetMode="External"/><Relationship Id="rId10" Type="http://schemas.openxmlformats.org/officeDocument/2006/relationships/hyperlink" Target="https://matthey.com/about-us/governance/code-of-ethics/code-of-ethics-23" TargetMode="External"/><Relationship Id="rId19" Type="http://schemas.openxmlformats.org/officeDocument/2006/relationships/hyperlink" Target="https://matthey.com/documents/161599/481702/2022-06-07+Corporate+EHS+Policy+Statement+FINAL+%28Amended%29.pdf/5dd3eee5-76e0-8d4d-4854-42163d9a7447?t=1654961678367" TargetMode="External"/><Relationship Id="rId31" Type="http://schemas.openxmlformats.org/officeDocument/2006/relationships/hyperlink" Target="https://matthey.com/sustainability/people/how-we-collaborate-and-engage-with-stakeholders" TargetMode="External"/><Relationship Id="rId44" Type="http://schemas.openxmlformats.org/officeDocument/2006/relationships/hyperlink" Target="https://matthey.com/sustainability/people" TargetMode="External"/><Relationship Id="rId4" Type="http://schemas.openxmlformats.org/officeDocument/2006/relationships/hyperlink" Target="https://matthey.com/sustainability/policies-disclosures-and-position-statements/anti-bribery-and-corruption-policy" TargetMode="External"/><Relationship Id="rId9" Type="http://schemas.openxmlformats.org/officeDocument/2006/relationships/hyperlink" Target="https://matthey.com/documents/161599/481702/Global%20Speak%20Up%20Policy%20-%20English.pdf/40ca267b-e6fb-38df-c078-f8b1d9827aa9?t=1742897215301" TargetMode="External"/><Relationship Id="rId14" Type="http://schemas.openxmlformats.org/officeDocument/2006/relationships/hyperlink" Target="https://matthey.com/documents/161599/3025776/Johnson+Matthey+Biodiversity+Statement_Final.pdf/90c41ae0-fec6-9257-7aa3-6092de17b250?t=1717588061345" TargetMode="External"/><Relationship Id="rId22" Type="http://schemas.openxmlformats.org/officeDocument/2006/relationships/hyperlink" Target="https://matthey.com/documents/161599/2096356/JM_Modern_Slavery_Statement_FY23-24.pdf/bd783ad3-c82a-65b3-27c5-2a77730cb5a6?t=1725900743364" TargetMode="External"/><Relationship Id="rId27" Type="http://schemas.openxmlformats.org/officeDocument/2006/relationships/hyperlink" Target="https://matthey.com/sustainability/people/product-stewardship" TargetMode="External"/><Relationship Id="rId30" Type="http://schemas.openxmlformats.org/officeDocument/2006/relationships/hyperlink" Target="https://matthey.com/sustainability/people/how-we-collaborate-and-engage-with-stakeholders" TargetMode="External"/><Relationship Id="rId35" Type="http://schemas.openxmlformats.org/officeDocument/2006/relationships/hyperlink" Target="https://matthey.com/en/sustainability/people/labour-and-human-rights" TargetMode="External"/><Relationship Id="rId43" Type="http://schemas.openxmlformats.org/officeDocument/2006/relationships/hyperlink" Target="https://matthey.com/sustainability/people/responsible-sourcing" TargetMode="External"/><Relationship Id="rId8" Type="http://schemas.openxmlformats.org/officeDocument/2006/relationships/hyperlink" Target="https://matthey.com/documents/161599/481702/Global%20Human%20Rights%20Policy%20-%20English.pdf/03b39dba-12ce-3cf6-5f27-323fbd87d1d5?t=1742897132409" TargetMode="External"/><Relationship Id="rId3" Type="http://schemas.openxmlformats.org/officeDocument/2006/relationships/hyperlink" Target="https://matthey.com/documents/161599/481702/Global+Tax+Policy.pdf/3fdd4cb2-b62b-e3f3-d170-affb18418399?t=1670345691972" TargetMode="External"/><Relationship Id="rId12" Type="http://schemas.openxmlformats.org/officeDocument/2006/relationships/hyperlink" Target="https://matthey.com/science-and-innovation/collaboration" TargetMode="External"/><Relationship Id="rId17" Type="http://schemas.openxmlformats.org/officeDocument/2006/relationships/hyperlink" Target="https://matthey.com/documents/161599/481702/2022-06-07+Corporate+EHS+Policy+Statement+FINAL+%28Amended%29.pdf/5dd3eee5-76e0-8d4d-4854-42163d9a7447?t=1654961678367" TargetMode="External"/><Relationship Id="rId25" Type="http://schemas.openxmlformats.org/officeDocument/2006/relationships/hyperlink" Target="https://matthey.com/sustainability/people/communities" TargetMode="External"/><Relationship Id="rId33" Type="http://schemas.openxmlformats.org/officeDocument/2006/relationships/hyperlink" Target="https://matthey.com/careers/life-at-jm/rewards-and-benefits" TargetMode="External"/><Relationship Id="rId38" Type="http://schemas.openxmlformats.org/officeDocument/2006/relationships/hyperlink" Target="https://matthey.com/en/sustainability/people/labour-and-human-rights" TargetMode="External"/><Relationship Id="rId46" Type="http://schemas.openxmlformats.org/officeDocument/2006/relationships/drawing" Target="../drawings/drawing5.xml"/><Relationship Id="rId20" Type="http://schemas.openxmlformats.org/officeDocument/2006/relationships/hyperlink" Target="https://matthey.com/careers/life-at-jm/rewards-and-benefits" TargetMode="External"/><Relationship Id="rId41" Type="http://schemas.openxmlformats.org/officeDocument/2006/relationships/hyperlink" Target="https://matthey.com/sustainability/people/responsible-sourc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atthey.com/sustainability/people/communities" TargetMode="External"/><Relationship Id="rId2" Type="http://schemas.openxmlformats.org/officeDocument/2006/relationships/hyperlink" Target="https://matthey.com/sustainability" TargetMode="External"/><Relationship Id="rId1" Type="http://schemas.openxmlformats.org/officeDocument/2006/relationships/hyperlink" Target="https://matthey.com/sustainability/sustainability-governanc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matthey.com/sustainability/peopl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matthey.com/contact-us?assetCategoryIds=&amp;sort=ddm__keyword__232321__Country" TargetMode="External"/><Relationship Id="rId7" Type="http://schemas.openxmlformats.org/officeDocument/2006/relationships/comments" Target="../comments1.xml"/><Relationship Id="rId2" Type="http://schemas.openxmlformats.org/officeDocument/2006/relationships/hyperlink" Target="https://unglobalcompact.org/what-is-gc/participants/149760" TargetMode="External"/><Relationship Id="rId1" Type="http://schemas.openxmlformats.org/officeDocument/2006/relationships/hyperlink" Target="https://matthey.com/documents/161599/2096356/JM_Gender%20Pay%20Gap%20Report%202024_V6.pdf/776fa739-0d3e-c2eb-85cd-dccf8b3191a6?t=1743494242608" TargetMode="External"/><Relationship Id="rId6" Type="http://schemas.openxmlformats.org/officeDocument/2006/relationships/vmlDrawing" Target="../drawings/vmlDrawing1.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B7:AA41"/>
  <sheetViews>
    <sheetView zoomScale="80" zoomScaleNormal="80" workbookViewId="0">
      <selection activeCell="R14" sqref="R14"/>
    </sheetView>
  </sheetViews>
  <sheetFormatPr defaultColWidth="8.77734375" defaultRowHeight="14.4" x14ac:dyDescent="0.3"/>
  <cols>
    <col min="1" max="1" width="3.21875" style="1" customWidth="1"/>
    <col min="2" max="16384" width="8.77734375" style="1"/>
  </cols>
  <sheetData>
    <row r="7" spans="2:19" x14ac:dyDescent="0.3">
      <c r="B7"/>
    </row>
    <row r="13" spans="2:19" x14ac:dyDescent="0.3">
      <c r="S13" s="584"/>
    </row>
    <row r="41" spans="27:27" x14ac:dyDescent="0.3">
      <c r="AA41"/>
    </row>
  </sheetData>
  <sheetProtection algorithmName="SHA-512" hashValue="r1cp/T05UAiUEwuRonvs8fK1GCnwWzbUumptbWqyu3ANC6eBalBSxsE1gTl521PbwxmtADXI3V1rXTov4cDBnw==" saltValue="pKKDi4piGuxugQjdpjNQ9w==" spinCount="100000" sheet="1" objects="1" scenarios="1" selectLockedCells="1" selectUnlockedCell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codeName="Sheet15">
    <pageSetUpPr fitToPage="1"/>
  </sheetPr>
  <dimension ref="A2:K56"/>
  <sheetViews>
    <sheetView zoomScale="80" zoomScaleNormal="80" workbookViewId="0"/>
  </sheetViews>
  <sheetFormatPr defaultColWidth="8.77734375" defaultRowHeight="12.6" x14ac:dyDescent="0.2"/>
  <cols>
    <col min="1" max="1" width="5.21875" style="482" customWidth="1"/>
    <col min="2" max="2" width="103.21875" style="3" customWidth="1"/>
    <col min="3" max="3" width="34.21875" style="3" customWidth="1"/>
    <col min="4" max="4" width="26.77734375" style="3" customWidth="1"/>
    <col min="5" max="5" width="18.77734375" style="3" bestFit="1" customWidth="1"/>
    <col min="6" max="6" width="5.77734375" style="3" hidden="1" customWidth="1"/>
    <col min="7" max="7" width="11.5546875" style="3" hidden="1" customWidth="1"/>
    <col min="8" max="8" width="8.44140625" style="3" hidden="1" customWidth="1"/>
    <col min="9" max="9" width="18.21875" style="3" hidden="1" customWidth="1"/>
    <col min="10" max="10" width="2.5546875" style="3" hidden="1" customWidth="1"/>
    <col min="11" max="16384" width="8.77734375" style="3"/>
  </cols>
  <sheetData>
    <row r="2" spans="1:9" ht="23.1" customHeight="1" x14ac:dyDescent="0.4">
      <c r="B2" s="1572" t="s">
        <v>454</v>
      </c>
      <c r="C2" s="1572"/>
      <c r="D2" s="1572"/>
      <c r="E2" s="950"/>
      <c r="F2" s="950"/>
      <c r="G2" s="950"/>
      <c r="H2" s="950"/>
    </row>
    <row r="3" spans="1:9" ht="14.1" customHeight="1" x14ac:dyDescent="0.2">
      <c r="B3" s="951"/>
      <c r="C3" s="951"/>
      <c r="D3" s="951"/>
      <c r="E3" s="951"/>
      <c r="F3" s="951"/>
      <c r="G3" s="951"/>
      <c r="H3" s="951"/>
    </row>
    <row r="4" spans="1:9" ht="31.05" customHeight="1" x14ac:dyDescent="0.2">
      <c r="B4" s="1571" t="s">
        <v>1440</v>
      </c>
      <c r="C4" s="1571"/>
      <c r="D4" s="1571"/>
      <c r="E4" s="952"/>
      <c r="F4" s="952"/>
      <c r="G4" s="952"/>
      <c r="H4" s="952"/>
    </row>
    <row r="5" spans="1:9" ht="14.4" x14ac:dyDescent="0.3">
      <c r="B5" s="1573" t="s">
        <v>1441</v>
      </c>
      <c r="C5" s="1574"/>
      <c r="D5" s="1574"/>
      <c r="E5" s="952"/>
      <c r="F5" s="952"/>
      <c r="G5" s="952"/>
      <c r="H5" s="952"/>
    </row>
    <row r="6" spans="1:9" ht="14.55" customHeight="1" x14ac:dyDescent="0.2">
      <c r="B6" s="951"/>
      <c r="C6" s="951"/>
      <c r="D6" s="951"/>
      <c r="E6" s="952"/>
      <c r="F6" s="953"/>
      <c r="G6" s="953"/>
      <c r="H6" s="953"/>
      <c r="I6" s="951"/>
    </row>
    <row r="7" spans="1:9" s="555" customFormat="1" ht="32.4" x14ac:dyDescent="0.3">
      <c r="A7" s="954"/>
      <c r="B7" s="955" t="s">
        <v>455</v>
      </c>
      <c r="C7" s="956" t="s">
        <v>456</v>
      </c>
      <c r="D7" s="957" t="s">
        <v>457</v>
      </c>
      <c r="E7" s="958"/>
      <c r="F7" s="959"/>
      <c r="G7" s="959"/>
      <c r="H7" s="959"/>
      <c r="I7" s="957" t="s">
        <v>458</v>
      </c>
    </row>
    <row r="8" spans="1:9" ht="18.600000000000001" x14ac:dyDescent="0.4">
      <c r="A8" s="960">
        <v>1</v>
      </c>
      <c r="B8" s="961" t="s">
        <v>368</v>
      </c>
      <c r="C8" s="962" t="s">
        <v>459</v>
      </c>
      <c r="D8" s="786">
        <f>Environment!D11</f>
        <v>225330</v>
      </c>
      <c r="E8" s="952"/>
      <c r="F8" s="963"/>
      <c r="G8" s="963"/>
      <c r="H8" s="963"/>
    </row>
    <row r="9" spans="1:9" ht="18.600000000000001" x14ac:dyDescent="0.4">
      <c r="A9" s="960">
        <v>2</v>
      </c>
      <c r="B9" s="961" t="s">
        <v>370</v>
      </c>
      <c r="C9" s="962" t="s">
        <v>459</v>
      </c>
      <c r="D9" s="786">
        <f>Environment!D12</f>
        <v>21204</v>
      </c>
      <c r="E9" s="952"/>
      <c r="F9" s="963"/>
      <c r="G9" s="963"/>
      <c r="H9" s="963"/>
    </row>
    <row r="10" spans="1:9" ht="18.600000000000001" x14ac:dyDescent="0.4">
      <c r="A10" s="960">
        <v>3</v>
      </c>
      <c r="B10" s="961" t="s">
        <v>442</v>
      </c>
      <c r="C10" s="962" t="s">
        <v>459</v>
      </c>
      <c r="D10" s="786">
        <f>Environment!D13</f>
        <v>178481</v>
      </c>
      <c r="E10" s="952"/>
      <c r="F10" s="963"/>
      <c r="G10" s="963"/>
      <c r="H10" s="963"/>
    </row>
    <row r="11" spans="1:9" ht="18.600000000000001" x14ac:dyDescent="0.4">
      <c r="A11" s="960">
        <v>4</v>
      </c>
      <c r="B11" s="961" t="s">
        <v>460</v>
      </c>
      <c r="C11" s="962" t="s">
        <v>459</v>
      </c>
      <c r="D11" s="786">
        <f>Environment!D14</f>
        <v>246533</v>
      </c>
      <c r="E11" s="952"/>
      <c r="F11" s="963"/>
      <c r="G11" s="963"/>
      <c r="H11" s="963"/>
    </row>
    <row r="12" spans="1:9" ht="18.600000000000001" x14ac:dyDescent="0.4">
      <c r="A12" s="960">
        <v>5</v>
      </c>
      <c r="B12" s="961" t="s">
        <v>446</v>
      </c>
      <c r="C12" s="962" t="s">
        <v>461</v>
      </c>
      <c r="D12" s="787">
        <f>Environment!D16</f>
        <v>2.5188299480975931</v>
      </c>
      <c r="E12" s="952"/>
      <c r="F12" s="963"/>
      <c r="G12" s="963"/>
      <c r="H12" s="963"/>
    </row>
    <row r="13" spans="1:9" ht="16.2" x14ac:dyDescent="0.3">
      <c r="A13" s="960">
        <v>6</v>
      </c>
      <c r="B13" s="961" t="s">
        <v>462</v>
      </c>
      <c r="C13" s="962" t="s">
        <v>463</v>
      </c>
      <c r="D13" s="788">
        <f>Environment!J16</f>
        <v>-6.1898636558363251E-2</v>
      </c>
      <c r="E13" s="952"/>
      <c r="F13" s="963"/>
      <c r="G13" s="963"/>
      <c r="H13" s="963"/>
    </row>
    <row r="14" spans="1:9" ht="16.2" x14ac:dyDescent="0.3">
      <c r="A14" s="960">
        <v>7</v>
      </c>
      <c r="B14" s="961" t="s">
        <v>449</v>
      </c>
      <c r="C14" s="962" t="s">
        <v>450</v>
      </c>
      <c r="D14" s="786">
        <f>Environment!D54</f>
        <v>1126108</v>
      </c>
      <c r="E14" s="952"/>
      <c r="F14" s="963"/>
      <c r="G14" s="963"/>
      <c r="H14" s="963"/>
    </row>
    <row r="15" spans="1:9" ht="16.2" x14ac:dyDescent="0.3">
      <c r="A15" s="960">
        <v>8</v>
      </c>
      <c r="B15" s="964" t="s">
        <v>464</v>
      </c>
      <c r="C15" s="964" t="s">
        <v>465</v>
      </c>
      <c r="D15" s="786">
        <f>Environment!D73</f>
        <v>822281609</v>
      </c>
      <c r="E15" s="952"/>
      <c r="F15" s="963"/>
      <c r="G15" s="963"/>
      <c r="H15" s="963"/>
    </row>
    <row r="16" spans="1:9" ht="16.2" x14ac:dyDescent="0.3">
      <c r="A16" s="960">
        <v>9</v>
      </c>
      <c r="B16" s="964" t="s">
        <v>466</v>
      </c>
      <c r="C16" s="964" t="s">
        <v>465</v>
      </c>
      <c r="D16" s="786">
        <f>Environment!D78</f>
        <v>303826014</v>
      </c>
      <c r="E16" s="952"/>
      <c r="F16" s="963"/>
      <c r="G16" s="963"/>
      <c r="H16" s="963"/>
    </row>
    <row r="17" spans="1:8" ht="16.2" x14ac:dyDescent="0.3">
      <c r="A17" s="960">
        <v>10</v>
      </c>
      <c r="B17" s="961" t="s">
        <v>467</v>
      </c>
      <c r="C17" s="962" t="s">
        <v>463</v>
      </c>
      <c r="D17" s="789">
        <f>Environment!D56</f>
        <v>0.71</v>
      </c>
      <c r="E17" s="952"/>
      <c r="F17" s="963"/>
      <c r="G17" s="963"/>
      <c r="H17" s="963"/>
    </row>
    <row r="18" spans="1:8" ht="18.600000000000001" x14ac:dyDescent="0.4">
      <c r="A18" s="960">
        <v>11</v>
      </c>
      <c r="B18" s="561" t="s">
        <v>468</v>
      </c>
      <c r="C18" s="964" t="s">
        <v>441</v>
      </c>
      <c r="D18" s="790">
        <f>Environment!D19</f>
        <v>3085054</v>
      </c>
      <c r="E18" s="952"/>
      <c r="F18" s="963"/>
      <c r="G18" s="963"/>
      <c r="H18" s="963"/>
    </row>
    <row r="19" spans="1:8" ht="18.600000000000001" x14ac:dyDescent="0.4">
      <c r="A19" s="960">
        <v>12</v>
      </c>
      <c r="B19" s="961" t="s">
        <v>469</v>
      </c>
      <c r="C19" s="962" t="s">
        <v>459</v>
      </c>
      <c r="D19" s="786">
        <f>Environment!D21</f>
        <v>35476</v>
      </c>
      <c r="E19" s="952"/>
      <c r="F19" s="963"/>
      <c r="G19" s="963"/>
      <c r="H19" s="963"/>
    </row>
    <row r="20" spans="1:8" ht="18.600000000000001" x14ac:dyDescent="0.4">
      <c r="A20" s="960">
        <v>13</v>
      </c>
      <c r="B20" s="962" t="s">
        <v>371</v>
      </c>
      <c r="C20" s="962" t="s">
        <v>459</v>
      </c>
      <c r="D20" s="786">
        <f>Environment!D36</f>
        <v>3445486.0185479606</v>
      </c>
      <c r="E20" s="952"/>
      <c r="F20" s="963"/>
      <c r="G20" s="963"/>
      <c r="H20" s="963"/>
    </row>
    <row r="21" spans="1:8" ht="17.399999999999999" x14ac:dyDescent="0.3">
      <c r="A21" s="960">
        <v>14</v>
      </c>
      <c r="B21" s="962" t="s">
        <v>470</v>
      </c>
      <c r="C21" s="962" t="s">
        <v>471</v>
      </c>
      <c r="D21" s="786">
        <f>Environment!D90</f>
        <v>1530250</v>
      </c>
      <c r="E21" s="952"/>
      <c r="F21" s="963"/>
      <c r="G21" s="963"/>
      <c r="H21" s="963"/>
    </row>
    <row r="22" spans="1:8" ht="17.399999999999999" x14ac:dyDescent="0.3">
      <c r="A22" s="960">
        <v>15</v>
      </c>
      <c r="B22" s="961" t="s">
        <v>472</v>
      </c>
      <c r="C22" s="962" t="s">
        <v>471</v>
      </c>
      <c r="D22" s="790">
        <f>Environment!D92</f>
        <v>33966</v>
      </c>
      <c r="E22" s="952"/>
      <c r="F22" s="963"/>
      <c r="G22" s="963"/>
      <c r="H22" s="963"/>
    </row>
    <row r="23" spans="1:8" ht="17.399999999999999" x14ac:dyDescent="0.3">
      <c r="A23" s="960">
        <v>16</v>
      </c>
      <c r="B23" s="961" t="s">
        <v>473</v>
      </c>
      <c r="C23" s="961" t="s">
        <v>474</v>
      </c>
      <c r="D23" s="790">
        <f>Environment!D101</f>
        <v>1495</v>
      </c>
      <c r="E23" s="952"/>
      <c r="F23" s="963"/>
      <c r="G23" s="963"/>
      <c r="H23" s="963"/>
    </row>
    <row r="24" spans="1:8" ht="17.399999999999999" x14ac:dyDescent="0.3">
      <c r="A24" s="960">
        <v>17</v>
      </c>
      <c r="B24" s="561" t="s">
        <v>475</v>
      </c>
      <c r="C24" s="961" t="s">
        <v>474</v>
      </c>
      <c r="D24" s="791">
        <f>Environment!D102</f>
        <v>348</v>
      </c>
      <c r="E24" s="952"/>
      <c r="F24" s="963"/>
      <c r="G24" s="963"/>
      <c r="H24" s="963"/>
    </row>
    <row r="25" spans="1:8" ht="16.2" x14ac:dyDescent="0.3">
      <c r="A25" s="960">
        <v>18</v>
      </c>
      <c r="B25" s="962" t="s">
        <v>476</v>
      </c>
      <c r="C25" s="962" t="s">
        <v>477</v>
      </c>
      <c r="D25" s="792">
        <f>Environment!D97</f>
        <v>346</v>
      </c>
      <c r="E25" s="952"/>
      <c r="F25" s="963"/>
      <c r="G25" s="963"/>
      <c r="H25" s="963"/>
    </row>
    <row r="26" spans="1:8" ht="16.2" x14ac:dyDescent="0.3">
      <c r="A26" s="960">
        <v>19</v>
      </c>
      <c r="B26" s="561" t="s">
        <v>478</v>
      </c>
      <c r="C26" s="561" t="s">
        <v>463</v>
      </c>
      <c r="D26" s="793">
        <f>Environment!D98</f>
        <v>0.91</v>
      </c>
      <c r="E26" s="952"/>
      <c r="F26" s="963"/>
      <c r="G26" s="963"/>
      <c r="H26" s="963"/>
    </row>
    <row r="27" spans="1:8" ht="16.2" x14ac:dyDescent="0.3">
      <c r="A27" s="960">
        <v>20</v>
      </c>
      <c r="B27" s="964" t="s">
        <v>479</v>
      </c>
      <c r="C27" s="964" t="s">
        <v>480</v>
      </c>
      <c r="D27" s="790">
        <f>Environment!D116+Environment!D117</f>
        <v>34471</v>
      </c>
      <c r="E27" s="952"/>
      <c r="F27" s="963"/>
      <c r="G27" s="963"/>
      <c r="H27" s="963"/>
    </row>
    <row r="28" spans="1:8" ht="16.2" x14ac:dyDescent="0.3">
      <c r="A28" s="960">
        <v>21</v>
      </c>
      <c r="B28" s="561" t="s">
        <v>481</v>
      </c>
      <c r="C28" s="561" t="s">
        <v>480</v>
      </c>
      <c r="D28" s="790">
        <f>Environment!D120</f>
        <v>2841</v>
      </c>
      <c r="E28" s="952"/>
      <c r="F28" s="963"/>
      <c r="G28" s="963"/>
      <c r="H28" s="963"/>
    </row>
    <row r="29" spans="1:8" ht="16.2" x14ac:dyDescent="0.3">
      <c r="A29" s="960">
        <v>22</v>
      </c>
      <c r="B29" s="561" t="s">
        <v>482</v>
      </c>
      <c r="C29" s="561" t="s">
        <v>480</v>
      </c>
      <c r="D29" s="790">
        <f>Environment!D118</f>
        <v>1200</v>
      </c>
      <c r="E29" s="952"/>
      <c r="F29" s="963"/>
      <c r="G29" s="963"/>
      <c r="H29" s="963"/>
    </row>
    <row r="30" spans="1:8" ht="16.2" x14ac:dyDescent="0.3">
      <c r="A30" s="960">
        <v>23</v>
      </c>
      <c r="B30" s="561" t="s">
        <v>483</v>
      </c>
      <c r="C30" s="561" t="s">
        <v>480</v>
      </c>
      <c r="D30" s="790">
        <f>Environment!D119</f>
        <v>16403</v>
      </c>
      <c r="E30" s="952"/>
      <c r="F30" s="963"/>
      <c r="G30" s="963"/>
      <c r="H30" s="963"/>
    </row>
    <row r="31" spans="1:8" ht="16.2" x14ac:dyDescent="0.3">
      <c r="A31" s="960">
        <v>24</v>
      </c>
      <c r="B31" s="964" t="s">
        <v>484</v>
      </c>
      <c r="C31" s="964" t="s">
        <v>480</v>
      </c>
      <c r="D31" s="790">
        <f>Environment!D113</f>
        <v>54915</v>
      </c>
      <c r="E31" s="952"/>
      <c r="F31" s="963"/>
      <c r="G31" s="963"/>
      <c r="H31" s="963"/>
    </row>
    <row r="32" spans="1:8" ht="16.2" x14ac:dyDescent="0.3">
      <c r="A32" s="960">
        <v>25</v>
      </c>
      <c r="B32" s="561" t="s">
        <v>485</v>
      </c>
      <c r="C32" s="964" t="s">
        <v>480</v>
      </c>
      <c r="D32" s="790">
        <f>Environment!D136+Environment!D138</f>
        <v>22758</v>
      </c>
      <c r="E32" s="952"/>
      <c r="F32" s="963"/>
      <c r="G32" s="963"/>
      <c r="H32" s="963"/>
    </row>
    <row r="33" spans="1:11" ht="16.2" x14ac:dyDescent="0.3">
      <c r="A33" s="960">
        <v>26</v>
      </c>
      <c r="B33" s="964" t="s">
        <v>486</v>
      </c>
      <c r="C33" s="964" t="s">
        <v>480</v>
      </c>
      <c r="D33" s="790">
        <f>Environment!D130</f>
        <v>607</v>
      </c>
      <c r="E33" s="952"/>
      <c r="F33" s="963"/>
      <c r="G33" s="963"/>
      <c r="H33" s="963"/>
    </row>
    <row r="34" spans="1:11" ht="16.2" x14ac:dyDescent="0.3">
      <c r="A34" s="960">
        <v>27</v>
      </c>
      <c r="B34" s="964" t="s">
        <v>487</v>
      </c>
      <c r="C34" s="964" t="s">
        <v>480</v>
      </c>
      <c r="D34" s="790">
        <f>Environment!D128</f>
        <v>234</v>
      </c>
      <c r="E34" s="952"/>
      <c r="F34" s="963"/>
      <c r="G34" s="963"/>
      <c r="H34" s="963"/>
    </row>
    <row r="35" spans="1:11" ht="16.2" x14ac:dyDescent="0.3">
      <c r="A35" s="960">
        <v>28</v>
      </c>
      <c r="B35" s="964" t="s">
        <v>488</v>
      </c>
      <c r="C35" s="964" t="s">
        <v>480</v>
      </c>
      <c r="D35" s="790">
        <f>Environment!D129</f>
        <v>13836</v>
      </c>
      <c r="E35" s="952"/>
      <c r="F35" s="963"/>
      <c r="G35" s="963"/>
      <c r="H35" s="963"/>
    </row>
    <row r="36" spans="1:11" ht="16.2" x14ac:dyDescent="0.3">
      <c r="A36" s="960">
        <v>29</v>
      </c>
      <c r="B36" s="561" t="s">
        <v>489</v>
      </c>
      <c r="C36" s="561" t="s">
        <v>480</v>
      </c>
      <c r="D36" s="790">
        <f>Environment!D112</f>
        <v>37435</v>
      </c>
      <c r="E36" s="952"/>
      <c r="F36" s="963"/>
      <c r="G36" s="963"/>
      <c r="H36" s="963"/>
    </row>
    <row r="37" spans="1:11" ht="16.2" x14ac:dyDescent="0.3">
      <c r="A37" s="960">
        <v>30</v>
      </c>
      <c r="B37" s="561" t="s">
        <v>490</v>
      </c>
      <c r="C37" s="561" t="s">
        <v>480</v>
      </c>
      <c r="D37" s="790">
        <f>Environment!D147</f>
        <v>3553</v>
      </c>
      <c r="E37" s="952"/>
      <c r="F37" s="963"/>
      <c r="G37" s="963"/>
      <c r="H37" s="963"/>
    </row>
    <row r="38" spans="1:11" ht="16.2" x14ac:dyDescent="0.3">
      <c r="A38" s="960">
        <v>31</v>
      </c>
      <c r="B38" s="561" t="s">
        <v>491</v>
      </c>
      <c r="C38" s="561" t="s">
        <v>480</v>
      </c>
      <c r="D38" s="790">
        <f>Environment!D144</f>
        <v>15623</v>
      </c>
      <c r="E38" s="952"/>
      <c r="F38" s="963"/>
      <c r="G38" s="963"/>
      <c r="H38" s="963"/>
    </row>
    <row r="39" spans="1:11" ht="16.2" x14ac:dyDescent="0.3">
      <c r="A39" s="960">
        <v>32</v>
      </c>
      <c r="B39" s="561" t="s">
        <v>492</v>
      </c>
      <c r="C39" s="561" t="s">
        <v>480</v>
      </c>
      <c r="D39" s="790">
        <f>Environment!D145+Environment!D146</f>
        <v>12216</v>
      </c>
      <c r="E39" s="952"/>
      <c r="F39" s="963"/>
      <c r="G39" s="963"/>
      <c r="H39" s="963"/>
    </row>
    <row r="40" spans="1:11" s="966" customFormat="1" ht="16.2" hidden="1" x14ac:dyDescent="0.3">
      <c r="A40" s="960">
        <v>33</v>
      </c>
      <c r="B40" s="965" t="s">
        <v>493</v>
      </c>
      <c r="C40" s="965"/>
      <c r="D40" s="794"/>
      <c r="E40" s="952"/>
      <c r="F40" s="963"/>
      <c r="G40" s="963"/>
      <c r="H40" s="963"/>
      <c r="I40" s="3"/>
      <c r="J40" s="3"/>
      <c r="K40" s="3"/>
    </row>
    <row r="41" spans="1:11" ht="16.2" x14ac:dyDescent="0.3">
      <c r="A41" s="960">
        <v>33</v>
      </c>
      <c r="B41" s="561" t="s">
        <v>494</v>
      </c>
      <c r="C41" s="561" t="s">
        <v>480</v>
      </c>
      <c r="D41" s="795">
        <f>Environment!D150</f>
        <v>278</v>
      </c>
      <c r="E41" s="952"/>
      <c r="F41" s="963"/>
      <c r="G41" s="963"/>
      <c r="H41" s="963"/>
    </row>
    <row r="42" spans="1:11" ht="16.2" x14ac:dyDescent="0.3">
      <c r="A42" s="960">
        <v>34</v>
      </c>
      <c r="B42" s="561" t="s">
        <v>495</v>
      </c>
      <c r="C42" s="561" t="s">
        <v>480</v>
      </c>
      <c r="D42" s="795">
        <f>Environment!D151</f>
        <v>42</v>
      </c>
      <c r="E42" s="952"/>
      <c r="F42" s="963"/>
      <c r="G42" s="963"/>
      <c r="H42" s="963"/>
    </row>
    <row r="43" spans="1:11" ht="16.2" x14ac:dyDescent="0.3">
      <c r="A43" s="960">
        <v>35</v>
      </c>
      <c r="B43" s="561" t="s">
        <v>496</v>
      </c>
      <c r="C43" s="561" t="s">
        <v>480</v>
      </c>
      <c r="D43" s="795">
        <f>Environment!D152</f>
        <v>50</v>
      </c>
      <c r="E43" s="952"/>
      <c r="F43" s="963"/>
      <c r="G43" s="963"/>
      <c r="H43" s="963"/>
    </row>
    <row r="44" spans="1:11" ht="16.2" x14ac:dyDescent="0.3">
      <c r="A44" s="960">
        <v>36</v>
      </c>
      <c r="B44" s="561" t="s">
        <v>497</v>
      </c>
      <c r="C44" s="561" t="s">
        <v>463</v>
      </c>
      <c r="D44" s="789">
        <f>Environment!D153</f>
        <v>0.85299999999999998</v>
      </c>
      <c r="E44" s="952"/>
      <c r="F44" s="963"/>
      <c r="G44" s="963"/>
      <c r="H44" s="963"/>
    </row>
    <row r="45" spans="1:11" ht="16.2" x14ac:dyDescent="0.3">
      <c r="A45" s="960">
        <v>37</v>
      </c>
      <c r="B45" s="561" t="s">
        <v>498</v>
      </c>
      <c r="C45" s="561" t="s">
        <v>463</v>
      </c>
      <c r="D45" s="796">
        <f>Environment!D154</f>
        <v>0.68</v>
      </c>
      <c r="E45" s="952"/>
      <c r="F45" s="963"/>
      <c r="G45" s="963"/>
      <c r="H45" s="963"/>
    </row>
    <row r="46" spans="1:11" ht="16.2" x14ac:dyDescent="0.3">
      <c r="A46" s="960">
        <v>38</v>
      </c>
      <c r="B46" s="561" t="s">
        <v>499</v>
      </c>
      <c r="C46" s="561" t="s">
        <v>463</v>
      </c>
      <c r="D46" s="796">
        <f>Environment!D155</f>
        <v>0.82</v>
      </c>
      <c r="E46" s="952"/>
      <c r="F46" s="963"/>
      <c r="G46" s="963"/>
      <c r="H46" s="963"/>
    </row>
    <row r="47" spans="1:11" ht="18.600000000000001" x14ac:dyDescent="0.4">
      <c r="A47" s="960">
        <v>39</v>
      </c>
      <c r="B47" s="561" t="s">
        <v>500</v>
      </c>
      <c r="C47" s="962" t="s">
        <v>459</v>
      </c>
      <c r="D47" s="790">
        <f>Environment!D48</f>
        <v>1606644</v>
      </c>
      <c r="E47" s="952"/>
      <c r="F47" s="963"/>
      <c r="G47" s="963"/>
      <c r="H47" s="963"/>
    </row>
    <row r="48" spans="1:11" ht="16.2" x14ac:dyDescent="0.3">
      <c r="A48" s="960">
        <v>40</v>
      </c>
      <c r="B48" s="561" t="s">
        <v>501</v>
      </c>
      <c r="C48" s="561" t="s">
        <v>463</v>
      </c>
      <c r="D48" s="789">
        <f>'2030 targets'!I25</f>
        <v>0.75929999999999997</v>
      </c>
      <c r="E48" s="952"/>
      <c r="F48" s="963"/>
      <c r="G48" s="963"/>
      <c r="H48" s="963"/>
    </row>
    <row r="49" spans="1:8" ht="16.2" x14ac:dyDescent="0.3">
      <c r="A49" s="960">
        <v>41</v>
      </c>
      <c r="B49" s="964" t="s">
        <v>502</v>
      </c>
      <c r="C49" s="964" t="s">
        <v>503</v>
      </c>
      <c r="D49" s="797">
        <f>'Health and Safety'!D10</f>
        <v>0.92326702943992811</v>
      </c>
      <c r="E49" s="952"/>
      <c r="F49" s="963"/>
      <c r="G49" s="963"/>
      <c r="H49" s="963"/>
    </row>
    <row r="50" spans="1:8" ht="16.2" x14ac:dyDescent="0.3">
      <c r="A50" s="960">
        <v>42</v>
      </c>
      <c r="B50" s="964" t="s">
        <v>504</v>
      </c>
      <c r="C50" s="964" t="s">
        <v>503</v>
      </c>
      <c r="D50" s="797">
        <f>'Health and Safety'!E10</f>
        <v>0.49730614606716483</v>
      </c>
      <c r="E50" s="952"/>
      <c r="F50" s="963"/>
      <c r="G50" s="963"/>
      <c r="H50" s="963"/>
    </row>
    <row r="51" spans="1:8" ht="16.2" x14ac:dyDescent="0.3">
      <c r="A51" s="960">
        <v>43</v>
      </c>
      <c r="B51" s="962" t="s">
        <v>505</v>
      </c>
      <c r="C51" s="962" t="s">
        <v>503</v>
      </c>
      <c r="D51" s="797">
        <f>'Health and Safety'!D12</f>
        <v>0</v>
      </c>
      <c r="E51" s="952"/>
      <c r="F51" s="963"/>
      <c r="G51" s="963"/>
      <c r="H51" s="963"/>
    </row>
    <row r="52" spans="1:8" ht="16.2" x14ac:dyDescent="0.3">
      <c r="A52" s="960">
        <v>44</v>
      </c>
      <c r="B52" s="962" t="s">
        <v>506</v>
      </c>
      <c r="C52" s="962" t="s">
        <v>507</v>
      </c>
      <c r="D52" s="797">
        <f>'Health and Safety'!D29</f>
        <v>8.5042501946325233E-2</v>
      </c>
      <c r="E52" s="952"/>
      <c r="F52" s="963"/>
      <c r="G52" s="963"/>
      <c r="H52" s="963"/>
    </row>
    <row r="53" spans="1:8" ht="16.2" x14ac:dyDescent="0.3">
      <c r="A53" s="960">
        <v>45</v>
      </c>
      <c r="B53" s="962" t="s">
        <v>508</v>
      </c>
      <c r="C53" s="962" t="s">
        <v>509</v>
      </c>
      <c r="D53" s="797">
        <f>'Health and Safety'!D23</f>
        <v>0.35717850817456592</v>
      </c>
      <c r="E53" s="952"/>
      <c r="F53" s="963"/>
      <c r="G53" s="963"/>
      <c r="H53" s="963"/>
    </row>
    <row r="54" spans="1:8" ht="16.2" x14ac:dyDescent="0.3">
      <c r="A54" s="960">
        <v>46</v>
      </c>
      <c r="B54" s="561" t="s">
        <v>510</v>
      </c>
      <c r="C54" s="561" t="s">
        <v>511</v>
      </c>
      <c r="D54" s="797">
        <f>'Health and Safety'!D27</f>
        <v>0.82</v>
      </c>
      <c r="E54" s="952"/>
      <c r="F54" s="963"/>
      <c r="G54" s="963"/>
      <c r="H54" s="963"/>
    </row>
    <row r="55" spans="1:8" ht="16.2" x14ac:dyDescent="0.3">
      <c r="A55" s="960">
        <v>47</v>
      </c>
      <c r="B55" s="561" t="s">
        <v>512</v>
      </c>
      <c r="C55" s="561" t="s">
        <v>463</v>
      </c>
      <c r="D55" s="789">
        <f>People!S41</f>
        <v>0.32014176018901358</v>
      </c>
      <c r="E55" s="952"/>
      <c r="F55" s="963"/>
      <c r="G55" s="963"/>
      <c r="H55" s="963"/>
    </row>
    <row r="56" spans="1:8" x14ac:dyDescent="0.2">
      <c r="A56" s="960"/>
      <c r="E56" s="952"/>
      <c r="F56" s="963"/>
      <c r="G56" s="963"/>
      <c r="H56" s="963"/>
    </row>
  </sheetData>
  <sheetProtection algorithmName="SHA-512" hashValue="hPmhWnK2wTK5KljSNF9PaN6q8VrsS+ViMtd/KRdckk6dqIJ8NFSqzKnX9ZIH1xrxsElU52m6C/Oy0kcKdbc0/A==" saltValue="tLpFxxDQcQsDptAcULlxBQ==" spinCount="100000" sheet="1" objects="1" scenarios="1"/>
  <mergeCells count="3">
    <mergeCell ref="B4:D4"/>
    <mergeCell ref="B2:D2"/>
    <mergeCell ref="B5:D5"/>
  </mergeCells>
  <hyperlinks>
    <hyperlink ref="B5:D5" location="'Basis of Reporting'!A1" display="Please see ERM CVS' full assurance report on page 196-198 of our ARA 2025 and on Basis of Reporting tab for more details." xr:uid="{5DCF6305-6AED-4E13-9DAA-E67B06F640D3}"/>
  </hyperlink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codeName="Sheet16">
    <tabColor theme="3"/>
    <pageSetUpPr fitToPage="1"/>
  </sheetPr>
  <dimension ref="B2:W35"/>
  <sheetViews>
    <sheetView zoomScale="80" zoomScaleNormal="80" workbookViewId="0">
      <selection sqref="A1:XFD1048576"/>
    </sheetView>
  </sheetViews>
  <sheetFormatPr defaultColWidth="8.77734375" defaultRowHeight="12.6" x14ac:dyDescent="0.2"/>
  <cols>
    <col min="1" max="1" width="6.44140625" style="3" customWidth="1"/>
    <col min="2" max="2" width="36.5546875" style="3" bestFit="1" customWidth="1"/>
    <col min="3" max="3" width="20" style="3" customWidth="1"/>
    <col min="4" max="4" width="55.77734375" style="3" customWidth="1"/>
    <col min="5" max="5" width="14.77734375" style="3" bestFit="1" customWidth="1"/>
    <col min="6" max="6" width="12.5546875" style="3" bestFit="1" customWidth="1"/>
    <col min="7" max="7" width="14.21875" style="3" bestFit="1" customWidth="1"/>
    <col min="8" max="10" width="18.44140625" style="3" customWidth="1"/>
    <col min="11" max="14" width="15.21875" style="3" customWidth="1"/>
    <col min="15" max="15" width="12.77734375" style="3" customWidth="1"/>
    <col min="16" max="16" width="24.5546875" style="3" customWidth="1"/>
    <col min="17" max="17" width="25.5546875" style="3" customWidth="1"/>
    <col min="18" max="18" width="14.21875" style="3" customWidth="1"/>
    <col min="19" max="19" width="9.21875" style="3" customWidth="1"/>
    <col min="20" max="16384" width="8.77734375" style="3"/>
  </cols>
  <sheetData>
    <row r="2" spans="2:23" ht="43.35" customHeight="1" x14ac:dyDescent="0.2">
      <c r="B2" s="594" t="s">
        <v>513</v>
      </c>
      <c r="C2" s="483"/>
      <c r="D2" s="483"/>
      <c r="E2" s="483"/>
      <c r="G2" s="483"/>
      <c r="H2" s="483"/>
      <c r="I2" s="483"/>
      <c r="J2" s="483"/>
      <c r="K2" s="483"/>
      <c r="L2" s="483"/>
      <c r="M2" s="483"/>
      <c r="N2" s="483"/>
      <c r="O2" s="483"/>
      <c r="P2" s="483"/>
      <c r="Q2" s="483"/>
      <c r="R2" s="483"/>
      <c r="S2" s="483"/>
      <c r="T2" s="483"/>
      <c r="U2" s="483"/>
      <c r="V2" s="483"/>
      <c r="W2" s="483"/>
    </row>
    <row r="3" spans="2:23" ht="28.35" customHeight="1" x14ac:dyDescent="0.2">
      <c r="G3" s="484"/>
      <c r="H3" s="484"/>
      <c r="I3" s="484"/>
      <c r="J3" s="484"/>
      <c r="K3" s="484"/>
      <c r="L3" s="484"/>
      <c r="M3" s="484"/>
      <c r="N3" s="484"/>
      <c r="O3" s="484"/>
      <c r="P3" s="484"/>
      <c r="Q3" s="484"/>
      <c r="R3" s="484"/>
      <c r="S3" s="484"/>
    </row>
    <row r="4" spans="2:23" ht="18.600000000000001" customHeight="1" x14ac:dyDescent="0.2">
      <c r="F4" s="485"/>
      <c r="G4" s="484"/>
      <c r="H4" s="484"/>
      <c r="I4" s="484"/>
      <c r="J4" s="484"/>
      <c r="K4" s="484"/>
      <c r="L4" s="484"/>
      <c r="M4" s="484"/>
      <c r="N4" s="484"/>
      <c r="O4" s="484"/>
      <c r="P4" s="484"/>
      <c r="Q4" s="484"/>
      <c r="R4" s="484"/>
      <c r="S4" s="484"/>
    </row>
    <row r="5" spans="2:23" ht="18.600000000000001" customHeight="1" x14ac:dyDescent="0.2">
      <c r="F5" s="485"/>
      <c r="G5" s="484"/>
      <c r="H5" s="484"/>
      <c r="I5" s="484"/>
      <c r="J5" s="484"/>
      <c r="K5" s="484"/>
      <c r="L5" s="484"/>
      <c r="M5" s="484"/>
      <c r="N5" s="484"/>
      <c r="O5" s="484"/>
      <c r="P5" s="484"/>
      <c r="Q5" s="484"/>
      <c r="R5" s="484"/>
      <c r="S5" s="484"/>
    </row>
    <row r="20" spans="2:23" ht="39" customHeight="1" x14ac:dyDescent="0.2"/>
    <row r="21" spans="2:23" ht="58.8" customHeight="1" x14ac:dyDescent="0.2">
      <c r="B21" s="592" t="s">
        <v>514</v>
      </c>
      <c r="C21" s="592" t="s">
        <v>515</v>
      </c>
      <c r="D21" s="592" t="s">
        <v>516</v>
      </c>
      <c r="E21" s="593" t="s">
        <v>517</v>
      </c>
      <c r="F21" s="593" t="s">
        <v>518</v>
      </c>
      <c r="G21" s="593" t="s">
        <v>519</v>
      </c>
      <c r="H21" s="593" t="s">
        <v>520</v>
      </c>
      <c r="I21" s="593" t="s">
        <v>521</v>
      </c>
      <c r="J21" s="593" t="s">
        <v>522</v>
      </c>
      <c r="K21" s="593" t="s">
        <v>523</v>
      </c>
      <c r="L21" s="593" t="s">
        <v>524</v>
      </c>
      <c r="M21" s="593" t="s">
        <v>525</v>
      </c>
      <c r="N21" s="593" t="s">
        <v>526</v>
      </c>
    </row>
    <row r="22" spans="2:23" ht="47.55" hidden="1" customHeight="1" x14ac:dyDescent="0.2">
      <c r="B22" s="691" t="s">
        <v>527</v>
      </c>
      <c r="C22" s="692" t="s">
        <v>528</v>
      </c>
      <c r="D22" s="693" t="s">
        <v>529</v>
      </c>
      <c r="E22" s="694" t="s">
        <v>435</v>
      </c>
      <c r="F22" s="695">
        <f>Environment!H48</f>
        <v>253163</v>
      </c>
      <c r="G22" s="696">
        <v>50000000</v>
      </c>
      <c r="H22" s="697">
        <f>(G22-$F22)/$F22</f>
        <v>196.50121463246998</v>
      </c>
      <c r="I22" s="697">
        <f>Environment!D48</f>
        <v>1606644</v>
      </c>
      <c r="J22" s="697">
        <f>(I22-$F22)/$F22</f>
        <v>5.346282829639402</v>
      </c>
      <c r="K22" s="698">
        <f>Environment!E48</f>
        <v>1335881</v>
      </c>
      <c r="L22" s="697">
        <f>(K22-$F22)/$F22</f>
        <v>4.2767624020887727</v>
      </c>
      <c r="M22" s="698">
        <f>Environment!F48</f>
        <v>1006019</v>
      </c>
      <c r="N22" s="697">
        <f>(M22-$F22)/$F22</f>
        <v>2.9737994888668564</v>
      </c>
      <c r="R22" s="486"/>
      <c r="S22" s="486"/>
    </row>
    <row r="23" spans="2:23" ht="35.1" customHeight="1" x14ac:dyDescent="0.2">
      <c r="B23" s="562" t="s">
        <v>530</v>
      </c>
      <c r="C23" s="563" t="s">
        <v>528</v>
      </c>
      <c r="D23" s="567" t="s">
        <v>531</v>
      </c>
      <c r="E23" s="564" t="s">
        <v>436</v>
      </c>
      <c r="F23" s="604">
        <f>Environment!I14</f>
        <v>404040</v>
      </c>
      <c r="G23" s="684">
        <f>F23*(1-0.44)</f>
        <v>226262.40000000002</v>
      </c>
      <c r="H23" s="685">
        <f>($F23-G23)/$F23</f>
        <v>0.43999999999999995</v>
      </c>
      <c r="I23" s="680">
        <f>Environment!D14</f>
        <v>246533</v>
      </c>
      <c r="J23" s="689">
        <f>($F23-I23)/$F23</f>
        <v>0.38983021483021485</v>
      </c>
      <c r="K23" s="680">
        <f>Environment!E14</f>
        <v>281912</v>
      </c>
      <c r="L23" s="565">
        <f>($F23-K23)/$F23</f>
        <v>0.30226710226710229</v>
      </c>
      <c r="M23" s="680">
        <f>Environment!F14</f>
        <v>343933</v>
      </c>
      <c r="N23" s="565">
        <f>($F23-M23)/$F23</f>
        <v>0.14876497376497377</v>
      </c>
      <c r="R23" s="486"/>
      <c r="S23" s="486"/>
      <c r="U23" s="486"/>
      <c r="V23" s="486"/>
      <c r="W23" s="486"/>
    </row>
    <row r="24" spans="2:23" ht="35.1" customHeight="1" x14ac:dyDescent="0.2">
      <c r="B24" s="562" t="s">
        <v>532</v>
      </c>
      <c r="C24" s="563" t="s">
        <v>528</v>
      </c>
      <c r="D24" s="567" t="s">
        <v>533</v>
      </c>
      <c r="E24" s="564" t="s">
        <v>436</v>
      </c>
      <c r="F24" s="604">
        <f>Environment!I19</f>
        <v>3345528</v>
      </c>
      <c r="G24" s="684">
        <f>F24*(1-0.42)</f>
        <v>1940406.2400000002</v>
      </c>
      <c r="H24" s="685">
        <f>($F24-G24)/$F24</f>
        <v>0.41999999999999993</v>
      </c>
      <c r="I24" s="680">
        <f>Environment!D19</f>
        <v>3085054</v>
      </c>
      <c r="J24" s="689">
        <f>($F24-I24)/$F24</f>
        <v>7.7857366609993997E-2</v>
      </c>
      <c r="K24" s="680">
        <f>Environment!E19</f>
        <v>3258688</v>
      </c>
      <c r="L24" s="565">
        <f>($F24-K24)/$F24</f>
        <v>2.5957038769366152E-2</v>
      </c>
      <c r="M24" s="680">
        <f>Environment!F19</f>
        <v>3042748</v>
      </c>
      <c r="N24" s="565">
        <f>($F24-M24)/$F24</f>
        <v>9.0502904175364843E-2</v>
      </c>
      <c r="R24" s="486"/>
      <c r="S24" s="486"/>
      <c r="U24" s="486"/>
      <c r="V24" s="486"/>
      <c r="W24" s="486"/>
    </row>
    <row r="25" spans="2:23" ht="35.1" customHeight="1" x14ac:dyDescent="0.2">
      <c r="B25" s="562" t="s">
        <v>534</v>
      </c>
      <c r="C25" s="563" t="s">
        <v>463</v>
      </c>
      <c r="D25" s="567" t="s">
        <v>535</v>
      </c>
      <c r="E25" s="564" t="s">
        <v>434</v>
      </c>
      <c r="F25" s="668">
        <v>0.70099999999999996</v>
      </c>
      <c r="G25" s="686">
        <v>0.75</v>
      </c>
      <c r="H25" s="710"/>
      <c r="I25" s="681">
        <v>0.75929999999999997</v>
      </c>
      <c r="J25" s="710"/>
      <c r="K25" s="681">
        <v>0.6875</v>
      </c>
      <c r="L25" s="710"/>
      <c r="M25" s="681">
        <v>0.69199999999999995</v>
      </c>
      <c r="N25" s="710"/>
      <c r="R25" s="486"/>
      <c r="S25" s="486"/>
      <c r="U25" s="486"/>
      <c r="V25" s="486"/>
      <c r="W25" s="486"/>
    </row>
    <row r="26" spans="2:23" ht="35.1" customHeight="1" x14ac:dyDescent="0.2">
      <c r="B26" s="562" t="s">
        <v>489</v>
      </c>
      <c r="C26" s="563" t="s">
        <v>480</v>
      </c>
      <c r="D26" s="567" t="s">
        <v>536</v>
      </c>
      <c r="E26" s="564" t="s">
        <v>436</v>
      </c>
      <c r="F26" s="604">
        <f>Environment!I112</f>
        <v>42453</v>
      </c>
      <c r="G26" s="684">
        <f>F26*(1-0.5)</f>
        <v>21226.5</v>
      </c>
      <c r="H26" s="685">
        <f>($F26-G26)/$F26</f>
        <v>0.5</v>
      </c>
      <c r="I26" s="680">
        <f>Environment!D112</f>
        <v>37435</v>
      </c>
      <c r="J26" s="689">
        <f>($F26-I26)/$F26</f>
        <v>0.11820130497255789</v>
      </c>
      <c r="K26" s="680">
        <f>Environment!E112</f>
        <v>42296</v>
      </c>
      <c r="L26" s="690">
        <f>($F26-K26)/$F26</f>
        <v>3.6982074293925049E-3</v>
      </c>
      <c r="M26" s="680">
        <f>Environment!F112</f>
        <v>41823</v>
      </c>
      <c r="N26" s="565">
        <f>($F26-M26)/$F26</f>
        <v>1.4839940640237439E-2</v>
      </c>
      <c r="R26" s="486"/>
      <c r="S26" s="486"/>
      <c r="U26" s="486"/>
      <c r="V26" s="670"/>
      <c r="W26" s="486"/>
    </row>
    <row r="27" spans="2:23" ht="35.1" customHeight="1" x14ac:dyDescent="0.2">
      <c r="B27" s="566" t="s">
        <v>537</v>
      </c>
      <c r="C27" s="700" t="s">
        <v>538</v>
      </c>
      <c r="D27" s="703" t="s">
        <v>539</v>
      </c>
      <c r="E27" s="704" t="s">
        <v>436</v>
      </c>
      <c r="F27" s="711">
        <v>1</v>
      </c>
      <c r="G27" s="712">
        <v>0.3</v>
      </c>
      <c r="H27" s="710"/>
      <c r="I27" s="713">
        <f>-Environment!K104</f>
        <v>0.16597770888553484</v>
      </c>
      <c r="J27" s="710"/>
      <c r="K27" s="710"/>
      <c r="L27" s="710"/>
      <c r="M27" s="710"/>
      <c r="N27" s="710"/>
      <c r="R27" s="486"/>
      <c r="S27" s="486"/>
      <c r="U27" s="486"/>
      <c r="V27" s="486"/>
      <c r="W27" s="486"/>
    </row>
    <row r="28" spans="2:23" ht="35.1" customHeight="1" x14ac:dyDescent="0.2">
      <c r="B28" s="562" t="s">
        <v>540</v>
      </c>
      <c r="C28" s="563" t="s">
        <v>541</v>
      </c>
      <c r="D28" s="567" t="s">
        <v>542</v>
      </c>
      <c r="E28" s="564" t="s">
        <v>436</v>
      </c>
      <c r="F28" s="667">
        <f>'Health and Safety'!I23</f>
        <v>0.79</v>
      </c>
      <c r="G28" s="687">
        <v>0.25</v>
      </c>
      <c r="H28" s="685">
        <f>($F28-G28)/$F28</f>
        <v>0.68354430379746833</v>
      </c>
      <c r="I28" s="683">
        <f>'Health and Safety'!D23</f>
        <v>0.35717850817456592</v>
      </c>
      <c r="J28" s="689">
        <f>($F28-I28)/$F28</f>
        <v>0.54787530610814439</v>
      </c>
      <c r="K28" s="682">
        <f>'Health and Safety'!E23</f>
        <v>0.36</v>
      </c>
      <c r="L28" s="565">
        <f>($F28-K28)/$F28</f>
        <v>0.54430379746835444</v>
      </c>
      <c r="M28" s="682">
        <f>'Health and Safety'!F23</f>
        <v>0.47</v>
      </c>
      <c r="N28" s="565">
        <f>($F28-M28)/$F28</f>
        <v>0.40506329113924056</v>
      </c>
      <c r="R28" s="486"/>
      <c r="S28" s="486"/>
    </row>
    <row r="29" spans="2:23" ht="35.1" customHeight="1" x14ac:dyDescent="0.2">
      <c r="B29" s="562" t="s">
        <v>510</v>
      </c>
      <c r="C29" s="563" t="s">
        <v>511</v>
      </c>
      <c r="D29" s="567" t="s">
        <v>543</v>
      </c>
      <c r="E29" s="564" t="s">
        <v>436</v>
      </c>
      <c r="F29" s="667">
        <f>'Health and Safety'!I27</f>
        <v>1.1819999999999999</v>
      </c>
      <c r="G29" s="688">
        <v>0.4</v>
      </c>
      <c r="H29" s="685">
        <f>($F29-G29)/$F29</f>
        <v>0.66159052453468692</v>
      </c>
      <c r="I29" s="683">
        <f>'Health and Safety'!D27</f>
        <v>0.82</v>
      </c>
      <c r="J29" s="689">
        <f>($F29-I29)/$F29</f>
        <v>0.30626057529610828</v>
      </c>
      <c r="K29" s="683">
        <f>'Health and Safety'!E27</f>
        <v>0.88</v>
      </c>
      <c r="L29" s="565">
        <f>($F29-K29)/$F29</f>
        <v>0.25549915397631129</v>
      </c>
      <c r="M29" s="683">
        <f>'Health and Safety'!F27</f>
        <v>1.0149999999999999</v>
      </c>
      <c r="N29" s="565">
        <f>($F29-M29)/$F29</f>
        <v>0.14128595600676822</v>
      </c>
      <c r="R29" s="486"/>
      <c r="S29" s="486"/>
    </row>
    <row r="30" spans="2:23" ht="35.1" customHeight="1" x14ac:dyDescent="0.2">
      <c r="B30" s="562" t="s">
        <v>544</v>
      </c>
      <c r="C30" s="563"/>
      <c r="D30" s="567" t="s">
        <v>545</v>
      </c>
      <c r="E30" s="665"/>
      <c r="F30" s="666">
        <v>6.9</v>
      </c>
      <c r="G30" s="719">
        <v>8</v>
      </c>
      <c r="H30" s="685">
        <f>(G30-$F30)/$F30</f>
        <v>0.15942028985507239</v>
      </c>
      <c r="I30" s="682">
        <v>7.2</v>
      </c>
      <c r="J30" s="689">
        <f>(I30-$F30)/$F30</f>
        <v>4.3478260869565188E-2</v>
      </c>
      <c r="K30" s="682">
        <v>7.2</v>
      </c>
      <c r="L30" s="565">
        <f>(K30-$F30)/$F30</f>
        <v>4.3478260869565188E-2</v>
      </c>
      <c r="M30" s="682">
        <v>6.9</v>
      </c>
      <c r="N30" s="565">
        <f>(M30-$F30)/$F30</f>
        <v>0</v>
      </c>
      <c r="R30" s="486"/>
      <c r="S30" s="486"/>
    </row>
    <row r="31" spans="2:23" ht="35.1" customHeight="1" x14ac:dyDescent="0.2">
      <c r="B31" s="562" t="s">
        <v>546</v>
      </c>
      <c r="C31" s="563" t="s">
        <v>463</v>
      </c>
      <c r="D31" s="567" t="s">
        <v>547</v>
      </c>
      <c r="E31" s="564" t="s">
        <v>436</v>
      </c>
      <c r="F31" s="668">
        <v>0.3</v>
      </c>
      <c r="G31" s="686">
        <v>0.4</v>
      </c>
      <c r="H31" s="685">
        <f>(G31-$F31)/$F31</f>
        <v>0.33333333333333348</v>
      </c>
      <c r="I31" s="681">
        <f>People!S41</f>
        <v>0.32014176018901358</v>
      </c>
      <c r="J31" s="689">
        <f>(I31-$F31)/$F31</f>
        <v>6.7139200630045304E-2</v>
      </c>
      <c r="K31" s="681">
        <v>0.3</v>
      </c>
      <c r="L31" s="565">
        <f>(K31-$F31)/$F31</f>
        <v>0</v>
      </c>
      <c r="M31" s="681">
        <v>0.28000000000000003</v>
      </c>
      <c r="N31" s="565">
        <f>(M31-$F31)/$F31</f>
        <v>-6.6666666666666541E-2</v>
      </c>
      <c r="R31" s="486"/>
      <c r="S31" s="486"/>
    </row>
    <row r="34" spans="7:10" x14ac:dyDescent="0.2">
      <c r="G34" s="486"/>
      <c r="H34" s="486"/>
      <c r="I34" s="486"/>
      <c r="J34" s="486"/>
    </row>
    <row r="35" spans="7:10" x14ac:dyDescent="0.2">
      <c r="G35" s="671"/>
      <c r="H35" s="671"/>
      <c r="I35" s="671"/>
      <c r="J35" s="671"/>
    </row>
  </sheetData>
  <sheetProtection algorithmName="SHA-512" hashValue="Bx4ss0vafnxTfJsruu0PwticbNAFEUg69rGWWCOEqyV7OVFpnFB2rHocU/Cve+X8FdGxKrejtvjCYQwDzC4g/w==" saltValue="bMl00L4X1RbEqrcqLz4MaQ==" spinCount="100000" sheet="1" objects="1" scenarios="1"/>
  <phoneticPr fontId="3" type="noConversion"/>
  <conditionalFormatting sqref="H22:I22 H23:H31">
    <cfRule type="dataBar" priority="12">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24 J26 J28:J31">
    <cfRule type="dataBar" priority="6">
      <dataBar>
        <cfvo type="num" val="-0.2"/>
        <cfvo type="num" val="1"/>
        <color theme="3"/>
      </dataBar>
      <extLst>
        <ext xmlns:x14="http://schemas.microsoft.com/office/spreadsheetml/2009/9/main" uri="{B025F937-C7B1-47D3-B67F-A62EFF666E3E}">
          <x14:id>{2C5AA145-13B5-4360-99C8-E43383789861}</x14:id>
        </ext>
      </extLst>
    </cfRule>
  </conditionalFormatting>
  <conditionalFormatting sqref="J25">
    <cfRule type="dataBar" priority="4">
      <dataBar>
        <cfvo type="num" val="-0.2"/>
        <cfvo type="num" val="1"/>
        <color theme="3"/>
      </dataBar>
      <extLst>
        <ext xmlns:x14="http://schemas.microsoft.com/office/spreadsheetml/2009/9/main" uri="{B025F937-C7B1-47D3-B67F-A62EFF666E3E}">
          <x14:id>{718547B6-E346-4D3E-AAF8-6C3D7BB22866}</x14:id>
        </ext>
      </extLst>
    </cfRule>
  </conditionalFormatting>
  <conditionalFormatting sqref="J27:N27">
    <cfRule type="dataBar" priority="1">
      <dataBar>
        <cfvo type="num" val="-0.2"/>
        <cfvo type="num" val="1"/>
        <color theme="3"/>
      </dataBar>
      <extLst>
        <ext xmlns:x14="http://schemas.microsoft.com/office/spreadsheetml/2009/9/main" uri="{B025F937-C7B1-47D3-B67F-A62EFF666E3E}">
          <x14:id>{1331CC16-8C14-46EB-A956-9E85AB7FE433}</x14:id>
        </ext>
      </extLst>
    </cfRule>
  </conditionalFormatting>
  <conditionalFormatting sqref="L22:L24 L28:L31 L26">
    <cfRule type="dataBar" priority="8">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5">
    <cfRule type="dataBar" priority="3">
      <dataBar>
        <cfvo type="num" val="-0.2"/>
        <cfvo type="num" val="1"/>
        <color theme="3"/>
      </dataBar>
      <extLst>
        <ext xmlns:x14="http://schemas.microsoft.com/office/spreadsheetml/2009/9/main" uri="{B025F937-C7B1-47D3-B67F-A62EFF666E3E}">
          <x14:id>{8A1AB145-D545-4F49-848A-27AB219EC6A8}</x14:id>
        </ext>
      </extLst>
    </cfRule>
  </conditionalFormatting>
  <conditionalFormatting sqref="N22:N24 N28:N31 N26">
    <cfRule type="dataBar" priority="7">
      <dataBar>
        <cfvo type="num" val="-0.2"/>
        <cfvo type="num" val="1"/>
        <color theme="3"/>
      </dataBar>
      <extLst>
        <ext xmlns:x14="http://schemas.microsoft.com/office/spreadsheetml/2009/9/main" uri="{B025F937-C7B1-47D3-B67F-A62EFF666E3E}">
          <x14:id>{FB893C09-3A3D-41C5-9124-F5CCF1ED86F4}</x14:id>
        </ext>
      </extLst>
    </cfRule>
  </conditionalFormatting>
  <conditionalFormatting sqref="N25">
    <cfRule type="dataBar" priority="2">
      <dataBar>
        <cfvo type="num" val="-0.2"/>
        <cfvo type="num" val="1"/>
        <color theme="3"/>
      </dataBar>
      <extLst>
        <ext xmlns:x14="http://schemas.microsoft.com/office/spreadsheetml/2009/9/main" uri="{B025F937-C7B1-47D3-B67F-A62EFF666E3E}">
          <x14:id>{19932C11-F2B9-4A09-BC42-7A3E3636C421}</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K22 K26 M22:M24 M26 K24 K28:K29 M28:M29"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H22:I22 H23:H31</xm:sqref>
        </x14:conditionalFormatting>
        <x14:conditionalFormatting xmlns:xm="http://schemas.microsoft.com/office/excel/2006/main">
          <x14:cfRule type="dataBar" id="{2C5AA145-13B5-4360-99C8-E4338378986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J22:J24 J26 J28:J31</xm:sqref>
        </x14:conditionalFormatting>
        <x14:conditionalFormatting xmlns:xm="http://schemas.microsoft.com/office/excel/2006/main">
          <x14:cfRule type="dataBar" id="{718547B6-E346-4D3E-AAF8-6C3D7BB22866}">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J25</xm:sqref>
        </x14:conditionalFormatting>
        <x14:conditionalFormatting xmlns:xm="http://schemas.microsoft.com/office/excel/2006/main">
          <x14:cfRule type="dataBar" id="{1331CC16-8C14-46EB-A956-9E85AB7FE4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J27:N27</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L22:L24 L28:L31 L26</xm:sqref>
        </x14:conditionalFormatting>
        <x14:conditionalFormatting xmlns:xm="http://schemas.microsoft.com/office/excel/2006/main">
          <x14:cfRule type="dataBar" id="{8A1AB145-D545-4F49-848A-27AB219EC6A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L25</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N22:N24 N28:N31 N26</xm:sqref>
        </x14:conditionalFormatting>
        <x14:conditionalFormatting xmlns:xm="http://schemas.microsoft.com/office/excel/2006/main">
          <x14:cfRule type="dataBar" id="{19932C11-F2B9-4A09-BC42-7A3E3636C42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6D5E-D05B-4F16-8311-013CAAB58CEB}">
  <sheetPr codeName="Sheet17">
    <tabColor theme="6"/>
  </sheetPr>
  <dimension ref="B2:W42"/>
  <sheetViews>
    <sheetView zoomScale="80" zoomScaleNormal="80" workbookViewId="0">
      <selection sqref="A1:XFD1048576"/>
    </sheetView>
  </sheetViews>
  <sheetFormatPr defaultColWidth="8.77734375" defaultRowHeight="12.6" x14ac:dyDescent="0.2"/>
  <cols>
    <col min="1" max="1" width="6.44140625" style="3" customWidth="1"/>
    <col min="2" max="2" width="79.5546875" style="3" customWidth="1"/>
    <col min="3" max="3" width="12.88671875" style="3" customWidth="1"/>
    <col min="4" max="6" width="12.77734375" style="3" customWidth="1"/>
    <col min="7" max="7" width="14.21875" style="3" bestFit="1" customWidth="1"/>
    <col min="8" max="10" width="18.44140625" style="3" customWidth="1"/>
    <col min="11" max="14" width="15.21875" style="3" customWidth="1"/>
    <col min="15" max="15" width="12.77734375" style="3" customWidth="1"/>
    <col min="16" max="16" width="24.5546875" style="3" customWidth="1"/>
    <col min="17" max="17" width="25.5546875" style="3" customWidth="1"/>
    <col min="18" max="18" width="14.21875" style="3" customWidth="1"/>
    <col min="19" max="19" width="9.21875" style="3" customWidth="1"/>
    <col min="20" max="16384" width="8.77734375" style="3"/>
  </cols>
  <sheetData>
    <row r="2" spans="2:23" ht="43.35" customHeight="1" x14ac:dyDescent="0.2">
      <c r="B2" s="594" t="s">
        <v>21</v>
      </c>
      <c r="C2" s="483"/>
      <c r="D2" s="483"/>
      <c r="E2" s="483"/>
      <c r="G2" s="483"/>
      <c r="H2" s="483"/>
      <c r="I2" s="483"/>
      <c r="J2" s="483"/>
      <c r="K2" s="483"/>
      <c r="L2" s="483"/>
      <c r="M2" s="483"/>
      <c r="N2" s="483"/>
      <c r="O2" s="483"/>
      <c r="P2" s="483"/>
      <c r="Q2" s="483"/>
      <c r="R2" s="483"/>
      <c r="S2" s="483"/>
      <c r="T2" s="483"/>
      <c r="U2" s="483"/>
      <c r="V2" s="483"/>
      <c r="W2" s="483"/>
    </row>
    <row r="3" spans="2:23" ht="28.35" customHeight="1" x14ac:dyDescent="0.2">
      <c r="G3" s="484"/>
      <c r="H3" s="484"/>
      <c r="I3" s="484"/>
      <c r="J3" s="484"/>
      <c r="K3" s="484"/>
      <c r="L3" s="484"/>
      <c r="M3" s="484"/>
      <c r="N3" s="484"/>
      <c r="O3" s="484"/>
      <c r="P3" s="484"/>
      <c r="Q3" s="484"/>
      <c r="R3" s="484"/>
      <c r="S3" s="484"/>
    </row>
    <row r="4" spans="2:23" ht="18.600000000000001" customHeight="1" x14ac:dyDescent="0.2">
      <c r="F4" s="485"/>
      <c r="G4" s="484"/>
      <c r="H4" s="484"/>
      <c r="I4" s="484"/>
      <c r="J4" s="484"/>
      <c r="K4" s="484"/>
      <c r="L4" s="484"/>
      <c r="M4" s="484"/>
      <c r="N4" s="484"/>
      <c r="O4" s="484"/>
      <c r="P4" s="484"/>
      <c r="Q4" s="484"/>
      <c r="R4" s="484"/>
      <c r="S4" s="484"/>
    </row>
    <row r="5" spans="2:23" ht="18.600000000000001" customHeight="1" x14ac:dyDescent="0.2">
      <c r="B5" s="1575" t="s">
        <v>548</v>
      </c>
      <c r="C5" s="1575"/>
      <c r="D5" s="1575"/>
      <c r="E5" s="1575"/>
      <c r="F5" s="1575"/>
      <c r="G5" s="1575"/>
      <c r="H5" s="1575"/>
      <c r="I5" s="1575"/>
      <c r="J5" s="484"/>
      <c r="K5" s="484"/>
      <c r="L5" s="484"/>
      <c r="M5" s="484"/>
      <c r="N5" s="484"/>
      <c r="O5" s="484"/>
      <c r="P5" s="484"/>
      <c r="Q5" s="484"/>
      <c r="R5" s="484"/>
      <c r="S5" s="484"/>
    </row>
    <row r="7" spans="2:23" ht="13.8" x14ac:dyDescent="0.2">
      <c r="B7" s="1569" t="s">
        <v>549</v>
      </c>
      <c r="C7" s="1576" t="s">
        <v>430</v>
      </c>
      <c r="D7" s="745" t="s">
        <v>431</v>
      </c>
      <c r="E7" s="721" t="s">
        <v>432</v>
      </c>
      <c r="F7" s="721" t="s">
        <v>433</v>
      </c>
    </row>
    <row r="8" spans="2:23" ht="13.8" x14ac:dyDescent="0.2">
      <c r="B8" s="1569"/>
      <c r="C8" s="1576"/>
      <c r="D8" s="721" t="s">
        <v>438</v>
      </c>
      <c r="E8" s="721" t="s">
        <v>438</v>
      </c>
      <c r="F8" s="721" t="s">
        <v>438</v>
      </c>
    </row>
    <row r="9" spans="2:23" ht="16.2" x14ac:dyDescent="0.2">
      <c r="B9" s="534" t="s">
        <v>550</v>
      </c>
      <c r="C9" s="568" t="s">
        <v>463</v>
      </c>
      <c r="D9" s="746">
        <v>0.7</v>
      </c>
      <c r="E9" s="701">
        <v>0.73</v>
      </c>
      <c r="F9" s="701">
        <v>0.74</v>
      </c>
    </row>
    <row r="10" spans="2:23" ht="16.2" x14ac:dyDescent="0.2">
      <c r="B10" s="534" t="s">
        <v>551</v>
      </c>
      <c r="C10" s="568" t="s">
        <v>463</v>
      </c>
      <c r="D10" s="746">
        <v>0.01</v>
      </c>
      <c r="E10" s="701">
        <v>0.01</v>
      </c>
      <c r="F10" s="701">
        <v>0.01</v>
      </c>
    </row>
    <row r="11" spans="2:23" ht="16.2" x14ac:dyDescent="0.2">
      <c r="B11" s="534" t="s">
        <v>552</v>
      </c>
      <c r="C11" s="568" t="s">
        <v>463</v>
      </c>
      <c r="D11" s="746">
        <v>0.09</v>
      </c>
      <c r="E11" s="701">
        <v>0.08</v>
      </c>
      <c r="F11" s="701">
        <v>0.05</v>
      </c>
    </row>
    <row r="12" spans="2:23" ht="16.2" x14ac:dyDescent="0.2">
      <c r="B12" s="534" t="s">
        <v>553</v>
      </c>
      <c r="C12" s="568" t="s">
        <v>463</v>
      </c>
      <c r="D12" s="746">
        <v>0.02</v>
      </c>
      <c r="E12" s="701">
        <v>7.0000000000000007E-2</v>
      </c>
      <c r="F12" s="701">
        <v>7.0000000000000007E-2</v>
      </c>
      <c r="G12" s="714"/>
    </row>
    <row r="13" spans="2:23" ht="16.2" x14ac:dyDescent="0.2">
      <c r="B13" s="534" t="s">
        <v>554</v>
      </c>
      <c r="C13" s="568" t="s">
        <v>463</v>
      </c>
      <c r="D13" s="746">
        <v>0.18</v>
      </c>
      <c r="E13" s="701">
        <v>0.11</v>
      </c>
      <c r="F13" s="701">
        <v>0.13</v>
      </c>
    </row>
    <row r="14" spans="2:23" x14ac:dyDescent="0.2">
      <c r="D14" s="714"/>
      <c r="E14" s="714"/>
      <c r="F14" s="714"/>
    </row>
    <row r="15" spans="2:23" ht="13.8" x14ac:dyDescent="0.2">
      <c r="B15" s="1569" t="s">
        <v>555</v>
      </c>
      <c r="C15" s="1576" t="s">
        <v>430</v>
      </c>
      <c r="D15" s="745" t="s">
        <v>431</v>
      </c>
      <c r="E15" s="721" t="s">
        <v>432</v>
      </c>
      <c r="F15" s="721" t="s">
        <v>433</v>
      </c>
    </row>
    <row r="16" spans="2:23" ht="13.8" x14ac:dyDescent="0.2">
      <c r="B16" s="1569"/>
      <c r="C16" s="1576"/>
      <c r="D16" s="721" t="s">
        <v>438</v>
      </c>
      <c r="E16" s="721" t="s">
        <v>438</v>
      </c>
      <c r="F16" s="721" t="s">
        <v>438</v>
      </c>
    </row>
    <row r="17" spans="2:10" ht="16.2" x14ac:dyDescent="0.2">
      <c r="B17" s="534" t="s">
        <v>550</v>
      </c>
      <c r="C17" s="568" t="s">
        <v>463</v>
      </c>
      <c r="D17" s="746">
        <v>0.55249999999999999</v>
      </c>
      <c r="E17" s="701">
        <v>0.57999999999999996</v>
      </c>
      <c r="F17" s="701">
        <v>0.6</v>
      </c>
    </row>
    <row r="18" spans="2:10" ht="16.2" x14ac:dyDescent="0.2">
      <c r="B18" s="534" t="s">
        <v>551</v>
      </c>
      <c r="C18" s="568" t="s">
        <v>463</v>
      </c>
      <c r="D18" s="746">
        <v>5.21E-2</v>
      </c>
      <c r="E18" s="701">
        <v>7.0000000000000007E-2</v>
      </c>
      <c r="F18" s="701">
        <v>7.0000000000000007E-2</v>
      </c>
      <c r="J18" s="708"/>
    </row>
    <row r="19" spans="2:10" ht="16.2" x14ac:dyDescent="0.2">
      <c r="B19" s="534" t="s">
        <v>552</v>
      </c>
      <c r="C19" s="568" t="s">
        <v>463</v>
      </c>
      <c r="D19" s="746">
        <v>0.1288</v>
      </c>
      <c r="E19" s="701">
        <v>0.11</v>
      </c>
      <c r="F19" s="701">
        <v>0.08</v>
      </c>
    </row>
    <row r="20" spans="2:10" ht="16.2" x14ac:dyDescent="0.2">
      <c r="B20" s="534" t="s">
        <v>553</v>
      </c>
      <c r="C20" s="568" t="s">
        <v>463</v>
      </c>
      <c r="D20" s="746">
        <v>0.13289999999999999</v>
      </c>
      <c r="E20" s="701">
        <v>0.16</v>
      </c>
      <c r="F20" s="701">
        <v>0.16</v>
      </c>
      <c r="G20" s="714"/>
      <c r="H20" s="714"/>
    </row>
    <row r="21" spans="2:10" ht="16.2" x14ac:dyDescent="0.2">
      <c r="B21" s="534" t="s">
        <v>554</v>
      </c>
      <c r="C21" s="568" t="s">
        <v>463</v>
      </c>
      <c r="D21" s="746">
        <v>0.1336</v>
      </c>
      <c r="E21" s="701">
        <v>0.08</v>
      </c>
      <c r="F21" s="701">
        <v>0.09</v>
      </c>
    </row>
    <row r="22" spans="2:10" x14ac:dyDescent="0.2">
      <c r="D22" s="714"/>
      <c r="E22" s="714"/>
      <c r="F22" s="714"/>
      <c r="G22" s="486"/>
      <c r="H22" s="486"/>
      <c r="I22" s="486"/>
      <c r="J22" s="486"/>
    </row>
    <row r="23" spans="2:10" x14ac:dyDescent="0.2">
      <c r="D23" s="741"/>
      <c r="G23" s="671"/>
      <c r="H23" s="671"/>
      <c r="I23" s="671"/>
      <c r="J23" s="671"/>
    </row>
    <row r="42" spans="2:7" x14ac:dyDescent="0.2">
      <c r="B42" s="702" t="str">
        <f>"Total sales from products contibuting to priority UN SDGs = "&amp;ROUND(SUM(D9:D12),2)*100&amp;"%"</f>
        <v>Total sales from products contibuting to priority UN SDGs = 82%</v>
      </c>
      <c r="C42" s="702" t="str">
        <f>"Total R&amp;D spend contibuting to priority UN SDGs = "&amp;ROUND(SUM(D17:D20),2)*100&amp;"%"</f>
        <v>Total R&amp;D spend contibuting to priority UN SDGs = 87%</v>
      </c>
      <c r="D42" s="487"/>
      <c r="E42" s="487"/>
      <c r="F42" s="487"/>
      <c r="G42" s="487"/>
    </row>
  </sheetData>
  <sheetProtection algorithmName="SHA-512" hashValue="aZ8lSi12SK2Xx4ZZ5JR+AE8UveDnaABxpMPtEn2s1Bw0q6RX2Aq5R2+mepG2tHCmFI1yDofLFRlov6psNWeGgA==" saltValue="6hyaDSbezX9ZxNowRJddxQ==" spinCount="100000" sheet="1" objects="1" scenarios="1"/>
  <mergeCells count="5">
    <mergeCell ref="B5:I5"/>
    <mergeCell ref="B7:B8"/>
    <mergeCell ref="C7:C8"/>
    <mergeCell ref="B15:B16"/>
    <mergeCell ref="C15:C1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codeName="Sheet18">
    <tabColor theme="6"/>
    <pageSetUpPr fitToPage="1"/>
  </sheetPr>
  <dimension ref="A1:S180"/>
  <sheetViews>
    <sheetView zoomScale="80" zoomScaleNormal="80" workbookViewId="0"/>
  </sheetViews>
  <sheetFormatPr defaultColWidth="8.77734375" defaultRowHeight="13.5" customHeight="1" x14ac:dyDescent="0.3"/>
  <cols>
    <col min="1" max="1" width="5.21875" style="58" customWidth="1"/>
    <col min="2" max="2" width="99.77734375" style="58" customWidth="1"/>
    <col min="3" max="3" width="27.88671875" style="91" customWidth="1"/>
    <col min="4" max="4" width="24.77734375" style="91" customWidth="1"/>
    <col min="5" max="5" width="24.21875" style="58" customWidth="1"/>
    <col min="6" max="6" width="21" style="58" bestFit="1" customWidth="1"/>
    <col min="7" max="8" width="21.77734375" style="58" bestFit="1" customWidth="1"/>
    <col min="9" max="9" width="21.44140625" style="58" customWidth="1"/>
    <col min="10" max="10" width="22.77734375" style="58" customWidth="1"/>
    <col min="11" max="11" width="20.77734375" style="58" customWidth="1"/>
    <col min="12" max="12" width="20.21875" style="58" customWidth="1"/>
    <col min="13" max="13" width="15.5546875" style="58" bestFit="1" customWidth="1"/>
    <col min="14" max="16" width="15.21875" style="58" bestFit="1" customWidth="1"/>
    <col min="17" max="17" width="12" style="58" customWidth="1"/>
    <col min="18" max="18" width="8.77734375" style="58" bestFit="1"/>
    <col min="19" max="16384" width="8.77734375" style="58"/>
  </cols>
  <sheetData>
    <row r="1" spans="1:18" ht="13.8" x14ac:dyDescent="0.3"/>
    <row r="2" spans="1:18" ht="54" customHeight="1" x14ac:dyDescent="0.3">
      <c r="A2" s="357"/>
      <c r="B2" s="967" t="s">
        <v>31</v>
      </c>
      <c r="C2" s="967"/>
      <c r="D2" s="967"/>
      <c r="E2" s="967"/>
      <c r="F2" s="967"/>
      <c r="G2" s="967"/>
      <c r="H2" s="967"/>
      <c r="I2" s="967"/>
      <c r="J2" s="967"/>
      <c r="K2" s="967"/>
      <c r="L2" s="967"/>
      <c r="M2" s="967"/>
      <c r="N2" s="967"/>
      <c r="O2" s="4"/>
      <c r="P2" s="100"/>
      <c r="Q2" s="100"/>
      <c r="R2" s="101"/>
    </row>
    <row r="3" spans="1:18" ht="40.799999999999997" customHeight="1" x14ac:dyDescent="0.3">
      <c r="B3" s="102"/>
      <c r="C3" s="103"/>
      <c r="D3" s="103"/>
      <c r="E3" s="102"/>
      <c r="F3" s="967"/>
      <c r="G3" s="102"/>
      <c r="H3" s="104"/>
      <c r="I3" s="104"/>
      <c r="J3" s="104"/>
      <c r="K3" s="104"/>
      <c r="L3" s="104"/>
      <c r="M3" s="104"/>
      <c r="N3" s="104"/>
      <c r="O3" s="104"/>
      <c r="P3" s="104"/>
      <c r="Q3" s="104"/>
      <c r="R3" s="101"/>
    </row>
    <row r="4" spans="1:18" ht="19.8" x14ac:dyDescent="0.3">
      <c r="B4" s="1577" t="s">
        <v>1443</v>
      </c>
      <c r="C4" s="1577"/>
      <c r="D4" s="1577"/>
      <c r="E4" s="1577"/>
      <c r="F4" s="1577"/>
      <c r="G4" s="102"/>
      <c r="H4" s="104"/>
      <c r="I4" s="104"/>
      <c r="J4" s="104"/>
      <c r="K4" s="104"/>
      <c r="L4" s="104"/>
      <c r="M4" s="104"/>
      <c r="N4" s="104"/>
      <c r="O4" s="104"/>
      <c r="P4" s="104"/>
      <c r="Q4" s="104"/>
      <c r="R4" s="101"/>
    </row>
    <row r="5" spans="1:18" ht="45" customHeight="1" x14ac:dyDescent="0.3">
      <c r="B5" s="1578" t="s">
        <v>1442</v>
      </c>
      <c r="C5" s="1578"/>
      <c r="D5" s="1578"/>
      <c r="E5" s="1578"/>
      <c r="F5" s="1578"/>
      <c r="G5" s="1578"/>
      <c r="H5" s="1578"/>
      <c r="I5" s="1578"/>
      <c r="J5" s="742"/>
      <c r="K5" s="742"/>
      <c r="L5"/>
      <c r="M5" s="101"/>
      <c r="N5" s="356"/>
      <c r="O5" s="101"/>
      <c r="P5" s="113"/>
      <c r="Q5" s="101"/>
      <c r="R5" s="101"/>
    </row>
    <row r="6" spans="1:18" ht="16.2" x14ac:dyDescent="0.3">
      <c r="B6" s="17"/>
      <c r="C6" s="98"/>
      <c r="D6" s="98"/>
      <c r="E6" s="17"/>
      <c r="F6" s="17"/>
      <c r="G6" s="17"/>
      <c r="H6" s="18"/>
      <c r="I6" s="18"/>
      <c r="J6" s="18"/>
      <c r="K6" s="742"/>
      <c r="L6" s="101"/>
      <c r="M6" s="101"/>
      <c r="N6" s="101"/>
      <c r="O6" s="101"/>
      <c r="P6" s="968"/>
      <c r="Q6" s="101"/>
      <c r="R6" s="101"/>
    </row>
    <row r="7" spans="1:18" ht="19.8" x14ac:dyDescent="0.3">
      <c r="B7" s="969" t="s">
        <v>556</v>
      </c>
      <c r="C7" s="970"/>
      <c r="D7" s="970"/>
      <c r="E7" s="971"/>
      <c r="F7" s="971"/>
      <c r="G7" s="971"/>
      <c r="H7" s="972"/>
      <c r="I7" s="972"/>
      <c r="J7" s="972"/>
      <c r="K7" s="972"/>
      <c r="L7" s="101"/>
      <c r="M7" s="101"/>
      <c r="N7" s="101"/>
      <c r="O7" s="101"/>
      <c r="P7" s="968"/>
      <c r="Q7" s="101"/>
      <c r="R7" s="101"/>
    </row>
    <row r="8" spans="1:18" ht="19.8" x14ac:dyDescent="0.3">
      <c r="B8" s="973"/>
      <c r="C8" s="974"/>
      <c r="D8" s="975"/>
      <c r="E8" s="976"/>
      <c r="F8" s="977"/>
      <c r="G8" s="977"/>
      <c r="H8" s="978"/>
      <c r="I8" s="978"/>
      <c r="J8" s="978"/>
      <c r="K8" s="979"/>
      <c r="L8" s="115"/>
      <c r="M8" s="115"/>
      <c r="N8" s="115"/>
      <c r="O8" s="115"/>
      <c r="P8" s="968"/>
      <c r="Q8" s="115"/>
      <c r="R8" s="115"/>
    </row>
    <row r="9" spans="1:18" ht="39.6" customHeight="1" x14ac:dyDescent="0.3">
      <c r="B9" s="1580" t="s">
        <v>429</v>
      </c>
      <c r="C9" s="1581" t="s">
        <v>430</v>
      </c>
      <c r="D9" s="981" t="s">
        <v>431</v>
      </c>
      <c r="E9" s="982" t="s">
        <v>432</v>
      </c>
      <c r="F9" s="982" t="s">
        <v>433</v>
      </c>
      <c r="G9" s="982" t="s">
        <v>434</v>
      </c>
      <c r="H9" s="982" t="s">
        <v>435</v>
      </c>
      <c r="I9" s="982" t="s">
        <v>436</v>
      </c>
      <c r="J9" s="983" t="s">
        <v>557</v>
      </c>
      <c r="K9" s="983" t="s">
        <v>558</v>
      </c>
      <c r="L9" s="742"/>
      <c r="M9" s="101"/>
      <c r="N9" s="101"/>
      <c r="O9" s="101"/>
      <c r="P9" s="968"/>
      <c r="Q9" s="101"/>
    </row>
    <row r="10" spans="1:18" ht="13.8" x14ac:dyDescent="0.3">
      <c r="B10" s="1580"/>
      <c r="C10" s="1581"/>
      <c r="D10" s="982" t="s">
        <v>438</v>
      </c>
      <c r="E10" s="982" t="s">
        <v>438</v>
      </c>
      <c r="F10" s="982" t="s">
        <v>438</v>
      </c>
      <c r="G10" s="982" t="s">
        <v>438</v>
      </c>
      <c r="H10" s="982" t="s">
        <v>438</v>
      </c>
      <c r="I10" s="982" t="s">
        <v>438</v>
      </c>
      <c r="J10" s="984" t="s">
        <v>438</v>
      </c>
      <c r="K10" s="984" t="s">
        <v>438</v>
      </c>
      <c r="L10" s="101"/>
      <c r="M10" s="101"/>
      <c r="N10" s="101"/>
      <c r="O10" s="101"/>
      <c r="P10" s="968"/>
      <c r="Q10" s="101"/>
    </row>
    <row r="11" spans="1:18" ht="18" customHeight="1" x14ac:dyDescent="0.3">
      <c r="B11" s="534" t="s">
        <v>368</v>
      </c>
      <c r="C11" s="568" t="s">
        <v>441</v>
      </c>
      <c r="D11" s="985">
        <v>225330</v>
      </c>
      <c r="E11" s="535">
        <v>215647</v>
      </c>
      <c r="F11" s="535">
        <v>215166</v>
      </c>
      <c r="G11" s="535">
        <v>226341</v>
      </c>
      <c r="H11" s="535">
        <v>229150</v>
      </c>
      <c r="I11" s="535">
        <v>227933</v>
      </c>
      <c r="J11" s="986">
        <f t="shared" ref="J11:J15" si="0">(D11-E11)/E11</f>
        <v>4.4902085352450993E-2</v>
      </c>
      <c r="K11" s="987">
        <f t="shared" ref="K11:K16" si="1">(D11-I11)/I11</f>
        <v>-1.1420022550486327E-2</v>
      </c>
      <c r="L11" s="101"/>
      <c r="M11" s="101"/>
      <c r="N11" s="101"/>
      <c r="O11" s="101"/>
      <c r="P11" s="113"/>
      <c r="Q11" s="101"/>
    </row>
    <row r="12" spans="1:18" ht="18" customHeight="1" x14ac:dyDescent="0.3">
      <c r="B12" s="534" t="s">
        <v>370</v>
      </c>
      <c r="C12" s="568" t="s">
        <v>441</v>
      </c>
      <c r="D12" s="988">
        <v>21204</v>
      </c>
      <c r="E12" s="535">
        <v>66265</v>
      </c>
      <c r="F12" s="535">
        <v>128768</v>
      </c>
      <c r="G12" s="535">
        <v>167772</v>
      </c>
      <c r="H12" s="535">
        <v>165830</v>
      </c>
      <c r="I12" s="535">
        <v>176107</v>
      </c>
      <c r="J12" s="986">
        <f t="shared" si="0"/>
        <v>-0.68001207273824793</v>
      </c>
      <c r="K12" s="987">
        <f t="shared" si="1"/>
        <v>-0.87959592747590953</v>
      </c>
      <c r="L12" s="101"/>
      <c r="M12" s="101"/>
      <c r="N12" s="101"/>
      <c r="O12" s="101"/>
      <c r="P12" s="113"/>
      <c r="Q12" s="101"/>
    </row>
    <row r="13" spans="1:18" ht="18" customHeight="1" x14ac:dyDescent="0.3">
      <c r="B13" s="534" t="s">
        <v>442</v>
      </c>
      <c r="C13" s="568" t="s">
        <v>441</v>
      </c>
      <c r="D13" s="988">
        <v>178481</v>
      </c>
      <c r="E13" s="535">
        <v>195176</v>
      </c>
      <c r="F13" s="535">
        <v>202348</v>
      </c>
      <c r="G13" s="535">
        <v>223643</v>
      </c>
      <c r="H13" s="535">
        <v>205943</v>
      </c>
      <c r="I13" s="535">
        <v>227469</v>
      </c>
      <c r="J13" s="986">
        <f t="shared" si="0"/>
        <v>-8.5538180923884086E-2</v>
      </c>
      <c r="K13" s="987">
        <f t="shared" si="1"/>
        <v>-0.21536121405554162</v>
      </c>
      <c r="L13" s="101"/>
      <c r="M13" s="101"/>
      <c r="N13" s="101"/>
      <c r="O13" s="101"/>
      <c r="P13" s="113"/>
      <c r="Q13" s="101"/>
    </row>
    <row r="14" spans="1:18" ht="18" customHeight="1" x14ac:dyDescent="0.3">
      <c r="B14" s="536" t="s">
        <v>460</v>
      </c>
      <c r="C14" s="569" t="s">
        <v>444</v>
      </c>
      <c r="D14" s="988">
        <v>246533</v>
      </c>
      <c r="E14" s="989">
        <v>281912</v>
      </c>
      <c r="F14" s="989">
        <v>343933</v>
      </c>
      <c r="G14" s="989">
        <v>394113</v>
      </c>
      <c r="H14" s="989">
        <v>394980</v>
      </c>
      <c r="I14" s="989">
        <v>404040</v>
      </c>
      <c r="J14" s="986">
        <f t="shared" si="0"/>
        <v>-0.12549660887085332</v>
      </c>
      <c r="K14" s="987">
        <f t="shared" si="1"/>
        <v>-0.38983021483021485</v>
      </c>
      <c r="M14" s="990"/>
      <c r="N14" s="991"/>
      <c r="O14" s="992"/>
      <c r="Q14" s="101"/>
    </row>
    <row r="15" spans="1:18" ht="18" customHeight="1" x14ac:dyDescent="0.3">
      <c r="B15" s="534" t="s">
        <v>1289</v>
      </c>
      <c r="C15" s="568" t="s">
        <v>441</v>
      </c>
      <c r="D15" s="988">
        <v>403811</v>
      </c>
      <c r="E15" s="535">
        <v>410823</v>
      </c>
      <c r="F15" s="535">
        <v>417514</v>
      </c>
      <c r="G15" s="535">
        <v>449984</v>
      </c>
      <c r="H15" s="535">
        <v>435092</v>
      </c>
      <c r="I15" s="535">
        <v>455402</v>
      </c>
      <c r="J15" s="986">
        <f t="shared" si="0"/>
        <v>-1.7068177779725087E-2</v>
      </c>
      <c r="K15" s="987">
        <f t="shared" si="1"/>
        <v>-0.11328672250012077</v>
      </c>
      <c r="M15" s="990"/>
      <c r="N15" s="991"/>
      <c r="O15" s="990"/>
      <c r="P15" s="993"/>
      <c r="Q15" s="101"/>
    </row>
    <row r="16" spans="1:18" ht="31.5" customHeight="1" x14ac:dyDescent="0.3">
      <c r="B16" s="536" t="s">
        <v>446</v>
      </c>
      <c r="C16" s="994" t="s">
        <v>447</v>
      </c>
      <c r="D16" s="662">
        <f>D14/97876</f>
        <v>2.5188299480975931</v>
      </c>
      <c r="E16" s="995">
        <f>E14/104994</f>
        <v>2.6850296207402327</v>
      </c>
      <c r="F16" s="995">
        <f>F14/103566</f>
        <v>3.3209064750980053</v>
      </c>
      <c r="G16" s="995">
        <f>G14/105896</f>
        <v>3.7216986477298484</v>
      </c>
      <c r="H16" s="995">
        <f>H14/102204</f>
        <v>3.8646236937888929</v>
      </c>
      <c r="I16" s="995">
        <f>404040/108710</f>
        <v>3.716677398583387</v>
      </c>
      <c r="J16" s="996">
        <f>(D16-E16)/E16</f>
        <v>-6.1898636558363251E-2</v>
      </c>
      <c r="K16" s="987">
        <f t="shared" si="1"/>
        <v>-0.32228986323708209</v>
      </c>
      <c r="M16" s="101"/>
      <c r="P16" s="101"/>
      <c r="Q16" s="101"/>
    </row>
    <row r="17" spans="2:18" ht="13.8" x14ac:dyDescent="0.3">
      <c r="B17" s="114"/>
      <c r="C17" s="997"/>
      <c r="D17" s="481"/>
      <c r="E17" s="998"/>
      <c r="F17" s="999"/>
      <c r="G17" s="481"/>
      <c r="H17" s="481"/>
      <c r="I17" s="117"/>
      <c r="J17" s="117"/>
      <c r="K17" s="117"/>
      <c r="M17" s="1000"/>
      <c r="N17" s="1001"/>
      <c r="P17" s="101"/>
      <c r="Q17" s="101"/>
      <c r="R17" s="101"/>
    </row>
    <row r="18" spans="2:18" ht="41.55" customHeight="1" x14ac:dyDescent="0.3">
      <c r="B18" s="1002" t="s">
        <v>559</v>
      </c>
      <c r="C18" s="980" t="s">
        <v>430</v>
      </c>
      <c r="D18" s="981" t="s">
        <v>431</v>
      </c>
      <c r="E18" s="982" t="s">
        <v>432</v>
      </c>
      <c r="F18" s="982" t="s">
        <v>433</v>
      </c>
      <c r="G18" s="982" t="s">
        <v>434</v>
      </c>
      <c r="H18" s="982" t="s">
        <v>435</v>
      </c>
      <c r="I18" s="982" t="s">
        <v>436</v>
      </c>
      <c r="J18" s="1003" t="s">
        <v>557</v>
      </c>
      <c r="K18" s="1003" t="s">
        <v>558</v>
      </c>
      <c r="M18" s="1000"/>
      <c r="N18" s="101"/>
      <c r="O18" s="101"/>
      <c r="P18" s="101"/>
      <c r="Q18" s="101"/>
      <c r="R18" s="101"/>
    </row>
    <row r="19" spans="2:18" ht="18.600000000000001" x14ac:dyDescent="0.3">
      <c r="B19" s="1004" t="s">
        <v>560</v>
      </c>
      <c r="C19" s="1004" t="s">
        <v>561</v>
      </c>
      <c r="D19" s="1005">
        <v>3085054</v>
      </c>
      <c r="E19" s="1006">
        <v>3258688</v>
      </c>
      <c r="F19" s="1006">
        <v>3042748</v>
      </c>
      <c r="G19" s="1007">
        <v>2950358</v>
      </c>
      <c r="H19" s="1007">
        <v>2994379</v>
      </c>
      <c r="I19" s="1007">
        <v>3345528</v>
      </c>
      <c r="J19" s="1008">
        <f t="shared" ref="J19:J26" si="2">(D19-E19)/E19</f>
        <v>-5.3283407309935776E-2</v>
      </c>
      <c r="K19" s="1008">
        <f t="shared" ref="K19:K26" si="3">(D19-I19)/I19</f>
        <v>-7.7857366609993997E-2</v>
      </c>
      <c r="L19" s="1009"/>
      <c r="M19" s="1000"/>
      <c r="N19" s="101"/>
      <c r="O19" s="101"/>
      <c r="P19" s="101"/>
      <c r="Q19" s="101"/>
      <c r="R19" s="101"/>
    </row>
    <row r="20" spans="2:18" ht="18.600000000000001" x14ac:dyDescent="0.3">
      <c r="B20" s="1004" t="s">
        <v>562</v>
      </c>
      <c r="C20" s="1004" t="s">
        <v>561</v>
      </c>
      <c r="D20" s="1005">
        <v>110988</v>
      </c>
      <c r="E20" s="1006">
        <v>174532</v>
      </c>
      <c r="F20" s="1006">
        <v>172064</v>
      </c>
      <c r="G20" s="1007">
        <v>152744</v>
      </c>
      <c r="H20" s="1007">
        <v>218941</v>
      </c>
      <c r="I20" s="1007">
        <v>347715</v>
      </c>
      <c r="J20" s="1008">
        <f t="shared" si="2"/>
        <v>-0.36408223133866568</v>
      </c>
      <c r="K20" s="1008">
        <f t="shared" si="3"/>
        <v>-0.68080755791380876</v>
      </c>
      <c r="M20" s="1000"/>
      <c r="N20" s="101"/>
      <c r="O20" s="101"/>
      <c r="P20" s="101"/>
      <c r="Q20" s="101"/>
      <c r="R20" s="101"/>
    </row>
    <row r="21" spans="2:18" ht="18.600000000000001" x14ac:dyDescent="0.3">
      <c r="B21" s="1004" t="s">
        <v>563</v>
      </c>
      <c r="C21" s="1004" t="s">
        <v>561</v>
      </c>
      <c r="D21" s="1005">
        <v>35476</v>
      </c>
      <c r="E21" s="1007">
        <v>38617</v>
      </c>
      <c r="F21" s="1007">
        <v>42099</v>
      </c>
      <c r="G21" s="1007">
        <v>45803</v>
      </c>
      <c r="H21" s="1007">
        <v>38114</v>
      </c>
      <c r="I21" s="1007">
        <v>39605</v>
      </c>
      <c r="J21" s="1008">
        <f t="shared" si="2"/>
        <v>-8.133723489654815E-2</v>
      </c>
      <c r="K21" s="1008">
        <f t="shared" si="3"/>
        <v>-0.10425451331902537</v>
      </c>
      <c r="M21" s="1000"/>
      <c r="N21" s="101"/>
      <c r="O21" s="1010"/>
      <c r="P21" s="101"/>
      <c r="Q21" s="101"/>
      <c r="R21" s="101"/>
    </row>
    <row r="22" spans="2:18" ht="18.600000000000001" x14ac:dyDescent="0.3">
      <c r="B22" s="1004" t="s">
        <v>564</v>
      </c>
      <c r="C22" s="1004" t="s">
        <v>561</v>
      </c>
      <c r="D22" s="1005">
        <v>43583.403535995269</v>
      </c>
      <c r="E22" s="1007">
        <v>81707</v>
      </c>
      <c r="F22" s="1007">
        <v>96589</v>
      </c>
      <c r="G22" s="1007">
        <v>120343</v>
      </c>
      <c r="H22" s="1007">
        <v>94348</v>
      </c>
      <c r="I22" s="1007">
        <v>97424</v>
      </c>
      <c r="J22" s="1008">
        <f t="shared" si="2"/>
        <v>-0.46658911065153208</v>
      </c>
      <c r="K22" s="1008">
        <f t="shared" si="3"/>
        <v>-0.5526420231565603</v>
      </c>
      <c r="M22" s="1000"/>
      <c r="N22" s="1011"/>
      <c r="O22" s="101"/>
      <c r="P22" s="101"/>
      <c r="Q22" s="101"/>
      <c r="R22" s="101"/>
    </row>
    <row r="23" spans="2:18" ht="18.600000000000001" x14ac:dyDescent="0.3">
      <c r="B23" s="1004" t="s">
        <v>565</v>
      </c>
      <c r="C23" s="1004" t="s">
        <v>561</v>
      </c>
      <c r="D23" s="1005">
        <v>2870</v>
      </c>
      <c r="E23" s="1007">
        <v>3780</v>
      </c>
      <c r="F23" s="1007">
        <v>3922</v>
      </c>
      <c r="G23" s="1007">
        <v>5236</v>
      </c>
      <c r="H23" s="1007">
        <v>4647</v>
      </c>
      <c r="I23" s="1007">
        <v>3351</v>
      </c>
      <c r="J23" s="1008">
        <f t="shared" si="2"/>
        <v>-0.24074074074074073</v>
      </c>
      <c r="K23" s="1008">
        <f t="shared" si="3"/>
        <v>-0.14353924201730828</v>
      </c>
      <c r="M23" s="1000"/>
      <c r="N23" s="1011"/>
      <c r="O23" s="101"/>
      <c r="P23" s="101"/>
      <c r="Q23" s="101"/>
      <c r="R23" s="101"/>
    </row>
    <row r="24" spans="2:18" ht="18.600000000000001" x14ac:dyDescent="0.3">
      <c r="B24" s="1004" t="s">
        <v>566</v>
      </c>
      <c r="C24" s="1004" t="s">
        <v>561</v>
      </c>
      <c r="D24" s="1005">
        <v>12779.970138156714</v>
      </c>
      <c r="E24" s="1007">
        <v>9235.9</v>
      </c>
      <c r="F24" s="1007">
        <v>7670.9333333333307</v>
      </c>
      <c r="G24" s="1007">
        <v>1925</v>
      </c>
      <c r="H24" s="1007">
        <v>439</v>
      </c>
      <c r="I24" s="1007">
        <v>14006</v>
      </c>
      <c r="J24" s="1008">
        <f t="shared" si="2"/>
        <v>0.3837276430187328</v>
      </c>
      <c r="K24" s="1008">
        <f t="shared" si="3"/>
        <v>-8.753604611190105E-2</v>
      </c>
      <c r="M24" s="1000"/>
      <c r="N24" s="1011"/>
      <c r="O24" s="101"/>
      <c r="P24" s="101"/>
      <c r="Q24" s="101"/>
      <c r="R24" s="101"/>
    </row>
    <row r="25" spans="2:18" ht="18.600000000000001" x14ac:dyDescent="0.3">
      <c r="B25" s="1004" t="s">
        <v>567</v>
      </c>
      <c r="C25" s="1004" t="s">
        <v>561</v>
      </c>
      <c r="D25" s="1005">
        <v>13381</v>
      </c>
      <c r="E25" s="1007">
        <v>14936</v>
      </c>
      <c r="F25" s="1007">
        <v>13627</v>
      </c>
      <c r="G25" s="1007">
        <v>13517.48</v>
      </c>
      <c r="H25" s="1007">
        <v>15718</v>
      </c>
      <c r="I25" s="1007">
        <v>25763.02</v>
      </c>
      <c r="J25" s="1008">
        <f t="shared" si="2"/>
        <v>-0.10411087305838243</v>
      </c>
      <c r="K25" s="1008">
        <f t="shared" si="3"/>
        <v>-0.4806121332048805</v>
      </c>
      <c r="M25" s="1000"/>
      <c r="N25" s="1011"/>
      <c r="O25" s="101"/>
      <c r="P25" s="101"/>
      <c r="Q25" s="101"/>
      <c r="R25" s="101"/>
    </row>
    <row r="26" spans="2:18" ht="18.600000000000001" x14ac:dyDescent="0.3">
      <c r="B26" s="1004" t="s">
        <v>568</v>
      </c>
      <c r="C26" s="1004" t="s">
        <v>561</v>
      </c>
      <c r="D26" s="1005">
        <v>13115.002467463355</v>
      </c>
      <c r="E26" s="1012">
        <v>12889.588388161046</v>
      </c>
      <c r="F26" s="1012">
        <v>12264.738455127888</v>
      </c>
      <c r="G26" s="1012">
        <v>11595.828985289012</v>
      </c>
      <c r="H26" s="1012">
        <v>11176.611380432463</v>
      </c>
      <c r="I26" s="1012">
        <v>10761.94394134824</v>
      </c>
      <c r="J26" s="1008">
        <f t="shared" si="2"/>
        <v>1.7488074290203819E-2</v>
      </c>
      <c r="K26" s="1008">
        <f t="shared" si="3"/>
        <v>0.21864623519125373</v>
      </c>
      <c r="M26" s="1000"/>
      <c r="N26" s="101"/>
      <c r="O26" s="101"/>
      <c r="P26" s="101"/>
      <c r="Q26" s="101"/>
      <c r="R26" s="101"/>
    </row>
    <row r="27" spans="2:18" ht="32.4" x14ac:dyDescent="0.3">
      <c r="B27" s="1004" t="s">
        <v>569</v>
      </c>
      <c r="C27" s="1004" t="s">
        <v>561</v>
      </c>
      <c r="D27" s="1005">
        <v>15175</v>
      </c>
      <c r="E27" s="1007">
        <v>0</v>
      </c>
      <c r="F27" s="1007">
        <v>0</v>
      </c>
      <c r="G27" s="1007">
        <v>0</v>
      </c>
      <c r="H27" s="1007">
        <v>0</v>
      </c>
      <c r="I27" s="1007">
        <v>0</v>
      </c>
      <c r="J27" s="1008"/>
      <c r="K27" s="1008"/>
      <c r="M27" s="1000"/>
      <c r="N27" s="101"/>
      <c r="O27" s="101"/>
      <c r="P27" s="101"/>
      <c r="Q27" s="101"/>
      <c r="R27" s="101"/>
    </row>
    <row r="28" spans="2:18" ht="18.600000000000001" x14ac:dyDescent="0.3">
      <c r="B28" s="1004" t="s">
        <v>570</v>
      </c>
      <c r="C28" s="1004" t="s">
        <v>561</v>
      </c>
      <c r="D28" s="1005">
        <v>9855.7660644999996</v>
      </c>
      <c r="E28" s="1007">
        <v>10572</v>
      </c>
      <c r="F28" s="1007">
        <v>10699</v>
      </c>
      <c r="G28" s="1007">
        <v>10755.990558000001</v>
      </c>
      <c r="H28" s="1007">
        <v>11279.552607000001</v>
      </c>
      <c r="I28" s="1007">
        <v>13021</v>
      </c>
      <c r="J28" s="1008">
        <f>(D28-E28)/E28</f>
        <v>-6.7748196698827132E-2</v>
      </c>
      <c r="K28" s="1008">
        <f>(D28-I28)/I28</f>
        <v>-0.24308685473465944</v>
      </c>
      <c r="M28" s="1000"/>
      <c r="N28" s="101"/>
      <c r="O28" s="101"/>
      <c r="P28" s="101"/>
      <c r="Q28" s="101"/>
      <c r="R28" s="101"/>
    </row>
    <row r="29" spans="2:18" ht="18.600000000000001" x14ac:dyDescent="0.3">
      <c r="B29" s="1004" t="s">
        <v>571</v>
      </c>
      <c r="C29" s="1004" t="s">
        <v>561</v>
      </c>
      <c r="D29" s="1005">
        <v>0</v>
      </c>
      <c r="E29" s="1007">
        <v>0</v>
      </c>
      <c r="F29" s="1007">
        <v>0</v>
      </c>
      <c r="G29" s="1007">
        <v>0</v>
      </c>
      <c r="H29" s="1007">
        <v>0</v>
      </c>
      <c r="I29" s="1007">
        <v>0</v>
      </c>
      <c r="J29" s="1008"/>
      <c r="K29" s="1008"/>
      <c r="M29" s="1013"/>
      <c r="N29" s="101"/>
      <c r="O29" s="101"/>
      <c r="P29" s="101"/>
      <c r="Q29" s="101"/>
      <c r="R29" s="101"/>
    </row>
    <row r="30" spans="2:18" ht="18.600000000000001" x14ac:dyDescent="0.3">
      <c r="B30" s="1004" t="s">
        <v>572</v>
      </c>
      <c r="C30" s="1004" t="s">
        <v>561</v>
      </c>
      <c r="D30" s="1005">
        <v>15666</v>
      </c>
      <c r="E30" s="1007">
        <v>16466</v>
      </c>
      <c r="F30" s="1007">
        <v>14397</v>
      </c>
      <c r="G30" s="1007">
        <v>20291</v>
      </c>
      <c r="H30" s="1007">
        <v>22537</v>
      </c>
      <c r="I30" s="1007">
        <v>26827</v>
      </c>
      <c r="J30" s="1008">
        <f>(D30-E30)/E30</f>
        <v>-4.8584962953965749E-2</v>
      </c>
      <c r="K30" s="1008">
        <f>(D30-I30)/I30</f>
        <v>-0.41603608305065792</v>
      </c>
      <c r="M30" s="1013"/>
      <c r="N30" s="101"/>
      <c r="O30" s="101"/>
      <c r="P30" s="101"/>
      <c r="Q30" s="101"/>
      <c r="R30" s="101"/>
    </row>
    <row r="31" spans="2:18" ht="18.600000000000001" x14ac:dyDescent="0.3">
      <c r="B31" s="1004" t="s">
        <v>573</v>
      </c>
      <c r="C31" s="1004" t="s">
        <v>561</v>
      </c>
      <c r="D31" s="1005">
        <v>2085.8763418455228</v>
      </c>
      <c r="E31" s="1012">
        <v>2224.256140424588</v>
      </c>
      <c r="F31" s="1012">
        <v>2075.2235148753443</v>
      </c>
      <c r="G31" s="1012">
        <v>1362.2058322878061</v>
      </c>
      <c r="H31" s="1012">
        <v>1200.9657122515898</v>
      </c>
      <c r="I31" s="1012">
        <v>959.46769940738113</v>
      </c>
      <c r="J31" s="1008"/>
      <c r="K31" s="1008"/>
      <c r="M31" s="1000"/>
      <c r="N31" s="101"/>
      <c r="O31" s="101"/>
      <c r="P31" s="101"/>
      <c r="Q31" s="101"/>
      <c r="R31" s="101"/>
    </row>
    <row r="32" spans="2:18" ht="18.600000000000001" x14ac:dyDescent="0.3">
      <c r="B32" s="1004" t="s">
        <v>574</v>
      </c>
      <c r="C32" s="1004" t="s">
        <v>561</v>
      </c>
      <c r="D32" s="1005">
        <v>0</v>
      </c>
      <c r="E32" s="1007">
        <v>0</v>
      </c>
      <c r="F32" s="1007">
        <v>0</v>
      </c>
      <c r="G32" s="1007">
        <v>0</v>
      </c>
      <c r="H32" s="1007">
        <v>0</v>
      </c>
      <c r="I32" s="1007">
        <v>0</v>
      </c>
      <c r="J32" s="1008"/>
      <c r="K32" s="1008"/>
      <c r="M32" s="1000"/>
      <c r="N32" s="101"/>
      <c r="O32" s="101"/>
      <c r="P32" s="101"/>
      <c r="Q32" s="101"/>
      <c r="R32" s="101"/>
    </row>
    <row r="33" spans="2:18" ht="18.600000000000001" x14ac:dyDescent="0.3">
      <c r="B33" s="1004" t="s">
        <v>575</v>
      </c>
      <c r="C33" s="1004" t="s">
        <v>561</v>
      </c>
      <c r="D33" s="1005">
        <v>85456</v>
      </c>
      <c r="E33" s="1007">
        <v>103153</v>
      </c>
      <c r="F33" s="1007">
        <v>111993</v>
      </c>
      <c r="G33" s="1007">
        <v>118356</v>
      </c>
      <c r="H33" s="1007">
        <v>119005</v>
      </c>
      <c r="I33" s="1007">
        <v>129337</v>
      </c>
      <c r="J33" s="1008">
        <f>(D33-E33)/E33</f>
        <v>-0.17156069140015318</v>
      </c>
      <c r="K33" s="1008">
        <f>(D33-I33)/I33</f>
        <v>-0.33927646381159299</v>
      </c>
      <c r="M33" s="1000"/>
      <c r="N33" s="101"/>
      <c r="O33" s="101"/>
      <c r="P33" s="101"/>
      <c r="Q33" s="101"/>
      <c r="R33" s="101"/>
    </row>
    <row r="34" spans="2:18" ht="18.600000000000001" x14ac:dyDescent="0.3">
      <c r="B34" s="1014" t="s">
        <v>576</v>
      </c>
      <c r="C34" s="1004" t="s">
        <v>561</v>
      </c>
      <c r="D34" s="1005">
        <f>SUM(D19:D26)</f>
        <v>3317247.3761416152</v>
      </c>
      <c r="E34" s="1005">
        <f>SUM(E19:E26)</f>
        <v>3594385.4883881612</v>
      </c>
      <c r="F34" s="1005">
        <f t="shared" ref="F34:I34" si="4">SUM(F19:F26)</f>
        <v>3390984.671788461</v>
      </c>
      <c r="G34" s="1005">
        <f t="shared" si="4"/>
        <v>3301522.3089852892</v>
      </c>
      <c r="H34" s="1005">
        <f t="shared" si="4"/>
        <v>3377762.6113804323</v>
      </c>
      <c r="I34" s="1005">
        <f t="shared" si="4"/>
        <v>3884153.9639413483</v>
      </c>
      <c r="J34" s="1008"/>
      <c r="K34" s="1008"/>
      <c r="M34" s="1000"/>
      <c r="N34" s="101"/>
      <c r="O34" s="101"/>
      <c r="P34" s="101"/>
      <c r="Q34" s="101"/>
      <c r="R34" s="101"/>
    </row>
    <row r="35" spans="2:18" ht="18.600000000000001" x14ac:dyDescent="0.3">
      <c r="B35" s="1014" t="s">
        <v>577</v>
      </c>
      <c r="C35" s="1004" t="s">
        <v>561</v>
      </c>
      <c r="D35" s="1005">
        <f>SUM(D27:D33)</f>
        <v>128238.64240634552</v>
      </c>
      <c r="E35" s="1005">
        <f>SUM(E27:E33)</f>
        <v>132415.25614042458</v>
      </c>
      <c r="F35" s="1005">
        <f t="shared" ref="F35:I35" si="5">SUM(F27:F33)</f>
        <v>139164.22351487534</v>
      </c>
      <c r="G35" s="1005">
        <f t="shared" si="5"/>
        <v>150765.19639028781</v>
      </c>
      <c r="H35" s="1005">
        <f t="shared" si="5"/>
        <v>154022.5183192516</v>
      </c>
      <c r="I35" s="1005">
        <f t="shared" si="5"/>
        <v>170144.46769940737</v>
      </c>
      <c r="J35" s="1008"/>
      <c r="K35" s="1008"/>
      <c r="M35" s="1000"/>
      <c r="N35" s="101"/>
      <c r="O35" s="101"/>
      <c r="P35" s="101"/>
      <c r="Q35" s="101"/>
      <c r="R35" s="101"/>
    </row>
    <row r="36" spans="2:18" ht="18.600000000000001" x14ac:dyDescent="0.3">
      <c r="B36" s="1015" t="s">
        <v>578</v>
      </c>
      <c r="C36" s="1014" t="s">
        <v>579</v>
      </c>
      <c r="D36" s="1005">
        <f>SUM(D19:D33)</f>
        <v>3445486.0185479606</v>
      </c>
      <c r="E36" s="1007">
        <f>SUM(E19:E33)</f>
        <v>3726800.7445285856</v>
      </c>
      <c r="F36" s="1007">
        <f>SUM(F19:F33)</f>
        <v>3530148.8953033364</v>
      </c>
      <c r="G36" s="1007">
        <f>SUM(G19:G33)</f>
        <v>3452287.5053755767</v>
      </c>
      <c r="H36" s="1007">
        <f t="shared" ref="H36" si="6">SUM(H19:H33)</f>
        <v>3531785.1296996837</v>
      </c>
      <c r="I36" s="1007">
        <f>SUM(I19:I33)</f>
        <v>4054298.4316407559</v>
      </c>
      <c r="J36" s="1008">
        <f>(D36-E36)/E36</f>
        <v>-7.5484241113139894E-2</v>
      </c>
      <c r="K36" s="1008">
        <f>(D36-I36)/I36</f>
        <v>-0.15016467666550429</v>
      </c>
      <c r="L36" s="1000"/>
      <c r="M36" s="1000"/>
      <c r="N36" s="101"/>
      <c r="O36" s="101"/>
      <c r="P36" s="101"/>
      <c r="Q36" s="101"/>
      <c r="R36" s="101"/>
    </row>
    <row r="37" spans="2:18" ht="13.8" x14ac:dyDescent="0.3">
      <c r="B37" s="118"/>
      <c r="C37" s="1016"/>
      <c r="D37" s="1017"/>
      <c r="E37" s="1017"/>
      <c r="F37" s="1017"/>
      <c r="G37" s="1017"/>
      <c r="H37" s="121"/>
      <c r="I37" s="121"/>
      <c r="J37" s="1018"/>
      <c r="K37" s="1018"/>
      <c r="L37" s="117"/>
      <c r="M37" s="1000"/>
      <c r="N37" s="101"/>
      <c r="O37" s="101"/>
      <c r="P37" s="101"/>
      <c r="Q37" s="101"/>
      <c r="R37" s="101"/>
    </row>
    <row r="38" spans="2:18" ht="40.5" customHeight="1" x14ac:dyDescent="0.3">
      <c r="B38" s="1002" t="s">
        <v>580</v>
      </c>
      <c r="C38" s="980" t="s">
        <v>430</v>
      </c>
      <c r="D38" s="981" t="s">
        <v>431</v>
      </c>
      <c r="E38" s="1019" t="s">
        <v>432</v>
      </c>
      <c r="F38" s="1019" t="str">
        <f>F18</f>
        <v>2022/23</v>
      </c>
      <c r="G38" s="1019" t="str">
        <f>G18</f>
        <v>2021/22</v>
      </c>
      <c r="H38" s="1019" t="str">
        <f>H18</f>
        <v>2020/21</v>
      </c>
      <c r="I38" s="1019" t="str">
        <f>I18</f>
        <v>2019/20</v>
      </c>
      <c r="J38" s="1003" t="s">
        <v>557</v>
      </c>
      <c r="K38" s="1003" t="s">
        <v>558</v>
      </c>
      <c r="M38" s="122"/>
      <c r="N38" s="122"/>
      <c r="O38" s="101"/>
      <c r="P38" s="101"/>
      <c r="Q38" s="101"/>
      <c r="R38" s="101"/>
    </row>
    <row r="39" spans="2:18" ht="18.600000000000001" x14ac:dyDescent="0.3">
      <c r="B39" s="543" t="str">
        <f>B11</f>
        <v>Total Scope 1 GHG emissions</v>
      </c>
      <c r="C39" s="1004" t="s">
        <v>561</v>
      </c>
      <c r="D39" s="1020">
        <f>D11</f>
        <v>225330</v>
      </c>
      <c r="E39" s="1021">
        <f>E11</f>
        <v>215647</v>
      </c>
      <c r="F39" s="1021">
        <f t="shared" ref="F39:G39" si="7">F11</f>
        <v>215166</v>
      </c>
      <c r="G39" s="1021">
        <f t="shared" si="7"/>
        <v>226341</v>
      </c>
      <c r="H39" s="1021">
        <f>H11</f>
        <v>229150</v>
      </c>
      <c r="I39" s="1021">
        <f t="shared" ref="I39" si="8">I11</f>
        <v>227933</v>
      </c>
      <c r="J39" s="1022">
        <f>(D39-E39)/E39</f>
        <v>4.4902085352450993E-2</v>
      </c>
      <c r="K39" s="1022">
        <f t="shared" ref="K39:K45" si="9">(D39-I39)/I39</f>
        <v>-1.1420022550486327E-2</v>
      </c>
      <c r="M39" s="58" t="str">
        <f>B39</f>
        <v>Total Scope 1 GHG emissions</v>
      </c>
      <c r="N39" s="1023">
        <f>D39/$D$43</f>
        <v>6.103163007458999E-2</v>
      </c>
      <c r="O39" s="101"/>
      <c r="P39" s="101"/>
      <c r="Q39" s="101"/>
      <c r="R39" s="101"/>
    </row>
    <row r="40" spans="2:18" ht="18.600000000000001" x14ac:dyDescent="0.3">
      <c r="B40" s="543" t="str">
        <f>B12</f>
        <v>Total Scope 2 GHG emissions (market-based)</v>
      </c>
      <c r="C40" s="1004" t="s">
        <v>561</v>
      </c>
      <c r="D40" s="1020">
        <f>D12</f>
        <v>21204</v>
      </c>
      <c r="E40" s="1021">
        <f>E12</f>
        <v>66265</v>
      </c>
      <c r="F40" s="1021">
        <f t="shared" ref="F40:G40" si="10">F12</f>
        <v>128768</v>
      </c>
      <c r="G40" s="1021">
        <f t="shared" si="10"/>
        <v>167772</v>
      </c>
      <c r="H40" s="1021">
        <f>H12</f>
        <v>165830</v>
      </c>
      <c r="I40" s="1021">
        <f t="shared" ref="I40" si="11">I12</f>
        <v>176107</v>
      </c>
      <c r="J40" s="1022">
        <f t="shared" ref="J40:J45" si="12">(D40-E40)/E40</f>
        <v>-0.68001207273824793</v>
      </c>
      <c r="K40" s="1022">
        <f t="shared" si="9"/>
        <v>-0.87959592747590953</v>
      </c>
      <c r="M40" s="58" t="str">
        <f t="shared" ref="M40:M42" si="13">B40</f>
        <v>Total Scope 2 GHG emissions (market-based)</v>
      </c>
      <c r="N40" s="1023">
        <f>D40/$D$43</f>
        <v>5.7431974619518312E-3</v>
      </c>
      <c r="O40" s="101"/>
      <c r="P40" s="101"/>
      <c r="Q40" s="101"/>
      <c r="R40" s="101"/>
    </row>
    <row r="41" spans="2:18" ht="18.600000000000001" x14ac:dyDescent="0.3">
      <c r="B41" s="543" t="str">
        <f>"Scope 3 - "&amp;B19</f>
        <v>Scope 3 - Total Scope 3 (Category 1) Purchased goods and services GHG emissions</v>
      </c>
      <c r="C41" s="1004" t="s">
        <v>561</v>
      </c>
      <c r="D41" s="1020">
        <f>D19</f>
        <v>3085054</v>
      </c>
      <c r="E41" s="1021">
        <f t="shared" ref="E41:I41" si="14">E19</f>
        <v>3258688</v>
      </c>
      <c r="F41" s="1021">
        <f t="shared" si="14"/>
        <v>3042748</v>
      </c>
      <c r="G41" s="1021">
        <f t="shared" si="14"/>
        <v>2950358</v>
      </c>
      <c r="H41" s="1021">
        <f t="shared" si="14"/>
        <v>2994379</v>
      </c>
      <c r="I41" s="1021">
        <f t="shared" si="14"/>
        <v>3345528</v>
      </c>
      <c r="J41" s="1022">
        <f t="shared" si="12"/>
        <v>-5.3283407309935776E-2</v>
      </c>
      <c r="K41" s="1022">
        <f t="shared" si="9"/>
        <v>-7.7857366609993997E-2</v>
      </c>
      <c r="M41" s="58" t="str">
        <f t="shared" si="13"/>
        <v>Scope 3 - Total Scope 3 (Category 1) Purchased goods and services GHG emissions</v>
      </c>
      <c r="N41" s="1023">
        <f>D41/$D$43</f>
        <v>0.83560056134617733</v>
      </c>
      <c r="O41" s="101"/>
      <c r="P41" s="101"/>
      <c r="Q41" s="101"/>
      <c r="R41" s="101"/>
    </row>
    <row r="42" spans="2:18" ht="18.600000000000001" x14ac:dyDescent="0.3">
      <c r="B42" s="543" t="str">
        <f>"Scope 3 - All other categories"</f>
        <v>Scope 3 - All other categories</v>
      </c>
      <c r="C42" s="1004" t="s">
        <v>561</v>
      </c>
      <c r="D42" s="1024">
        <f>D36-D19</f>
        <v>360432.01854796056</v>
      </c>
      <c r="E42" s="1025">
        <f>E36-E19</f>
        <v>468112.74452858558</v>
      </c>
      <c r="F42" s="1025">
        <f t="shared" ref="F42:I42" si="15">F36-F19</f>
        <v>487400.89530333644</v>
      </c>
      <c r="G42" s="1025">
        <f t="shared" si="15"/>
        <v>501929.50537557667</v>
      </c>
      <c r="H42" s="1025">
        <f t="shared" si="15"/>
        <v>537406.12969968375</v>
      </c>
      <c r="I42" s="1025">
        <f t="shared" si="15"/>
        <v>708770.43164075585</v>
      </c>
      <c r="J42" s="1022">
        <f t="shared" si="12"/>
        <v>-0.23003160507639081</v>
      </c>
      <c r="K42" s="1022">
        <f t="shared" si="9"/>
        <v>-0.49146860188060515</v>
      </c>
      <c r="M42" s="58" t="str">
        <f t="shared" si="13"/>
        <v>Scope 3 - All other categories</v>
      </c>
      <c r="N42" s="1023">
        <f>D42/$D$43</f>
        <v>9.762461111728081E-2</v>
      </c>
      <c r="O42" s="101"/>
      <c r="P42" s="101"/>
      <c r="Q42" s="101"/>
      <c r="R42" s="101"/>
    </row>
    <row r="43" spans="2:18" ht="18.600000000000001" x14ac:dyDescent="0.3">
      <c r="B43" s="1026" t="s">
        <v>582</v>
      </c>
      <c r="C43" s="1014" t="s">
        <v>579</v>
      </c>
      <c r="D43" s="1005">
        <f>SUM(D39:D42)</f>
        <v>3692020.0185479606</v>
      </c>
      <c r="E43" s="1007">
        <f>SUM(E39:E42)</f>
        <v>4008712.7445285856</v>
      </c>
      <c r="F43" s="1007">
        <f>SUM(F39:F42)</f>
        <v>3874082.8953033364</v>
      </c>
      <c r="G43" s="1007">
        <f t="shared" ref="G43:I43" si="16">SUM(G39:G42)</f>
        <v>3846400.5053755767</v>
      </c>
      <c r="H43" s="1007">
        <f t="shared" si="16"/>
        <v>3926765.1296996837</v>
      </c>
      <c r="I43" s="1007">
        <f t="shared" si="16"/>
        <v>4458338.4316407554</v>
      </c>
      <c r="J43" s="1008">
        <f t="shared" si="12"/>
        <v>-7.9001102389507152E-2</v>
      </c>
      <c r="K43" s="1008">
        <f t="shared" si="9"/>
        <v>-0.17188430731373947</v>
      </c>
      <c r="M43" s="1027"/>
      <c r="N43" s="1028">
        <f>SUM(N39:N42)</f>
        <v>1</v>
      </c>
      <c r="O43" s="101"/>
      <c r="P43" s="101"/>
      <c r="Q43" s="101"/>
      <c r="R43" s="101"/>
    </row>
    <row r="44" spans="2:18" ht="34.799999999999997" x14ac:dyDescent="0.3">
      <c r="B44" s="529" t="s">
        <v>583</v>
      </c>
      <c r="C44" s="568" t="s">
        <v>584</v>
      </c>
      <c r="D44" s="1029">
        <f t="shared" ref="D44:I44" si="17">D43/D158</f>
        <v>37.721402780538234</v>
      </c>
      <c r="E44" s="1030">
        <f t="shared" si="17"/>
        <v>38.18039835160662</v>
      </c>
      <c r="F44" s="1030">
        <f t="shared" si="17"/>
        <v>37.406898936942014</v>
      </c>
      <c r="G44" s="1030">
        <f t="shared" si="17"/>
        <v>36.322434325900666</v>
      </c>
      <c r="H44" s="1030">
        <f t="shared" si="17"/>
        <v>38.420855638719459</v>
      </c>
      <c r="I44" s="1030">
        <f t="shared" si="17"/>
        <v>41.011300079484457</v>
      </c>
      <c r="J44" s="1008">
        <f t="shared" si="12"/>
        <v>-1.2021759617106532E-2</v>
      </c>
      <c r="K44" s="1008">
        <f t="shared" si="9"/>
        <v>-8.0219288161312505E-2</v>
      </c>
      <c r="L44" s="122"/>
      <c r="M44" s="101"/>
      <c r="N44" s="101"/>
      <c r="O44" s="101"/>
      <c r="P44" s="101"/>
      <c r="Q44" s="101"/>
      <c r="R44" s="101"/>
    </row>
    <row r="45" spans="2:18" ht="34.799999999999997" x14ac:dyDescent="0.3">
      <c r="B45" s="529" t="s">
        <v>585</v>
      </c>
      <c r="C45" s="568" t="s">
        <v>586</v>
      </c>
      <c r="D45" s="1029">
        <f>D43/D159</f>
        <v>316.26006669076241</v>
      </c>
      <c r="E45" s="1030">
        <f t="shared" ref="E45:I45" si="18">E43/E159</f>
        <v>312.13211434466911</v>
      </c>
      <c r="F45" s="1030">
        <f t="shared" si="18"/>
        <v>259.43098475211519</v>
      </c>
      <c r="G45" s="1030">
        <f t="shared" si="18"/>
        <v>240.02499253513739</v>
      </c>
      <c r="H45" s="1030">
        <f t="shared" si="18"/>
        <v>254.40655197276863</v>
      </c>
      <c r="I45" s="1030">
        <f t="shared" si="18"/>
        <v>305.84746049535266</v>
      </c>
      <c r="J45" s="1008">
        <f t="shared" si="12"/>
        <v>1.3225016447795099E-2</v>
      </c>
      <c r="K45" s="1008">
        <f t="shared" si="9"/>
        <v>3.4045096135653444E-2</v>
      </c>
      <c r="L45" s="122"/>
      <c r="M45" s="101"/>
      <c r="N45" s="101"/>
      <c r="O45" s="101"/>
      <c r="P45" s="101"/>
      <c r="Q45" s="101"/>
      <c r="R45" s="101"/>
    </row>
    <row r="46" spans="2:18" ht="16.2" x14ac:dyDescent="0.3">
      <c r="B46" s="1031"/>
      <c r="C46" s="1032"/>
      <c r="D46" s="1033"/>
      <c r="E46" s="1034"/>
      <c r="F46" s="1034"/>
      <c r="G46" s="1035"/>
      <c r="H46" s="1035"/>
      <c r="I46" s="1035"/>
      <c r="J46" s="1036"/>
      <c r="K46" s="1036"/>
      <c r="L46" s="122"/>
      <c r="M46" s="101"/>
      <c r="N46" s="101"/>
      <c r="O46" s="101"/>
      <c r="P46" s="101"/>
      <c r="Q46" s="101"/>
      <c r="R46" s="101"/>
    </row>
    <row r="47" spans="2:18" ht="39" customHeight="1" x14ac:dyDescent="0.3">
      <c r="B47" s="1002" t="s">
        <v>587</v>
      </c>
      <c r="C47" s="980" t="s">
        <v>430</v>
      </c>
      <c r="D47" s="981" t="s">
        <v>431</v>
      </c>
      <c r="E47" s="1019" t="s">
        <v>432</v>
      </c>
      <c r="F47" s="1019" t="s">
        <v>433</v>
      </c>
      <c r="G47" s="1019" t="s">
        <v>434</v>
      </c>
      <c r="H47" s="1019" t="s">
        <v>588</v>
      </c>
      <c r="I47" s="982" t="s">
        <v>436</v>
      </c>
      <c r="J47" s="1003" t="s">
        <v>557</v>
      </c>
      <c r="K47" s="1003" t="s">
        <v>558</v>
      </c>
      <c r="L47" s="122"/>
      <c r="M47" s="101"/>
      <c r="N47" s="101"/>
      <c r="O47" s="101"/>
      <c r="P47" s="101"/>
      <c r="Q47" s="101"/>
      <c r="R47" s="101"/>
    </row>
    <row r="48" spans="2:18" ht="32.4" x14ac:dyDescent="0.3">
      <c r="B48" s="1026" t="s">
        <v>589</v>
      </c>
      <c r="C48" s="1014" t="s">
        <v>579</v>
      </c>
      <c r="D48" s="1005">
        <v>1606644</v>
      </c>
      <c r="E48" s="1007">
        <v>1335881</v>
      </c>
      <c r="F48" s="1007">
        <v>1006019</v>
      </c>
      <c r="G48" s="1007">
        <v>548819</v>
      </c>
      <c r="H48" s="1007">
        <v>253163</v>
      </c>
      <c r="I48" s="1037"/>
      <c r="J48" s="1008">
        <f>(D48-E48)/E48</f>
        <v>0.20268496969415689</v>
      </c>
      <c r="K48" s="1008">
        <f>(D48-H48)/H48</f>
        <v>5.346282829639402</v>
      </c>
      <c r="L48" s="122"/>
      <c r="M48" s="101"/>
      <c r="N48" s="101"/>
      <c r="O48" s="101"/>
      <c r="P48" s="101"/>
      <c r="Q48" s="101"/>
      <c r="R48" s="101"/>
    </row>
    <row r="49" spans="2:19" ht="13.8" x14ac:dyDescent="0.3">
      <c r="C49" s="61"/>
      <c r="D49" s="992"/>
      <c r="E49" s="992"/>
      <c r="F49" s="992"/>
      <c r="G49" s="992"/>
      <c r="K49" s="121"/>
      <c r="L49" s="122"/>
      <c r="M49" s="122"/>
      <c r="N49" s="101"/>
      <c r="O49" s="101"/>
      <c r="P49" s="101"/>
      <c r="Q49" s="101"/>
      <c r="R49" s="101"/>
      <c r="S49" s="101"/>
    </row>
    <row r="50" spans="2:19" ht="19.8" x14ac:dyDescent="0.3">
      <c r="B50" s="1038" t="s">
        <v>590</v>
      </c>
      <c r="C50" s="970"/>
      <c r="D50" s="971"/>
      <c r="E50" s="971"/>
      <c r="F50" s="971"/>
      <c r="G50" s="971"/>
      <c r="H50" s="971"/>
      <c r="I50" s="972"/>
      <c r="J50" s="972"/>
      <c r="K50" s="972"/>
      <c r="L50" s="122"/>
      <c r="M50" s="122"/>
      <c r="N50" s="101"/>
      <c r="O50" s="101"/>
      <c r="P50" s="101"/>
    </row>
    <row r="51" spans="2:19" ht="13.8" x14ac:dyDescent="0.3">
      <c r="B51" s="120"/>
      <c r="C51" s="1039"/>
      <c r="D51" s="120"/>
      <c r="E51" s="120"/>
      <c r="F51" s="120"/>
      <c r="G51" s="120"/>
      <c r="H51" s="120"/>
      <c r="I51" s="121"/>
      <c r="J51" s="121"/>
      <c r="K51" s="121"/>
      <c r="L51" s="122"/>
      <c r="M51" s="122"/>
      <c r="N51" s="101"/>
      <c r="O51" s="101"/>
      <c r="P51" s="101"/>
      <c r="Q51" s="101"/>
      <c r="R51" s="101"/>
      <c r="S51" s="101"/>
    </row>
    <row r="52" spans="2:19" ht="42" customHeight="1" x14ac:dyDescent="0.3">
      <c r="B52" s="1582" t="s">
        <v>448</v>
      </c>
      <c r="C52" s="1583" t="s">
        <v>430</v>
      </c>
      <c r="D52" s="981" t="s">
        <v>431</v>
      </c>
      <c r="E52" s="982" t="s">
        <v>432</v>
      </c>
      <c r="F52" s="982" t="s">
        <v>433</v>
      </c>
      <c r="G52" s="982" t="s">
        <v>434</v>
      </c>
      <c r="H52" s="982" t="s">
        <v>435</v>
      </c>
      <c r="I52" s="982" t="s">
        <v>436</v>
      </c>
      <c r="J52" s="1003" t="str">
        <f>J106</f>
        <v>Performance against prior year</v>
      </c>
      <c r="K52" s="1040"/>
      <c r="M52" s="122"/>
      <c r="N52" s="101"/>
      <c r="O52" s="101"/>
      <c r="P52" s="101"/>
      <c r="Q52" s="101"/>
    </row>
    <row r="53" spans="2:19" ht="13.8" x14ac:dyDescent="0.3">
      <c r="B53" s="1582"/>
      <c r="C53" s="1583"/>
      <c r="D53" s="982" t="s">
        <v>438</v>
      </c>
      <c r="E53" s="982" t="s">
        <v>438</v>
      </c>
      <c r="F53" s="982" t="s">
        <v>438</v>
      </c>
      <c r="G53" s="982" t="s">
        <v>438</v>
      </c>
      <c r="H53" s="982" t="s">
        <v>438</v>
      </c>
      <c r="I53" s="982" t="s">
        <v>438</v>
      </c>
      <c r="J53" s="982" t="s">
        <v>438</v>
      </c>
      <c r="K53" s="1040"/>
      <c r="N53" s="101"/>
      <c r="O53" s="101"/>
      <c r="P53" s="113"/>
      <c r="Q53" s="101"/>
    </row>
    <row r="54" spans="2:19" ht="16.2" x14ac:dyDescent="0.3">
      <c r="B54" s="530" t="s">
        <v>449</v>
      </c>
      <c r="C54" s="570" t="s">
        <v>450</v>
      </c>
      <c r="D54" s="1041">
        <v>1126108</v>
      </c>
      <c r="E54" s="1042">
        <v>1206508</v>
      </c>
      <c r="F54" s="1042">
        <v>1203247</v>
      </c>
      <c r="G54" s="1042">
        <v>1270929</v>
      </c>
      <c r="H54" s="1042">
        <v>1199807</v>
      </c>
      <c r="I54" s="1042">
        <v>1231348</v>
      </c>
      <c r="J54" s="1043">
        <f>(D54-E54)/E54</f>
        <v>-6.6638596677353154E-2</v>
      </c>
      <c r="K54" s="1040"/>
      <c r="N54" s="101"/>
      <c r="O54" s="101"/>
      <c r="P54" s="113"/>
      <c r="Q54" s="101"/>
    </row>
    <row r="55" spans="2:19" ht="16.2" x14ac:dyDescent="0.3">
      <c r="B55" s="530" t="s">
        <v>451</v>
      </c>
      <c r="C55" s="532" t="s">
        <v>452</v>
      </c>
      <c r="D55" s="709">
        <f t="shared" ref="D55:I55" si="19">D54/D158</f>
        <v>11.505455882953942</v>
      </c>
      <c r="E55" s="1044">
        <f t="shared" si="19"/>
        <v>11.491209021467894</v>
      </c>
      <c r="F55" s="1044">
        <f t="shared" si="19"/>
        <v>11.61816619353842</v>
      </c>
      <c r="G55" s="1044">
        <f t="shared" si="19"/>
        <v>12.001671451235174</v>
      </c>
      <c r="H55" s="1044">
        <f t="shared" si="19"/>
        <v>11.739335055379437</v>
      </c>
      <c r="I55" s="1044">
        <f t="shared" si="19"/>
        <v>11.326906448348819</v>
      </c>
      <c r="J55" s="1043">
        <f>(D55-E55)/E55</f>
        <v>1.239805268482428E-3</v>
      </c>
      <c r="K55" s="1040"/>
      <c r="N55" s="101"/>
      <c r="O55" s="101"/>
      <c r="P55" s="113"/>
      <c r="Q55" s="101"/>
    </row>
    <row r="56" spans="2:19" ht="16.2" x14ac:dyDescent="0.3">
      <c r="B56" s="532" t="s">
        <v>467</v>
      </c>
      <c r="C56" s="532" t="s">
        <v>591</v>
      </c>
      <c r="D56" s="1045">
        <v>0.71</v>
      </c>
      <c r="E56" s="1046">
        <v>0.56559999999999999</v>
      </c>
      <c r="F56" s="1046">
        <v>0.41170000000000001</v>
      </c>
      <c r="G56" s="1046">
        <v>0.32319999999999999</v>
      </c>
      <c r="H56" s="1046">
        <v>0.2898</v>
      </c>
      <c r="I56" s="1046">
        <v>0.25879999999999997</v>
      </c>
      <c r="J56" s="1043">
        <f>(D56-E56)/E56</f>
        <v>0.25530410183875524</v>
      </c>
      <c r="K56" s="1047"/>
      <c r="L56" s="101"/>
      <c r="O56" s="101"/>
    </row>
    <row r="57" spans="2:19" ht="16.2" x14ac:dyDescent="0.3">
      <c r="B57" s="532" t="s">
        <v>592</v>
      </c>
      <c r="C57" s="532" t="s">
        <v>591</v>
      </c>
      <c r="D57" s="1045">
        <v>0.26400000000000001</v>
      </c>
      <c r="E57" s="1046">
        <v>0.2273</v>
      </c>
      <c r="F57" s="1046">
        <v>0.16439999999999999</v>
      </c>
      <c r="G57" s="1046">
        <v>0.127</v>
      </c>
      <c r="H57" s="1046">
        <v>0.12</v>
      </c>
      <c r="I57" s="1046">
        <v>0.11</v>
      </c>
      <c r="J57" s="1043">
        <f>(D57-E57)/E57</f>
        <v>0.16146062472503303</v>
      </c>
      <c r="K57" s="1047"/>
      <c r="L57" s="101"/>
      <c r="O57" s="101"/>
    </row>
    <row r="58" spans="2:19" ht="13.8" x14ac:dyDescent="0.3">
      <c r="B58" s="146"/>
      <c r="C58" s="1039"/>
      <c r="D58" s="1048"/>
      <c r="E58" s="1049"/>
      <c r="F58" s="1049"/>
      <c r="G58" s="1049"/>
      <c r="H58" s="121"/>
      <c r="I58" s="122"/>
      <c r="J58" s="1040"/>
      <c r="K58" s="1040"/>
      <c r="L58" s="101"/>
      <c r="O58" s="101"/>
      <c r="P58" s="101"/>
      <c r="Q58" s="113"/>
    </row>
    <row r="59" spans="2:19" ht="45.6" customHeight="1" x14ac:dyDescent="0.3">
      <c r="B59" s="1050" t="s">
        <v>593</v>
      </c>
      <c r="C59" s="1051" t="s">
        <v>430</v>
      </c>
      <c r="D59" s="981" t="s">
        <v>431</v>
      </c>
      <c r="E59" s="982" t="s">
        <v>432</v>
      </c>
      <c r="F59" s="982" t="s">
        <v>433</v>
      </c>
      <c r="G59" s="982" t="s">
        <v>434</v>
      </c>
      <c r="H59" s="982" t="s">
        <v>435</v>
      </c>
      <c r="I59" s="982" t="s">
        <v>436</v>
      </c>
      <c r="J59" s="1003" t="s">
        <v>557</v>
      </c>
      <c r="K59" s="1003" t="s">
        <v>558</v>
      </c>
      <c r="M59" s="101"/>
      <c r="N59" s="101"/>
      <c r="O59" s="101"/>
      <c r="P59" s="113"/>
    </row>
    <row r="60" spans="2:19" ht="21.6" hidden="1" customHeight="1" x14ac:dyDescent="0.3">
      <c r="B60" s="1052" t="s">
        <v>594</v>
      </c>
      <c r="C60" s="1053" t="s">
        <v>595</v>
      </c>
      <c r="D60" s="1054"/>
      <c r="E60" s="1055"/>
      <c r="F60" s="1055">
        <f t="shared" ref="F60:I68" si="20">F70*0.0036</f>
        <v>4268204.0532</v>
      </c>
      <c r="G60" s="1055">
        <f t="shared" ref="G60:I66" si="21">G70*0.0036</f>
        <v>4470500.8043999998</v>
      </c>
      <c r="H60" s="1056">
        <f t="shared" si="21"/>
        <v>4206015.5760000004</v>
      </c>
      <c r="I60" s="1056">
        <f t="shared" si="21"/>
        <v>4327636.1075999998</v>
      </c>
      <c r="J60" s="1022">
        <f t="shared" ref="J60:J64" si="22">(F60-G60)/G60</f>
        <v>-4.5251474063239927E-2</v>
      </c>
      <c r="K60" s="1022">
        <f t="shared" ref="K60:K64" si="23">(F60-I60)/I60</f>
        <v>-1.3733145052475158E-2</v>
      </c>
      <c r="M60" s="101"/>
      <c r="N60" s="101"/>
      <c r="O60" s="101"/>
      <c r="P60" s="113"/>
    </row>
    <row r="61" spans="2:19" ht="21.6" hidden="1" customHeight="1" x14ac:dyDescent="0.3">
      <c r="B61" s="1052" t="s">
        <v>596</v>
      </c>
      <c r="C61" s="1053" t="s">
        <v>595</v>
      </c>
      <c r="D61" s="1054"/>
      <c r="E61" s="1055"/>
      <c r="F61" s="1055">
        <f t="shared" si="20"/>
        <v>1721541.3336</v>
      </c>
      <c r="G61" s="1055">
        <f t="shared" si="21"/>
        <v>1791069.2963999999</v>
      </c>
      <c r="H61" s="1056">
        <f t="shared" si="21"/>
        <v>1702765.4904</v>
      </c>
      <c r="I61" s="1056">
        <f t="shared" si="21"/>
        <v>1785969.0684</v>
      </c>
      <c r="J61" s="1022">
        <f t="shared" si="22"/>
        <v>-3.8819247775476448E-2</v>
      </c>
      <c r="K61" s="1022">
        <f t="shared" si="23"/>
        <v>-3.6074384456007962E-2</v>
      </c>
      <c r="M61" s="101"/>
      <c r="N61" s="101"/>
      <c r="O61" s="101"/>
      <c r="P61" s="113"/>
    </row>
    <row r="62" spans="2:19" ht="21.6" hidden="1" customHeight="1" x14ac:dyDescent="0.3">
      <c r="B62" s="1052" t="s">
        <v>597</v>
      </c>
      <c r="C62" s="1053" t="s">
        <v>595</v>
      </c>
      <c r="D62" s="1054"/>
      <c r="E62" s="1055"/>
      <c r="F62" s="1055">
        <f t="shared" si="20"/>
        <v>2327419.2456</v>
      </c>
      <c r="G62" s="1055">
        <f t="shared" si="21"/>
        <v>2448951.6348000001</v>
      </c>
      <c r="H62" s="1056">
        <f t="shared" si="21"/>
        <v>2318962.1831999999</v>
      </c>
      <c r="I62" s="1056">
        <f t="shared" si="21"/>
        <v>2347654.9608</v>
      </c>
      <c r="J62" s="1022">
        <f t="shared" si="22"/>
        <v>-4.9626292113329279E-2</v>
      </c>
      <c r="K62" s="1022">
        <f t="shared" si="23"/>
        <v>-8.6195439866105124E-3</v>
      </c>
      <c r="M62" s="101"/>
      <c r="N62" s="101"/>
      <c r="O62" s="101"/>
      <c r="P62" s="113"/>
    </row>
    <row r="63" spans="2:19" ht="21.6" hidden="1" customHeight="1" x14ac:dyDescent="0.3">
      <c r="B63" s="1052" t="s">
        <v>598</v>
      </c>
      <c r="C63" s="1053" t="s">
        <v>595</v>
      </c>
      <c r="D63" s="1054"/>
      <c r="E63" s="1055"/>
      <c r="F63" s="1055">
        <f>986948044*0.0036</f>
        <v>3553012.9583999999</v>
      </c>
      <c r="G63" s="1055">
        <f t="shared" si="21"/>
        <v>3996294.0551999998</v>
      </c>
      <c r="H63" s="1056">
        <f t="shared" si="21"/>
        <v>3822197.0831999998</v>
      </c>
      <c r="I63" s="1056">
        <f t="shared" si="21"/>
        <v>3967335.4751999998</v>
      </c>
      <c r="J63" s="1022">
        <f t="shared" si="22"/>
        <v>-0.11092304286847965</v>
      </c>
      <c r="K63" s="1022">
        <f t="shared" si="23"/>
        <v>-0.10443344642517613</v>
      </c>
      <c r="M63" s="101"/>
      <c r="N63" s="101"/>
      <c r="O63" s="101"/>
      <c r="P63" s="113"/>
    </row>
    <row r="64" spans="2:19" ht="21.6" hidden="1" customHeight="1" x14ac:dyDescent="0.3">
      <c r="B64" s="1057" t="s">
        <v>599</v>
      </c>
      <c r="C64" s="1053" t="s">
        <v>595</v>
      </c>
      <c r="D64" s="1054"/>
      <c r="E64" s="1055"/>
      <c r="F64" s="1055">
        <f>F74*0.0036</f>
        <v>2570328.7667999999</v>
      </c>
      <c r="G64" s="1055">
        <f t="shared" si="21"/>
        <v>2750570.1540000001</v>
      </c>
      <c r="H64" s="1056">
        <f t="shared" si="21"/>
        <v>2614205.5559999999</v>
      </c>
      <c r="I64" s="1056">
        <f t="shared" si="21"/>
        <v>2626174.5263999999</v>
      </c>
      <c r="J64" s="1022">
        <f t="shared" si="22"/>
        <v>-6.5528736628616899E-2</v>
      </c>
      <c r="K64" s="1022">
        <f t="shared" si="23"/>
        <v>-2.1265060276307764E-2</v>
      </c>
      <c r="M64" s="101"/>
      <c r="N64" s="101"/>
      <c r="O64" s="101"/>
      <c r="P64" s="113"/>
    </row>
    <row r="65" spans="2:16" ht="21.6" hidden="1" customHeight="1" x14ac:dyDescent="0.3">
      <c r="B65" s="1057" t="s">
        <v>600</v>
      </c>
      <c r="C65" s="1053" t="s">
        <v>595</v>
      </c>
      <c r="D65" s="1054"/>
      <c r="E65" s="1055"/>
      <c r="F65" s="1055">
        <f>F75*0.0036</f>
        <v>914445.36359999992</v>
      </c>
      <c r="G65" s="1055">
        <f t="shared" si="21"/>
        <v>1105419.2760000001</v>
      </c>
      <c r="H65" s="1056">
        <f t="shared" si="21"/>
        <v>1090881.6443999999</v>
      </c>
      <c r="I65" s="1056">
        <f t="shared" si="21"/>
        <v>1224831.9095999999</v>
      </c>
      <c r="J65" s="1022">
        <f t="shared" ref="J65:J68" si="24">(F65-G65)/G65</f>
        <v>-0.17276151822776803</v>
      </c>
      <c r="K65" s="1022">
        <f t="shared" ref="K65:K68" si="25">(F65-I65)/I65</f>
        <v>-0.25341154452888531</v>
      </c>
      <c r="M65" s="101"/>
      <c r="N65" s="101"/>
      <c r="O65" s="101"/>
      <c r="P65" s="113"/>
    </row>
    <row r="66" spans="2:16" ht="21.6" hidden="1" customHeight="1" x14ac:dyDescent="0.3">
      <c r="B66" s="1058" t="s">
        <v>601</v>
      </c>
      <c r="C66" s="1053" t="s">
        <v>595</v>
      </c>
      <c r="D66" s="1054"/>
      <c r="E66" s="1055"/>
      <c r="F66" s="1055">
        <f>F76*0.0036</f>
        <v>124706.22839999999</v>
      </c>
      <c r="G66" s="1055">
        <f t="shared" si="21"/>
        <v>109428.0696</v>
      </c>
      <c r="H66" s="1056">
        <f t="shared" si="21"/>
        <v>108413.298</v>
      </c>
      <c r="I66" s="1056">
        <f t="shared" si="21"/>
        <v>116329.0392</v>
      </c>
      <c r="J66" s="1022">
        <f t="shared" si="24"/>
        <v>0.13961827944006783</v>
      </c>
      <c r="K66" s="1022">
        <f t="shared" si="25"/>
        <v>7.201288051212576E-2</v>
      </c>
      <c r="M66" s="101"/>
      <c r="N66" s="101"/>
      <c r="O66" s="101"/>
      <c r="P66" s="113"/>
    </row>
    <row r="67" spans="2:16" ht="38.549999999999997" hidden="1" customHeight="1" x14ac:dyDescent="0.3">
      <c r="B67" s="1058" t="s">
        <v>602</v>
      </c>
      <c r="C67" s="1053" t="s">
        <v>595</v>
      </c>
      <c r="D67" s="1054"/>
      <c r="E67" s="1055"/>
      <c r="F67" s="1055">
        <f>F77*0.0036</f>
        <v>12216.3228</v>
      </c>
      <c r="G67" s="1055">
        <f t="shared" si="20"/>
        <v>30876.5556</v>
      </c>
      <c r="H67" s="1055">
        <f t="shared" si="20"/>
        <v>8696.5848000000005</v>
      </c>
      <c r="I67" s="1055" t="s">
        <v>603</v>
      </c>
      <c r="J67" s="1022">
        <f t="shared" si="24"/>
        <v>-0.60434956028579812</v>
      </c>
      <c r="K67" s="1022" t="e">
        <f t="shared" si="25"/>
        <v>#VALUE!</v>
      </c>
      <c r="M67" s="113"/>
      <c r="N67" s="113"/>
      <c r="O67" s="113"/>
      <c r="P67" s="113"/>
    </row>
    <row r="68" spans="2:16" ht="21.6" hidden="1" customHeight="1" x14ac:dyDescent="0.3">
      <c r="B68" s="1053" t="s">
        <v>604</v>
      </c>
      <c r="C68" s="1053" t="s">
        <v>595</v>
      </c>
      <c r="D68" s="1054"/>
      <c r="E68" s="1055"/>
      <c r="F68" s="1055">
        <f>F78*0.0036</f>
        <v>709991.15039999993</v>
      </c>
      <c r="G68" s="1055">
        <f t="shared" si="20"/>
        <v>579050.48159999994</v>
      </c>
      <c r="H68" s="1056">
        <f t="shared" si="20"/>
        <v>497108.60639999999</v>
      </c>
      <c r="I68" s="1056">
        <f t="shared" si="20"/>
        <v>465518.16359999997</v>
      </c>
      <c r="J68" s="1022">
        <f t="shared" si="24"/>
        <v>0.22612997132511148</v>
      </c>
      <c r="K68" s="1022">
        <f t="shared" si="25"/>
        <v>0.52516315348344866</v>
      </c>
      <c r="M68" s="113"/>
      <c r="N68" s="113"/>
      <c r="O68" s="113"/>
      <c r="P68" s="113"/>
    </row>
    <row r="69" spans="2:16" ht="21.6" hidden="1" customHeight="1" x14ac:dyDescent="0.25">
      <c r="B69" s="943"/>
      <c r="C69" s="1059"/>
      <c r="D69" s="1060"/>
      <c r="E69" s="1060"/>
      <c r="F69" s="1060"/>
      <c r="G69" s="1060"/>
      <c r="H69" s="1060"/>
      <c r="I69" s="1060"/>
      <c r="J69" s="1061"/>
      <c r="K69" s="1061"/>
      <c r="L69" s="7"/>
      <c r="P69" s="113"/>
    </row>
    <row r="70" spans="2:16" ht="13.5" hidden="1" customHeight="1" x14ac:dyDescent="0.3">
      <c r="B70" s="1052" t="s">
        <v>594</v>
      </c>
      <c r="C70" s="1053" t="s">
        <v>465</v>
      </c>
      <c r="D70" s="1054"/>
      <c r="E70" s="1055"/>
      <c r="F70" s="1055">
        <v>1185612237</v>
      </c>
      <c r="G70" s="1055">
        <v>1241805779</v>
      </c>
      <c r="H70" s="1056">
        <v>1168337660</v>
      </c>
      <c r="I70" s="1056">
        <v>1202121141</v>
      </c>
      <c r="J70" s="1022">
        <f t="shared" ref="J70" si="26">(F70-G70)/G70</f>
        <v>-4.5251474063239962E-2</v>
      </c>
      <c r="K70" s="1022">
        <f t="shared" ref="K70" si="27">(F70-I70)/I70</f>
        <v>-1.3733145052475207E-2</v>
      </c>
      <c r="L70" s="113"/>
      <c r="N70" s="59"/>
      <c r="O70" s="143"/>
    </row>
    <row r="71" spans="2:16" ht="16.2" x14ac:dyDescent="0.3">
      <c r="B71" s="533" t="s">
        <v>596</v>
      </c>
      <c r="C71" s="532" t="s">
        <v>465</v>
      </c>
      <c r="D71" s="1062">
        <v>426655760</v>
      </c>
      <c r="E71" s="1006">
        <v>482611803</v>
      </c>
      <c r="F71" s="1006">
        <v>478205926</v>
      </c>
      <c r="G71" s="1006">
        <v>497519249</v>
      </c>
      <c r="H71" s="1063">
        <v>472990414</v>
      </c>
      <c r="I71" s="1063">
        <v>496102519</v>
      </c>
      <c r="J71" s="1043">
        <f>(D71-E71)/E71</f>
        <v>-0.11594420743994942</v>
      </c>
      <c r="K71" s="1043">
        <f>(D71-I71)/I71</f>
        <v>-0.13998469336536468</v>
      </c>
      <c r="L71" s="113"/>
      <c r="N71" s="59"/>
      <c r="O71" s="143"/>
    </row>
    <row r="72" spans="2:16" ht="16.2" x14ac:dyDescent="0.3">
      <c r="B72" s="533" t="s">
        <v>597</v>
      </c>
      <c r="C72" s="532" t="s">
        <v>465</v>
      </c>
      <c r="D72" s="1062">
        <v>646833093</v>
      </c>
      <c r="E72" s="1006">
        <v>675822873</v>
      </c>
      <c r="F72" s="1006">
        <v>646505346</v>
      </c>
      <c r="G72" s="1006">
        <v>680264343</v>
      </c>
      <c r="H72" s="1063">
        <v>644156162</v>
      </c>
      <c r="I72" s="1063">
        <v>652126378</v>
      </c>
      <c r="J72" s="1043">
        <f t="shared" ref="J72:J79" si="28">(D72-E72)/E72</f>
        <v>-4.2895529521386887E-2</v>
      </c>
      <c r="K72" s="1043">
        <f t="shared" ref="K72:K76" si="29">(D72-I72)/I72</f>
        <v>-8.1169619548804688E-3</v>
      </c>
      <c r="L72" s="113"/>
      <c r="N72" s="59"/>
      <c r="O72" s="143"/>
    </row>
    <row r="73" spans="2:16" ht="16.2" x14ac:dyDescent="0.3">
      <c r="B73" s="533" t="s">
        <v>598</v>
      </c>
      <c r="C73" s="532" t="s">
        <v>465</v>
      </c>
      <c r="D73" s="1062">
        <v>822281609</v>
      </c>
      <c r="E73" s="1006">
        <v>932568705</v>
      </c>
      <c r="F73" s="1006">
        <v>1006026587</v>
      </c>
      <c r="G73" s="1006">
        <v>1110081682</v>
      </c>
      <c r="H73" s="1063">
        <v>1061721412</v>
      </c>
      <c r="I73" s="1063">
        <v>1102037632</v>
      </c>
      <c r="J73" s="1043">
        <f t="shared" si="28"/>
        <v>-0.11826163092187401</v>
      </c>
      <c r="K73" s="1043">
        <f t="shared" si="29"/>
        <v>-0.25385342104179615</v>
      </c>
      <c r="L73" s="113"/>
      <c r="N73" s="59"/>
      <c r="O73" s="143"/>
    </row>
    <row r="74" spans="2:16" ht="16.2" x14ac:dyDescent="0.3">
      <c r="B74" s="1064" t="s">
        <v>599</v>
      </c>
      <c r="C74" s="532" t="s">
        <v>465</v>
      </c>
      <c r="D74" s="1062">
        <v>698345825</v>
      </c>
      <c r="E74" s="1006">
        <v>729293134</v>
      </c>
      <c r="F74" s="1006">
        <v>713980213</v>
      </c>
      <c r="G74" s="1006">
        <v>764047265</v>
      </c>
      <c r="H74" s="1063">
        <v>726168210</v>
      </c>
      <c r="I74" s="1063">
        <v>729492924</v>
      </c>
      <c r="J74" s="1043">
        <f>(D74-E74)/E74</f>
        <v>-4.24346638645305E-2</v>
      </c>
      <c r="K74" s="1043">
        <f t="shared" si="29"/>
        <v>-4.2696917235622148E-2</v>
      </c>
      <c r="L74" s="113"/>
      <c r="N74" s="1065"/>
      <c r="O74" s="143"/>
    </row>
    <row r="75" spans="2:16" ht="16.2" x14ac:dyDescent="0.3">
      <c r="B75" s="1064" t="s">
        <v>600</v>
      </c>
      <c r="C75" s="532" t="s">
        <v>465</v>
      </c>
      <c r="D75" s="1062">
        <v>93259870</v>
      </c>
      <c r="E75" s="1006">
        <v>172286436</v>
      </c>
      <c r="F75" s="1006">
        <v>254012601</v>
      </c>
      <c r="G75" s="1006">
        <v>307060910</v>
      </c>
      <c r="H75" s="1063">
        <v>303022679</v>
      </c>
      <c r="I75" s="1063">
        <v>340231086</v>
      </c>
      <c r="J75" s="1043">
        <f t="shared" si="28"/>
        <v>-0.45869290603933555</v>
      </c>
      <c r="K75" s="1043">
        <f t="shared" si="29"/>
        <v>-0.72589256585449102</v>
      </c>
      <c r="L75" s="113"/>
      <c r="N75" s="1065"/>
      <c r="O75" s="143"/>
    </row>
    <row r="76" spans="2:16" ht="16.2" x14ac:dyDescent="0.3">
      <c r="B76" s="1066" t="s">
        <v>601</v>
      </c>
      <c r="C76" s="532" t="s">
        <v>465</v>
      </c>
      <c r="D76" s="1062">
        <v>29446484</v>
      </c>
      <c r="E76" s="1006">
        <v>27685923</v>
      </c>
      <c r="F76" s="1006">
        <v>34640619</v>
      </c>
      <c r="G76" s="1006">
        <v>30396686</v>
      </c>
      <c r="H76" s="1063">
        <v>30114805</v>
      </c>
      <c r="I76" s="1063">
        <v>32313622</v>
      </c>
      <c r="J76" s="1043">
        <f t="shared" si="28"/>
        <v>6.3590475202867536E-2</v>
      </c>
      <c r="K76" s="1043">
        <f t="shared" si="29"/>
        <v>-8.8728462566034838E-2</v>
      </c>
      <c r="L76" s="113"/>
      <c r="N76" s="1067"/>
      <c r="O76" s="143"/>
    </row>
    <row r="77" spans="2:16" ht="36" customHeight="1" x14ac:dyDescent="0.3">
      <c r="B77" s="1066" t="s">
        <v>602</v>
      </c>
      <c r="C77" s="532" t="s">
        <v>465</v>
      </c>
      <c r="D77" s="1062">
        <v>1229430</v>
      </c>
      <c r="E77" s="1006">
        <v>3303212</v>
      </c>
      <c r="F77" s="1006">
        <v>3393423</v>
      </c>
      <c r="G77" s="1006">
        <v>8576821</v>
      </c>
      <c r="H77" s="1063">
        <v>2415718</v>
      </c>
      <c r="I77" s="1063"/>
      <c r="J77" s="1043">
        <f>(D77-E77)/E77</f>
        <v>-0.62780772169633681</v>
      </c>
      <c r="K77" s="1043"/>
      <c r="L77" s="113"/>
      <c r="N77" s="1067"/>
      <c r="O77" s="143"/>
    </row>
    <row r="78" spans="2:16" ht="16.2" x14ac:dyDescent="0.3">
      <c r="B78" s="1068" t="s">
        <v>604</v>
      </c>
      <c r="C78" s="532" t="s">
        <v>465</v>
      </c>
      <c r="D78" s="1062">
        <v>303826014</v>
      </c>
      <c r="E78" s="1069">
        <v>273939630</v>
      </c>
      <c r="F78" s="1069">
        <v>197219764</v>
      </c>
      <c r="G78" s="1069">
        <v>160847356</v>
      </c>
      <c r="H78" s="1069">
        <v>138085724</v>
      </c>
      <c r="I78" s="1069">
        <v>129310601</v>
      </c>
      <c r="J78" s="1043">
        <f t="shared" si="28"/>
        <v>0.10909843165079838</v>
      </c>
      <c r="K78" s="1043">
        <f>(D78-I78)/I78</f>
        <v>1.3495831869190678</v>
      </c>
      <c r="L78" s="113"/>
      <c r="N78" s="1070"/>
      <c r="O78" s="143"/>
    </row>
    <row r="79" spans="2:16" ht="16.2" x14ac:dyDescent="0.3">
      <c r="B79" s="1071" t="s">
        <v>605</v>
      </c>
      <c r="C79" s="532" t="s">
        <v>465</v>
      </c>
      <c r="D79" s="1062">
        <v>303826014</v>
      </c>
      <c r="E79" s="1006">
        <v>273939630</v>
      </c>
      <c r="F79" s="1006">
        <v>197219764</v>
      </c>
      <c r="G79" s="1006">
        <v>160847356</v>
      </c>
      <c r="H79" s="1063">
        <v>138085724</v>
      </c>
      <c r="I79" s="1063">
        <v>129310601</v>
      </c>
      <c r="J79" s="1043">
        <f t="shared" si="28"/>
        <v>0.10909843165079838</v>
      </c>
      <c r="K79" s="1043">
        <f>(D79-I79)/I79</f>
        <v>1.3495831869190678</v>
      </c>
      <c r="L79" s="113"/>
      <c r="N79" s="1070"/>
      <c r="O79" s="143"/>
    </row>
    <row r="80" spans="2:16" ht="16.2" x14ac:dyDescent="0.3">
      <c r="B80" s="1071" t="s">
        <v>606</v>
      </c>
      <c r="C80" s="532" t="s">
        <v>465</v>
      </c>
      <c r="D80" s="1072">
        <v>0</v>
      </c>
      <c r="E80" s="1055">
        <v>0</v>
      </c>
      <c r="F80" s="1055">
        <v>0</v>
      </c>
      <c r="G80" s="1055">
        <v>0</v>
      </c>
      <c r="H80" s="1055">
        <v>0</v>
      </c>
      <c r="I80" s="1055">
        <v>0</v>
      </c>
      <c r="J80" s="1043" t="s">
        <v>836</v>
      </c>
      <c r="K80" s="1043" t="s">
        <v>836</v>
      </c>
      <c r="L80" s="113"/>
      <c r="N80" s="1070"/>
      <c r="O80" s="143"/>
    </row>
    <row r="81" spans="2:19" ht="13.8" x14ac:dyDescent="0.3">
      <c r="C81" s="61"/>
      <c r="D81" s="992"/>
      <c r="E81" s="992"/>
      <c r="J81" s="1073"/>
      <c r="K81" s="1073"/>
    </row>
    <row r="82" spans="2:19" ht="19.8" x14ac:dyDescent="0.3">
      <c r="B82" s="1038" t="s">
        <v>607</v>
      </c>
      <c r="C82" s="970"/>
      <c r="D82" s="971"/>
      <c r="E82" s="971"/>
      <c r="F82" s="971"/>
      <c r="G82" s="971"/>
      <c r="H82" s="971"/>
      <c r="I82" s="1579"/>
      <c r="J82" s="1579"/>
      <c r="K82" s="1579"/>
      <c r="M82" s="124"/>
      <c r="N82" s="124"/>
      <c r="O82" s="124"/>
      <c r="P82" s="124"/>
      <c r="Q82" s="101"/>
      <c r="R82" s="101"/>
      <c r="S82" s="101"/>
    </row>
    <row r="83" spans="2:19" ht="13.8" x14ac:dyDescent="0.3">
      <c r="B83" s="125"/>
      <c r="C83" s="1074"/>
      <c r="D83" s="1075"/>
      <c r="E83" s="128"/>
      <c r="F83" s="128"/>
      <c r="G83" s="128"/>
      <c r="H83" s="1076"/>
      <c r="I83" s="1076"/>
      <c r="J83" s="1076"/>
    </row>
    <row r="84" spans="2:19" ht="46.05" customHeight="1" x14ac:dyDescent="0.3">
      <c r="B84" s="1077" t="s">
        <v>34</v>
      </c>
      <c r="C84" s="980" t="s">
        <v>430</v>
      </c>
      <c r="D84" s="981" t="s">
        <v>431</v>
      </c>
      <c r="E84" s="1078" t="s">
        <v>432</v>
      </c>
      <c r="F84" s="1078" t="s">
        <v>433</v>
      </c>
      <c r="G84" s="1078" t="s">
        <v>434</v>
      </c>
      <c r="H84" s="1079" t="s">
        <v>435</v>
      </c>
      <c r="I84" s="1079" t="s">
        <v>436</v>
      </c>
      <c r="J84" s="1003" t="str">
        <f>J18</f>
        <v>Performance against prior year</v>
      </c>
      <c r="K84" s="1003" t="str">
        <f>K18</f>
        <v>Performance against 2019/20 baseline</v>
      </c>
    </row>
    <row r="85" spans="2:19" ht="17.399999999999999" x14ac:dyDescent="0.3">
      <c r="B85" s="1080" t="s">
        <v>608</v>
      </c>
      <c r="C85" s="1081"/>
      <c r="D85" s="1082"/>
      <c r="E85" s="1082"/>
      <c r="F85" s="1082"/>
      <c r="G85" s="1082"/>
      <c r="H85" s="1082"/>
      <c r="I85" s="1082"/>
      <c r="J85" s="1083"/>
      <c r="K85" s="1083"/>
    </row>
    <row r="86" spans="2:19" ht="17.399999999999999" x14ac:dyDescent="0.3">
      <c r="B86" s="541" t="s">
        <v>609</v>
      </c>
      <c r="C86" s="1087" t="s">
        <v>471</v>
      </c>
      <c r="D86" s="1084">
        <v>1441490</v>
      </c>
      <c r="E86" s="1006">
        <v>1610140</v>
      </c>
      <c r="F86" s="1006">
        <v>1712853</v>
      </c>
      <c r="G86" s="1006">
        <v>1815369</v>
      </c>
      <c r="H86" s="1085">
        <v>1729882</v>
      </c>
      <c r="I86" s="1085">
        <v>1837437</v>
      </c>
      <c r="J86" s="1086">
        <f>(D86-E86)/E86</f>
        <v>-0.10474244475635659</v>
      </c>
      <c r="K86" s="1086">
        <f>(D86-I86)/I86</f>
        <v>-0.21548874872988844</v>
      </c>
      <c r="L86" s="129"/>
    </row>
    <row r="87" spans="2:19" ht="17.399999999999999" x14ac:dyDescent="0.3">
      <c r="B87" s="1087" t="s">
        <v>611</v>
      </c>
      <c r="C87" s="1087" t="s">
        <v>471</v>
      </c>
      <c r="D87" s="1088">
        <v>0</v>
      </c>
      <c r="E87" s="1089">
        <v>0</v>
      </c>
      <c r="F87" s="1089">
        <v>0</v>
      </c>
      <c r="G87" s="1089">
        <v>0</v>
      </c>
      <c r="H87" s="1090">
        <v>0</v>
      </c>
      <c r="I87" s="1090">
        <v>0</v>
      </c>
      <c r="J87" s="1086"/>
      <c r="K87" s="1086"/>
    </row>
    <row r="88" spans="2:19" ht="17.399999999999999" x14ac:dyDescent="0.3">
      <c r="B88" s="1087" t="s">
        <v>612</v>
      </c>
      <c r="C88" s="1087" t="s">
        <v>471</v>
      </c>
      <c r="D88" s="1084">
        <v>87682</v>
      </c>
      <c r="E88" s="1089">
        <v>72649</v>
      </c>
      <c r="F88" s="1089">
        <v>92696</v>
      </c>
      <c r="G88" s="1089">
        <v>91118</v>
      </c>
      <c r="H88" s="1091">
        <v>70306</v>
      </c>
      <c r="I88" s="1091">
        <v>66119</v>
      </c>
      <c r="J88" s="1086">
        <f>(D88-E88)/E88</f>
        <v>0.20692645459675976</v>
      </c>
      <c r="K88" s="1086">
        <f>(D88-I88)/I88</f>
        <v>0.32612410956003568</v>
      </c>
    </row>
    <row r="89" spans="2:19" ht="17.399999999999999" x14ac:dyDescent="0.3">
      <c r="B89" s="1068" t="s">
        <v>613</v>
      </c>
      <c r="C89" s="1087" t="s">
        <v>471</v>
      </c>
      <c r="D89" s="1084">
        <v>1078</v>
      </c>
      <c r="E89" s="1092">
        <v>430</v>
      </c>
      <c r="F89" s="1092">
        <v>603</v>
      </c>
      <c r="G89" s="1089"/>
      <c r="H89" s="1091"/>
      <c r="I89" s="1091"/>
      <c r="J89" s="1086"/>
      <c r="K89" s="1086"/>
    </row>
    <row r="90" spans="2:19" ht="17.399999999999999" x14ac:dyDescent="0.3">
      <c r="B90" s="1093" t="s">
        <v>470</v>
      </c>
      <c r="C90" s="1180" t="s">
        <v>1444</v>
      </c>
      <c r="D90" s="1084">
        <v>1530250</v>
      </c>
      <c r="E90" s="1094">
        <v>1683219</v>
      </c>
      <c r="F90" s="1094">
        <v>1806152</v>
      </c>
      <c r="G90" s="1094">
        <v>1906487</v>
      </c>
      <c r="H90" s="1094">
        <v>1800189</v>
      </c>
      <c r="I90" s="1094">
        <v>1903556</v>
      </c>
      <c r="J90" s="1086">
        <f>(D90-E90)/E90</f>
        <v>-9.0878845830518792E-2</v>
      </c>
      <c r="K90" s="1086">
        <f>(D90-I90)/I90</f>
        <v>-0.19610980711888698</v>
      </c>
    </row>
    <row r="91" spans="2:19" ht="17.399999999999999" x14ac:dyDescent="0.3">
      <c r="B91" s="1080" t="s">
        <v>615</v>
      </c>
      <c r="C91" s="1181"/>
      <c r="D91" s="1095"/>
      <c r="E91" s="1082"/>
      <c r="F91" s="1082"/>
      <c r="G91" s="1082"/>
      <c r="H91" s="1082"/>
      <c r="I91" s="1082"/>
      <c r="J91" s="1086"/>
      <c r="K91" s="1086"/>
    </row>
    <row r="92" spans="2:19" ht="17.399999999999999" x14ac:dyDescent="0.3">
      <c r="B92" s="1087" t="s">
        <v>616</v>
      </c>
      <c r="C92" s="1087" t="s">
        <v>1444</v>
      </c>
      <c r="D92" s="1095">
        <v>33966</v>
      </c>
      <c r="E92" s="1089">
        <v>36477</v>
      </c>
      <c r="F92" s="1089">
        <v>48993</v>
      </c>
      <c r="G92" s="1089">
        <v>77174</v>
      </c>
      <c r="H92" s="1091">
        <v>65976</v>
      </c>
      <c r="I92" s="1091">
        <v>72194</v>
      </c>
      <c r="J92" s="1086">
        <f>(D92-E92)/E92</f>
        <v>-6.8837897853441896E-2</v>
      </c>
      <c r="K92" s="1086">
        <f>(D92-I92)/I92</f>
        <v>-0.52951768845056379</v>
      </c>
    </row>
    <row r="93" spans="2:19" ht="20.55" customHeight="1" x14ac:dyDescent="0.3">
      <c r="B93" s="1093" t="s">
        <v>617</v>
      </c>
      <c r="C93" s="1180" t="s">
        <v>1444</v>
      </c>
      <c r="D93" s="1095">
        <v>949785</v>
      </c>
      <c r="E93" s="1094">
        <v>1150543</v>
      </c>
      <c r="F93" s="1094">
        <v>1282068</v>
      </c>
      <c r="G93" s="1094">
        <v>1297635</v>
      </c>
      <c r="H93" s="1094">
        <v>1414308</v>
      </c>
      <c r="I93" s="1094">
        <v>1295217</v>
      </c>
      <c r="J93" s="1086">
        <f>(D93-E93)/E93</f>
        <v>-0.17448978438876253</v>
      </c>
      <c r="K93" s="1086">
        <f>(D93-I93)/I93</f>
        <v>-0.26669816717970812</v>
      </c>
    </row>
    <row r="94" spans="2:19" ht="17.399999999999999" x14ac:dyDescent="0.3">
      <c r="B94" s="1087" t="s">
        <v>618</v>
      </c>
      <c r="C94" s="1087" t="s">
        <v>1445</v>
      </c>
      <c r="D94" s="1095">
        <v>1000716</v>
      </c>
      <c r="E94" s="1089">
        <v>1197825</v>
      </c>
      <c r="F94" s="1089">
        <v>1342455</v>
      </c>
      <c r="G94" s="1089">
        <v>1385139</v>
      </c>
      <c r="H94" s="1091">
        <v>1487696</v>
      </c>
      <c r="I94" s="1091">
        <v>1375207</v>
      </c>
      <c r="J94" s="1086">
        <f>(D94-E94)/E94</f>
        <v>-0.16455575731012459</v>
      </c>
      <c r="K94" s="1086">
        <f>(D94-I94)/I94</f>
        <v>-0.27231609495879527</v>
      </c>
    </row>
    <row r="95" spans="2:19" ht="16.2" x14ac:dyDescent="0.3">
      <c r="B95" s="130"/>
      <c r="C95" s="1182"/>
      <c r="D95" s="1096"/>
      <c r="E95" s="1097"/>
      <c r="F95" s="1097"/>
      <c r="G95" s="1097"/>
      <c r="H95" s="1097"/>
      <c r="I95" s="1097"/>
      <c r="J95" s="1098"/>
      <c r="K95" s="1099"/>
    </row>
    <row r="96" spans="2:19" ht="17.399999999999999" x14ac:dyDescent="0.3">
      <c r="B96" s="1080" t="s">
        <v>620</v>
      </c>
      <c r="C96" s="1181"/>
      <c r="D96" s="1095"/>
      <c r="E96" s="1100"/>
      <c r="F96" s="1100"/>
      <c r="G96" s="1100"/>
      <c r="H96" s="1082"/>
      <c r="I96" s="1082"/>
      <c r="J96" s="1101"/>
      <c r="K96" s="1102"/>
    </row>
    <row r="97" spans="2:18" ht="16.2" x14ac:dyDescent="0.3">
      <c r="B97" s="534" t="s">
        <v>476</v>
      </c>
      <c r="C97" s="1183" t="s">
        <v>477</v>
      </c>
      <c r="D97" s="1103">
        <v>346</v>
      </c>
      <c r="E97" s="1104">
        <v>264</v>
      </c>
      <c r="F97" s="1104">
        <v>242</v>
      </c>
      <c r="G97" s="1104">
        <v>220</v>
      </c>
      <c r="H97" s="1104">
        <v>112</v>
      </c>
      <c r="I97" s="1104">
        <v>104</v>
      </c>
      <c r="J97" s="1101"/>
      <c r="K97" s="1105"/>
    </row>
    <row r="98" spans="2:18" ht="16.2" x14ac:dyDescent="0.3">
      <c r="B98" s="534" t="s">
        <v>478</v>
      </c>
      <c r="C98" s="1183" t="s">
        <v>463</v>
      </c>
      <c r="D98" s="1045">
        <v>0.91</v>
      </c>
      <c r="E98" s="1106">
        <v>0.9</v>
      </c>
      <c r="F98" s="1106">
        <v>0.75</v>
      </c>
      <c r="G98" s="1106">
        <v>0.78</v>
      </c>
      <c r="H98" s="1106">
        <v>0.8</v>
      </c>
      <c r="I98" s="1106">
        <v>0.7</v>
      </c>
      <c r="J98" s="1098"/>
      <c r="K98" s="1107"/>
    </row>
    <row r="99" spans="2:18" ht="16.2" x14ac:dyDescent="0.3">
      <c r="B99" s="1108"/>
      <c r="C99" s="1182"/>
      <c r="D99" s="1109"/>
      <c r="E99" s="1110"/>
      <c r="F99" s="1110"/>
      <c r="G99" s="1110"/>
      <c r="H99" s="1110"/>
      <c r="I99" s="1110"/>
      <c r="J99" s="1098"/>
      <c r="K99" s="1107"/>
    </row>
    <row r="100" spans="2:18" ht="17.399999999999999" x14ac:dyDescent="0.3">
      <c r="B100" s="1080" t="s">
        <v>621</v>
      </c>
      <c r="C100" s="1181"/>
      <c r="D100" s="1095"/>
      <c r="E100" s="1082"/>
      <c r="F100" s="1082"/>
      <c r="G100" s="1082"/>
      <c r="H100" s="1082"/>
      <c r="I100" s="1082"/>
      <c r="J100" s="1083"/>
      <c r="K100" s="1083"/>
    </row>
    <row r="101" spans="2:18" ht="17.399999999999999" x14ac:dyDescent="0.3">
      <c r="B101" s="536" t="s">
        <v>473</v>
      </c>
      <c r="C101" s="1183" t="s">
        <v>1446</v>
      </c>
      <c r="D101" s="1095">
        <v>1495</v>
      </c>
      <c r="E101" s="1111">
        <v>1646</v>
      </c>
      <c r="F101" s="1111">
        <v>1757</v>
      </c>
      <c r="G101" s="1111">
        <v>1829</v>
      </c>
      <c r="H101" s="1111">
        <v>1734</v>
      </c>
      <c r="I101" s="1111">
        <v>1831</v>
      </c>
      <c r="J101" s="1086">
        <f>(D101-E101)/E101</f>
        <v>-9.1737545565006073E-2</v>
      </c>
      <c r="K101" s="1086">
        <f>(D101-I101)/I101</f>
        <v>-0.18350628072091754</v>
      </c>
      <c r="N101" s="1112"/>
      <c r="O101" s="1112"/>
      <c r="P101" s="1112"/>
      <c r="Q101" s="1112"/>
      <c r="R101" s="1112"/>
    </row>
    <row r="102" spans="2:18" ht="17.399999999999999" x14ac:dyDescent="0.3">
      <c r="B102" s="529" t="s">
        <v>475</v>
      </c>
      <c r="C102" s="1184" t="s">
        <v>1447</v>
      </c>
      <c r="D102" s="1095">
        <v>348</v>
      </c>
      <c r="E102" s="1113">
        <v>397</v>
      </c>
      <c r="F102" s="1113">
        <v>408</v>
      </c>
      <c r="G102" s="1113">
        <v>436</v>
      </c>
      <c r="H102" s="1113">
        <v>414</v>
      </c>
      <c r="I102" s="1091">
        <v>470</v>
      </c>
      <c r="J102" s="1086">
        <f>(D102-E102)/E102</f>
        <v>-0.12342569269521411</v>
      </c>
      <c r="K102" s="1086">
        <f>(D102-I102)/I102</f>
        <v>-0.25957446808510637</v>
      </c>
    </row>
    <row r="103" spans="2:18" ht="16.2" x14ac:dyDescent="0.3">
      <c r="B103" s="529" t="s">
        <v>624</v>
      </c>
      <c r="C103" s="1184" t="s">
        <v>463</v>
      </c>
      <c r="D103" s="1045">
        <v>0.23</v>
      </c>
      <c r="E103" s="1114">
        <v>0.24</v>
      </c>
      <c r="F103" s="1114">
        <v>0.23</v>
      </c>
      <c r="G103" s="1114">
        <v>0.24</v>
      </c>
      <c r="H103" s="1114">
        <v>0.24</v>
      </c>
      <c r="I103" s="1115">
        <v>0.26</v>
      </c>
      <c r="J103" s="1086">
        <f>(D103-E103)/E103</f>
        <v>-4.1666666666666588E-2</v>
      </c>
      <c r="K103" s="1086">
        <f>(D103-I103)/I103</f>
        <v>-0.11538461538461538</v>
      </c>
    </row>
    <row r="104" spans="2:18" s="505" customFormat="1" ht="17.399999999999999" x14ac:dyDescent="0.3">
      <c r="B104" s="529" t="s">
        <v>625</v>
      </c>
      <c r="C104" s="1184" t="s">
        <v>1448</v>
      </c>
      <c r="D104" s="1116">
        <f>D101/3.433</f>
        <v>435.47917273521705</v>
      </c>
      <c r="E104" s="1117"/>
      <c r="F104" s="1117"/>
      <c r="G104" s="1117"/>
      <c r="H104" s="1117"/>
      <c r="I104" s="1118">
        <f>I101/3.5067</f>
        <v>522.14332563378673</v>
      </c>
      <c r="J104" s="1117"/>
      <c r="K104" s="1119">
        <f>(D104-I104)/I104</f>
        <v>-0.16597770888553484</v>
      </c>
      <c r="M104" s="1120"/>
    </row>
    <row r="105" spans="2:18" ht="13.8" x14ac:dyDescent="0.3">
      <c r="C105" s="58"/>
      <c r="D105" s="58"/>
    </row>
    <row r="106" spans="2:18" ht="47.1" customHeight="1" x14ac:dyDescent="0.3">
      <c r="B106" s="1077" t="s">
        <v>149</v>
      </c>
      <c r="C106" s="980" t="s">
        <v>430</v>
      </c>
      <c r="D106" s="981" t="s">
        <v>431</v>
      </c>
      <c r="E106" s="1078" t="s">
        <v>432</v>
      </c>
      <c r="F106" s="1078" t="s">
        <v>433</v>
      </c>
      <c r="G106" s="1078" t="s">
        <v>434</v>
      </c>
      <c r="H106" s="1079" t="s">
        <v>435</v>
      </c>
      <c r="I106" s="1079" t="s">
        <v>436</v>
      </c>
      <c r="J106" s="1003" t="str">
        <f>J84</f>
        <v>Performance against prior year</v>
      </c>
      <c r="K106" s="1003" t="str">
        <f>K84</f>
        <v>Performance against 2019/20 baseline</v>
      </c>
    </row>
    <row r="107" spans="2:18" ht="17.399999999999999" x14ac:dyDescent="0.3">
      <c r="B107" s="1121" t="s">
        <v>626</v>
      </c>
      <c r="C107" s="1122"/>
      <c r="D107" s="1123"/>
      <c r="E107" s="1123"/>
      <c r="F107" s="1123"/>
      <c r="G107" s="1123"/>
      <c r="H107" s="1123"/>
      <c r="I107" s="1123"/>
      <c r="J107" s="1124"/>
      <c r="K107" s="1125"/>
    </row>
    <row r="108" spans="2:18" ht="16.2" x14ac:dyDescent="0.3">
      <c r="B108" s="542" t="s">
        <v>627</v>
      </c>
      <c r="C108" s="532" t="s">
        <v>480</v>
      </c>
      <c r="D108" s="1126">
        <v>34735</v>
      </c>
      <c r="E108" s="1127">
        <v>39340</v>
      </c>
      <c r="F108" s="1127">
        <v>38492</v>
      </c>
      <c r="G108" s="1127">
        <v>45130</v>
      </c>
      <c r="H108" s="1127">
        <v>40994</v>
      </c>
      <c r="I108" s="1128">
        <v>39991</v>
      </c>
      <c r="J108" s="1086">
        <f t="shared" ref="J108:J113" si="30">(D108-E108)/E108</f>
        <v>-0.11705643111337062</v>
      </c>
      <c r="K108" s="1086">
        <f t="shared" ref="K108:K113" si="31">(D108-I108)/I108</f>
        <v>-0.13142957165362207</v>
      </c>
    </row>
    <row r="109" spans="2:18" ht="16.2" x14ac:dyDescent="0.3">
      <c r="B109" s="543" t="s">
        <v>628</v>
      </c>
      <c r="C109" s="532" t="s">
        <v>480</v>
      </c>
      <c r="D109" s="1126">
        <v>2700</v>
      </c>
      <c r="E109" s="1007">
        <v>2955</v>
      </c>
      <c r="F109" s="1007">
        <v>3331</v>
      </c>
      <c r="G109" s="1007">
        <v>2635</v>
      </c>
      <c r="H109" s="1007">
        <v>2614</v>
      </c>
      <c r="I109" s="1128">
        <v>2462</v>
      </c>
      <c r="J109" s="1086">
        <f t="shared" si="30"/>
        <v>-8.6294416243654817E-2</v>
      </c>
      <c r="K109" s="1086">
        <f t="shared" si="31"/>
        <v>9.6669374492282703E-2</v>
      </c>
    </row>
    <row r="110" spans="2:18" ht="16.2" x14ac:dyDescent="0.3">
      <c r="B110" s="543" t="s">
        <v>629</v>
      </c>
      <c r="C110" s="532" t="s">
        <v>480</v>
      </c>
      <c r="D110" s="1126">
        <v>4557</v>
      </c>
      <c r="E110" s="1007">
        <v>10625</v>
      </c>
      <c r="F110" s="1007">
        <v>7056</v>
      </c>
      <c r="G110" s="1007">
        <v>8559</v>
      </c>
      <c r="H110" s="1007">
        <v>7013</v>
      </c>
      <c r="I110" s="1128">
        <v>7772</v>
      </c>
      <c r="J110" s="1086">
        <f t="shared" si="30"/>
        <v>-0.57110588235294113</v>
      </c>
      <c r="K110" s="1086">
        <f t="shared" si="31"/>
        <v>-0.41366443643849715</v>
      </c>
    </row>
    <row r="111" spans="2:18" ht="16.2" x14ac:dyDescent="0.3">
      <c r="B111" s="543" t="s">
        <v>630</v>
      </c>
      <c r="C111" s="532" t="s">
        <v>480</v>
      </c>
      <c r="D111" s="1126">
        <v>12923</v>
      </c>
      <c r="E111" s="1007">
        <v>11837</v>
      </c>
      <c r="F111" s="1007">
        <v>13158</v>
      </c>
      <c r="G111" s="1007">
        <v>14686</v>
      </c>
      <c r="H111" s="1007">
        <v>10896</v>
      </c>
      <c r="I111" s="1128">
        <v>12948</v>
      </c>
      <c r="J111" s="1086">
        <f t="shared" si="30"/>
        <v>9.1746219481287486E-2</v>
      </c>
      <c r="K111" s="1086">
        <f t="shared" si="31"/>
        <v>-1.9308001235712078E-3</v>
      </c>
    </row>
    <row r="112" spans="2:18" ht="16.2" x14ac:dyDescent="0.3">
      <c r="B112" s="534" t="s">
        <v>489</v>
      </c>
      <c r="C112" s="1184" t="s">
        <v>480</v>
      </c>
      <c r="D112" s="1129">
        <v>37435</v>
      </c>
      <c r="E112" s="1130">
        <v>42296</v>
      </c>
      <c r="F112" s="1130">
        <v>41823</v>
      </c>
      <c r="G112" s="1130">
        <v>47765</v>
      </c>
      <c r="H112" s="1130">
        <v>43608</v>
      </c>
      <c r="I112" s="1111">
        <v>42453</v>
      </c>
      <c r="J112" s="1086">
        <f t="shared" si="30"/>
        <v>-0.11492812559107245</v>
      </c>
      <c r="K112" s="1086">
        <f t="shared" si="31"/>
        <v>-0.11820130497255789</v>
      </c>
    </row>
    <row r="113" spans="2:17" ht="16.2" x14ac:dyDescent="0.3">
      <c r="B113" s="536" t="s">
        <v>484</v>
      </c>
      <c r="C113" s="1184" t="s">
        <v>480</v>
      </c>
      <c r="D113" s="1129">
        <v>54915</v>
      </c>
      <c r="E113" s="1131">
        <v>64757</v>
      </c>
      <c r="F113" s="1131">
        <v>62037</v>
      </c>
      <c r="G113" s="1131">
        <v>71010</v>
      </c>
      <c r="H113" s="1131">
        <v>61517</v>
      </c>
      <c r="I113" s="1131">
        <v>63173</v>
      </c>
      <c r="J113" s="1086">
        <f t="shared" si="30"/>
        <v>-0.15198356934385471</v>
      </c>
      <c r="K113" s="1086">
        <f t="shared" si="31"/>
        <v>-0.13072040270368671</v>
      </c>
    </row>
    <row r="114" spans="2:17" ht="16.2" x14ac:dyDescent="0.3">
      <c r="B114" s="130"/>
      <c r="C114" s="1185"/>
      <c r="D114" s="1132"/>
      <c r="E114" s="1133"/>
      <c r="F114" s="1134"/>
      <c r="G114" s="1133"/>
      <c r="H114" s="1133"/>
      <c r="I114" s="1133"/>
      <c r="J114" s="1086"/>
      <c r="K114" s="1086"/>
      <c r="L114" s="1135"/>
    </row>
    <row r="115" spans="2:17" ht="17.399999999999999" x14ac:dyDescent="0.3">
      <c r="B115" s="1121" t="s">
        <v>631</v>
      </c>
      <c r="C115" s="1186"/>
      <c r="D115" s="1123"/>
      <c r="E115" s="1123"/>
      <c r="F115" s="1123"/>
      <c r="G115" s="1123"/>
      <c r="H115" s="1123"/>
      <c r="I115" s="1123"/>
      <c r="J115" s="1103"/>
      <c r="K115" s="1136"/>
    </row>
    <row r="116" spans="2:17" ht="16.2" x14ac:dyDescent="0.3">
      <c r="B116" s="542" t="s">
        <v>632</v>
      </c>
      <c r="C116" s="532" t="s">
        <v>480</v>
      </c>
      <c r="D116" s="1137">
        <v>500</v>
      </c>
      <c r="E116" s="1127">
        <v>532</v>
      </c>
      <c r="F116" s="1127">
        <v>1038</v>
      </c>
      <c r="G116" s="1127">
        <v>1002</v>
      </c>
      <c r="H116" s="1127">
        <v>1031</v>
      </c>
      <c r="I116" s="1128">
        <v>718</v>
      </c>
      <c r="J116" s="1086">
        <f t="shared" ref="J116:J121" si="32">(D116-E116)/E116</f>
        <v>-6.0150375939849621E-2</v>
      </c>
      <c r="K116" s="1086">
        <f t="shared" ref="K116:K121" si="33">(D116-I116)/I116</f>
        <v>-0.30362116991643456</v>
      </c>
    </row>
    <row r="117" spans="2:17" ht="16.2" x14ac:dyDescent="0.3">
      <c r="B117" s="543" t="s">
        <v>633</v>
      </c>
      <c r="C117" s="532" t="s">
        <v>480</v>
      </c>
      <c r="D117" s="1137">
        <v>33971</v>
      </c>
      <c r="E117" s="1007">
        <v>36633</v>
      </c>
      <c r="F117" s="1007">
        <v>36128</v>
      </c>
      <c r="G117" s="1007">
        <v>37739</v>
      </c>
      <c r="H117" s="1007">
        <v>22788</v>
      </c>
      <c r="I117" s="1128">
        <v>18865</v>
      </c>
      <c r="J117" s="1086">
        <f t="shared" si="32"/>
        <v>-7.2666721262249878E-2</v>
      </c>
      <c r="K117" s="1086">
        <f t="shared" si="33"/>
        <v>0.80074211502782933</v>
      </c>
    </row>
    <row r="118" spans="2:17" ht="16.2" x14ac:dyDescent="0.3">
      <c r="B118" s="543" t="s">
        <v>482</v>
      </c>
      <c r="C118" s="532" t="s">
        <v>480</v>
      </c>
      <c r="D118" s="1137">
        <v>1200</v>
      </c>
      <c r="E118" s="1007">
        <v>1245</v>
      </c>
      <c r="F118" s="1007">
        <v>1067</v>
      </c>
      <c r="G118" s="1007">
        <v>2032</v>
      </c>
      <c r="H118" s="1007">
        <v>990</v>
      </c>
      <c r="I118" s="1128">
        <v>1652</v>
      </c>
      <c r="J118" s="1086">
        <f t="shared" si="32"/>
        <v>-3.614457831325301E-2</v>
      </c>
      <c r="K118" s="1086">
        <f t="shared" si="33"/>
        <v>-0.27360774818401939</v>
      </c>
    </row>
    <row r="119" spans="2:17" ht="16.2" x14ac:dyDescent="0.3">
      <c r="B119" s="543" t="s">
        <v>483</v>
      </c>
      <c r="C119" s="532" t="s">
        <v>480</v>
      </c>
      <c r="D119" s="1137">
        <v>16403</v>
      </c>
      <c r="E119" s="1007">
        <v>23045</v>
      </c>
      <c r="F119" s="1007">
        <v>19504</v>
      </c>
      <c r="G119" s="1007">
        <v>26148</v>
      </c>
      <c r="H119" s="1007">
        <v>33557</v>
      </c>
      <c r="I119" s="1128">
        <v>38968</v>
      </c>
      <c r="J119" s="1086">
        <f t="shared" si="32"/>
        <v>-0.28821870253851162</v>
      </c>
      <c r="K119" s="1086">
        <f t="shared" si="33"/>
        <v>-0.579064873742558</v>
      </c>
    </row>
    <row r="120" spans="2:17" ht="16.2" x14ac:dyDescent="0.3">
      <c r="B120" s="534" t="s">
        <v>481</v>
      </c>
      <c r="C120" s="1184" t="s">
        <v>480</v>
      </c>
      <c r="D120" s="1138">
        <v>2841</v>
      </c>
      <c r="E120" s="1139">
        <v>3302</v>
      </c>
      <c r="F120" s="1139">
        <v>4301</v>
      </c>
      <c r="G120" s="1139">
        <v>4089</v>
      </c>
      <c r="H120" s="1139">
        <v>3152</v>
      </c>
      <c r="I120" s="1139">
        <v>2970</v>
      </c>
      <c r="J120" s="1086">
        <f t="shared" si="32"/>
        <v>-0.13961235614778922</v>
      </c>
      <c r="K120" s="1086">
        <f t="shared" si="33"/>
        <v>-4.3434343434343436E-2</v>
      </c>
    </row>
    <row r="121" spans="2:17" ht="13.5" customHeight="1" x14ac:dyDescent="0.3">
      <c r="B121" s="536" t="s">
        <v>484</v>
      </c>
      <c r="C121" s="1184" t="s">
        <v>480</v>
      </c>
      <c r="D121" s="1140">
        <v>54915</v>
      </c>
      <c r="E121" s="1141">
        <v>64757</v>
      </c>
      <c r="F121" s="1141">
        <v>62037</v>
      </c>
      <c r="G121" s="1141">
        <v>71010</v>
      </c>
      <c r="H121" s="1141">
        <v>61517</v>
      </c>
      <c r="I121" s="1141">
        <v>63173</v>
      </c>
      <c r="J121" s="1086">
        <f t="shared" si="32"/>
        <v>-0.15198356934385471</v>
      </c>
      <c r="K121" s="1086">
        <f t="shared" si="33"/>
        <v>-0.13072040270368671</v>
      </c>
    </row>
    <row r="122" spans="2:17" ht="13.5" customHeight="1" x14ac:dyDescent="0.3">
      <c r="I122" s="992"/>
    </row>
    <row r="123" spans="2:17" ht="25.5" customHeight="1" x14ac:dyDescent="0.3">
      <c r="B123" s="1077" t="s">
        <v>634</v>
      </c>
      <c r="C123" s="980" t="s">
        <v>430</v>
      </c>
      <c r="D123" s="981" t="s">
        <v>431</v>
      </c>
      <c r="E123" s="1078" t="s">
        <v>432</v>
      </c>
      <c r="F123" s="1078" t="s">
        <v>433</v>
      </c>
      <c r="G123" s="1078" t="s">
        <v>434</v>
      </c>
      <c r="H123" s="1079" t="s">
        <v>435</v>
      </c>
      <c r="I123" s="1079" t="s">
        <v>436</v>
      </c>
      <c r="J123" s="1142"/>
      <c r="K123" s="1142"/>
    </row>
    <row r="124" spans="2:17" s="503" customFormat="1" ht="16.2" x14ac:dyDescent="0.3">
      <c r="B124" s="1143" t="s">
        <v>635</v>
      </c>
      <c r="C124" s="1144" t="s">
        <v>480</v>
      </c>
      <c r="D124" s="1145">
        <v>966</v>
      </c>
      <c r="E124" s="1146">
        <v>1044</v>
      </c>
      <c r="F124" s="1146">
        <v>848</v>
      </c>
      <c r="G124" s="1146">
        <v>1744</v>
      </c>
      <c r="H124" s="1146">
        <v>866</v>
      </c>
      <c r="I124" s="1146">
        <v>1468</v>
      </c>
      <c r="J124" s="1098"/>
      <c r="K124" s="1098"/>
      <c r="M124" s="58"/>
      <c r="N124" s="58"/>
      <c r="O124" s="58"/>
      <c r="P124" s="58"/>
      <c r="Q124" s="58"/>
    </row>
    <row r="125" spans="2:17" s="503" customFormat="1" ht="32.4" x14ac:dyDescent="0.3">
      <c r="B125" s="1143" t="s">
        <v>636</v>
      </c>
      <c r="C125" s="1144" t="s">
        <v>480</v>
      </c>
      <c r="D125" s="1145">
        <v>2566</v>
      </c>
      <c r="E125" s="1146">
        <v>7600</v>
      </c>
      <c r="F125" s="1146">
        <v>3869</v>
      </c>
      <c r="G125" s="1146">
        <v>6882</v>
      </c>
      <c r="H125" s="1146">
        <v>5355</v>
      </c>
      <c r="I125" s="1146">
        <v>4990</v>
      </c>
      <c r="J125" s="1098"/>
      <c r="K125" s="1147"/>
      <c r="M125" s="58"/>
      <c r="N125" s="58"/>
      <c r="O125" s="58"/>
      <c r="P125" s="58"/>
      <c r="Q125" s="58"/>
    </row>
    <row r="126" spans="2:17" s="503" customFormat="1" ht="16.2" x14ac:dyDescent="0.3">
      <c r="B126" s="1143" t="s">
        <v>637</v>
      </c>
      <c r="C126" s="1144" t="s">
        <v>480</v>
      </c>
      <c r="D126" s="1145">
        <v>2234</v>
      </c>
      <c r="E126" s="1146">
        <v>1930</v>
      </c>
      <c r="F126" s="1146">
        <v>1993</v>
      </c>
      <c r="G126" s="1146">
        <v>2734</v>
      </c>
      <c r="H126" s="1146">
        <v>1533</v>
      </c>
      <c r="I126" s="1146">
        <v>1334</v>
      </c>
      <c r="J126" s="1098"/>
      <c r="K126" s="1098"/>
      <c r="M126" s="58"/>
      <c r="N126" s="58"/>
      <c r="O126" s="58"/>
      <c r="P126" s="58"/>
      <c r="Q126" s="58"/>
    </row>
    <row r="127" spans="2:17" s="503" customFormat="1" ht="16.2" x14ac:dyDescent="0.3">
      <c r="B127" s="1187" t="s">
        <v>638</v>
      </c>
      <c r="C127" s="1148" t="s">
        <v>480</v>
      </c>
      <c r="D127" s="1149">
        <v>5767</v>
      </c>
      <c r="E127" s="1150">
        <v>10574</v>
      </c>
      <c r="F127" s="1150">
        <v>6710</v>
      </c>
      <c r="G127" s="1150">
        <v>11360</v>
      </c>
      <c r="H127" s="1150">
        <v>7754</v>
      </c>
      <c r="I127" s="1150">
        <v>7792</v>
      </c>
      <c r="J127" s="1098"/>
      <c r="K127" s="1098"/>
      <c r="M127" s="58"/>
      <c r="N127" s="58"/>
      <c r="O127" s="58"/>
      <c r="P127" s="58"/>
      <c r="Q127" s="58"/>
    </row>
    <row r="128" spans="2:17" s="503" customFormat="1" ht="16.2" x14ac:dyDescent="0.3">
      <c r="B128" s="1143" t="s">
        <v>639</v>
      </c>
      <c r="C128" s="1144" t="s">
        <v>480</v>
      </c>
      <c r="D128" s="1145">
        <v>234</v>
      </c>
      <c r="E128" s="1146">
        <v>201</v>
      </c>
      <c r="F128" s="1146">
        <v>218</v>
      </c>
      <c r="G128" s="1146">
        <v>287</v>
      </c>
      <c r="H128" s="1146">
        <v>124</v>
      </c>
      <c r="I128" s="1146">
        <v>184</v>
      </c>
      <c r="J128" s="1098"/>
      <c r="K128" s="1098"/>
      <c r="M128" s="58"/>
      <c r="N128" s="58"/>
      <c r="O128" s="58"/>
      <c r="P128" s="58"/>
      <c r="Q128" s="58"/>
    </row>
    <row r="129" spans="2:17" s="503" customFormat="1" ht="16.2" x14ac:dyDescent="0.3">
      <c r="B129" s="1143" t="s">
        <v>640</v>
      </c>
      <c r="C129" s="1144" t="s">
        <v>480</v>
      </c>
      <c r="D129" s="1145">
        <v>13836</v>
      </c>
      <c r="E129" s="1146">
        <v>15445</v>
      </c>
      <c r="F129" s="1146">
        <v>15635</v>
      </c>
      <c r="G129" s="1146">
        <v>19266</v>
      </c>
      <c r="H129" s="1146">
        <v>28202</v>
      </c>
      <c r="I129" s="1146">
        <v>33978</v>
      </c>
      <c r="J129" s="1098"/>
      <c r="K129" s="1098"/>
      <c r="M129" s="58"/>
      <c r="N129" s="58"/>
      <c r="O129" s="58"/>
      <c r="P129" s="58"/>
      <c r="Q129" s="58"/>
    </row>
    <row r="130" spans="2:17" s="503" customFormat="1" ht="16.2" x14ac:dyDescent="0.3">
      <c r="B130" s="1143" t="s">
        <v>641</v>
      </c>
      <c r="C130" s="1144" t="s">
        <v>480</v>
      </c>
      <c r="D130" s="1145">
        <v>607</v>
      </c>
      <c r="E130" s="1146">
        <v>1372</v>
      </c>
      <c r="F130" s="1146">
        <v>2308</v>
      </c>
      <c r="G130" s="1146">
        <v>1355</v>
      </c>
      <c r="H130" s="1146">
        <v>1619</v>
      </c>
      <c r="I130" s="1146">
        <v>1636</v>
      </c>
      <c r="J130" s="1098"/>
      <c r="K130" s="1098"/>
      <c r="M130" s="58"/>
      <c r="N130" s="58"/>
      <c r="O130" s="58"/>
      <c r="P130" s="58"/>
      <c r="Q130" s="58"/>
    </row>
    <row r="131" spans="2:17" s="503" customFormat="1" ht="16.2" x14ac:dyDescent="0.3">
      <c r="B131" s="1187" t="s">
        <v>642</v>
      </c>
      <c r="C131" s="1148" t="s">
        <v>480</v>
      </c>
      <c r="D131" s="1149">
        <v>14677</v>
      </c>
      <c r="E131" s="1150">
        <v>17018</v>
      </c>
      <c r="F131" s="1150">
        <v>18161</v>
      </c>
      <c r="G131" s="1150">
        <v>20908</v>
      </c>
      <c r="H131" s="1150">
        <v>29945</v>
      </c>
      <c r="I131" s="1150">
        <v>35798</v>
      </c>
      <c r="J131" s="1098"/>
      <c r="K131" s="1098"/>
      <c r="M131" s="58"/>
      <c r="N131" s="58"/>
      <c r="O131" s="58"/>
      <c r="P131" s="58"/>
      <c r="Q131" s="58"/>
    </row>
    <row r="132" spans="2:17" s="503" customFormat="1" ht="16.2" x14ac:dyDescent="0.3">
      <c r="B132" s="1187" t="s">
        <v>643</v>
      </c>
      <c r="C132" s="1148" t="s">
        <v>480</v>
      </c>
      <c r="D132" s="1149">
        <v>20444</v>
      </c>
      <c r="E132" s="1150">
        <v>27592</v>
      </c>
      <c r="F132" s="1150">
        <v>24871</v>
      </c>
      <c r="G132" s="1150">
        <v>32269</v>
      </c>
      <c r="H132" s="1150">
        <v>37698</v>
      </c>
      <c r="I132" s="1150">
        <v>43590</v>
      </c>
      <c r="J132" s="1098"/>
      <c r="K132" s="1098"/>
      <c r="M132" s="58"/>
      <c r="N132" s="58"/>
      <c r="O132" s="58"/>
      <c r="P132" s="58"/>
      <c r="Q132" s="58"/>
    </row>
    <row r="133" spans="2:17" s="503" customFormat="1" ht="16.2" x14ac:dyDescent="0.3">
      <c r="B133" s="1187" t="s">
        <v>644</v>
      </c>
      <c r="C133" s="1148" t="s">
        <v>480</v>
      </c>
      <c r="D133" s="1149">
        <v>2841</v>
      </c>
      <c r="E133" s="1150">
        <v>3302</v>
      </c>
      <c r="F133" s="1150">
        <v>4301</v>
      </c>
      <c r="G133" s="1150">
        <v>4089</v>
      </c>
      <c r="H133" s="1150">
        <v>3152</v>
      </c>
      <c r="I133" s="1150">
        <v>2970</v>
      </c>
      <c r="J133" s="1098"/>
      <c r="K133" s="1098"/>
      <c r="L133" s="669"/>
      <c r="M133" s="58"/>
      <c r="N133" s="58"/>
      <c r="O133" s="58"/>
      <c r="P133" s="58"/>
      <c r="Q133" s="58"/>
    </row>
    <row r="134" spans="2:17" ht="23.55" customHeight="1" x14ac:dyDescent="0.3">
      <c r="B134" s="1189" t="s">
        <v>645</v>
      </c>
      <c r="C134" s="980" t="s">
        <v>430</v>
      </c>
      <c r="D134" s="981" t="s">
        <v>431</v>
      </c>
      <c r="E134" s="1078" t="s">
        <v>432</v>
      </c>
      <c r="F134" s="1078" t="s">
        <v>433</v>
      </c>
      <c r="G134" s="1078" t="s">
        <v>434</v>
      </c>
      <c r="H134" s="1079" t="s">
        <v>435</v>
      </c>
      <c r="I134" s="1079" t="s">
        <v>436</v>
      </c>
      <c r="J134" s="1142"/>
      <c r="K134" s="1142"/>
    </row>
    <row r="135" spans="2:17" s="503" customFormat="1" ht="16.2" x14ac:dyDescent="0.3">
      <c r="B135" s="1151" t="s">
        <v>646</v>
      </c>
      <c r="C135" s="1144" t="s">
        <v>480</v>
      </c>
      <c r="D135" s="1152">
        <v>127</v>
      </c>
      <c r="E135" s="1153">
        <v>119</v>
      </c>
      <c r="F135" s="1153">
        <v>119</v>
      </c>
      <c r="G135" s="1153">
        <v>109</v>
      </c>
      <c r="H135" s="1153">
        <v>106</v>
      </c>
      <c r="I135" s="1153">
        <v>125</v>
      </c>
      <c r="J135" s="1098"/>
      <c r="K135" s="1098"/>
    </row>
    <row r="136" spans="2:17" s="503" customFormat="1" ht="16.2" x14ac:dyDescent="0.3">
      <c r="B136" s="1151" t="s">
        <v>647</v>
      </c>
      <c r="C136" s="1144" t="s">
        <v>480</v>
      </c>
      <c r="D136" s="1152">
        <v>373</v>
      </c>
      <c r="E136" s="1153">
        <v>413</v>
      </c>
      <c r="F136" s="1153">
        <v>920</v>
      </c>
      <c r="G136" s="1153">
        <v>893</v>
      </c>
      <c r="H136" s="1153">
        <v>925</v>
      </c>
      <c r="I136" s="1153">
        <v>593</v>
      </c>
      <c r="J136" s="1098"/>
      <c r="K136" s="1098"/>
    </row>
    <row r="137" spans="2:17" s="503" customFormat="1" ht="16.2" x14ac:dyDescent="0.3">
      <c r="B137" s="1151" t="s">
        <v>648</v>
      </c>
      <c r="C137" s="1144" t="s">
        <v>480</v>
      </c>
      <c r="D137" s="1152">
        <v>11586</v>
      </c>
      <c r="E137" s="1153">
        <v>11769</v>
      </c>
      <c r="F137" s="1153">
        <v>13386</v>
      </c>
      <c r="G137" s="1153">
        <v>11775</v>
      </c>
      <c r="H137" s="1146">
        <v>10049</v>
      </c>
      <c r="I137" s="1146">
        <v>12803</v>
      </c>
      <c r="J137" s="1098"/>
      <c r="K137" s="1098"/>
    </row>
    <row r="138" spans="2:17" s="503" customFormat="1" ht="16.2" x14ac:dyDescent="0.3">
      <c r="B138" s="1151" t="s">
        <v>649</v>
      </c>
      <c r="C138" s="1144" t="s">
        <v>480</v>
      </c>
      <c r="D138" s="1152">
        <v>22385</v>
      </c>
      <c r="E138" s="1153">
        <v>24864</v>
      </c>
      <c r="F138" s="1153">
        <v>22742</v>
      </c>
      <c r="G138" s="1153">
        <v>25964</v>
      </c>
      <c r="H138" s="1153">
        <v>12738</v>
      </c>
      <c r="I138" s="1153">
        <v>6062</v>
      </c>
      <c r="J138" s="1098"/>
      <c r="K138" s="1098"/>
    </row>
    <row r="139" spans="2:17" s="503" customFormat="1" ht="16.2" x14ac:dyDescent="0.3">
      <c r="B139" s="1188" t="s">
        <v>650</v>
      </c>
      <c r="C139" s="1148" t="s">
        <v>480</v>
      </c>
      <c r="D139" s="1149">
        <v>34472</v>
      </c>
      <c r="E139" s="1150">
        <v>37165</v>
      </c>
      <c r="F139" s="1150">
        <v>37166</v>
      </c>
      <c r="G139" s="1150">
        <v>38741</v>
      </c>
      <c r="H139" s="1150">
        <v>23819</v>
      </c>
      <c r="I139" s="1150">
        <v>19583</v>
      </c>
      <c r="J139" s="1154"/>
      <c r="K139" s="1154"/>
    </row>
    <row r="140" spans="2:17" s="503" customFormat="1" ht="16.2" x14ac:dyDescent="0.3">
      <c r="B140" s="1151" t="s">
        <v>651</v>
      </c>
      <c r="C140" s="1144" t="s">
        <v>463</v>
      </c>
      <c r="D140" s="1155">
        <v>0.67</v>
      </c>
      <c r="E140" s="1156">
        <v>0.52900000000000003</v>
      </c>
      <c r="F140" s="1156">
        <v>0.66800000000000004</v>
      </c>
      <c r="G140" s="1156">
        <v>0.51100000000000001</v>
      </c>
      <c r="H140" s="1156">
        <v>0.56699999999999995</v>
      </c>
      <c r="I140" s="1156">
        <v>0.624</v>
      </c>
      <c r="J140" s="1107"/>
      <c r="K140" s="1107"/>
    </row>
    <row r="141" spans="2:17" s="503" customFormat="1" ht="16.2" x14ac:dyDescent="0.3">
      <c r="B141" s="1157" t="s">
        <v>652</v>
      </c>
      <c r="C141" s="1158" t="s">
        <v>463</v>
      </c>
      <c r="D141" s="1155">
        <v>0.60799999999999998</v>
      </c>
      <c r="E141" s="1156">
        <v>0.59799999999999998</v>
      </c>
      <c r="F141" s="1156">
        <v>0.56599999999999995</v>
      </c>
      <c r="G141" s="1156">
        <v>0.56200000000000006</v>
      </c>
      <c r="H141" s="1156">
        <v>0.313</v>
      </c>
      <c r="I141" s="1156">
        <v>0.157</v>
      </c>
      <c r="J141" s="1098"/>
      <c r="K141" s="1098"/>
    </row>
    <row r="142" spans="2:17" s="503" customFormat="1" ht="16.2" x14ac:dyDescent="0.3">
      <c r="B142" s="1157" t="s">
        <v>653</v>
      </c>
      <c r="C142" s="1158" t="s">
        <v>463</v>
      </c>
      <c r="D142" s="1155">
        <v>0.628</v>
      </c>
      <c r="E142" s="1156">
        <v>0.57399999999999995</v>
      </c>
      <c r="F142" s="1156">
        <v>0.59899999999999998</v>
      </c>
      <c r="G142" s="1156">
        <v>0.54600000000000004</v>
      </c>
      <c r="H142" s="1156">
        <v>0.38700000000000001</v>
      </c>
      <c r="I142" s="1156">
        <v>0.31</v>
      </c>
      <c r="J142" s="1098"/>
      <c r="K142" s="1098"/>
    </row>
    <row r="143" spans="2:17" ht="17.399999999999999" x14ac:dyDescent="0.3">
      <c r="B143" s="246" t="s">
        <v>654</v>
      </c>
      <c r="C143" s="980" t="s">
        <v>430</v>
      </c>
      <c r="D143" s="981" t="s">
        <v>431</v>
      </c>
      <c r="E143" s="1078" t="s">
        <v>432</v>
      </c>
      <c r="F143" s="1078" t="s">
        <v>433</v>
      </c>
      <c r="G143" s="1078" t="s">
        <v>434</v>
      </c>
      <c r="H143" s="1079" t="s">
        <v>435</v>
      </c>
      <c r="I143" s="1079" t="s">
        <v>436</v>
      </c>
      <c r="J143" s="1142"/>
      <c r="K143" s="1142"/>
    </row>
    <row r="144" spans="2:17" s="503" customFormat="1" ht="17.55" customHeight="1" x14ac:dyDescent="0.3">
      <c r="B144" s="1159" t="s">
        <v>491</v>
      </c>
      <c r="C144" s="1144" t="s">
        <v>480</v>
      </c>
      <c r="D144" s="1145">
        <v>15623</v>
      </c>
      <c r="E144" s="1160">
        <v>14792</v>
      </c>
      <c r="F144" s="1160">
        <v>16490</v>
      </c>
      <c r="G144" s="1160">
        <v>17321</v>
      </c>
      <c r="H144" s="1160">
        <v>13510</v>
      </c>
      <c r="I144" s="1160">
        <v>15410</v>
      </c>
      <c r="J144" s="1098"/>
      <c r="K144" s="1098"/>
    </row>
    <row r="145" spans="2:18" s="503" customFormat="1" ht="16.2" x14ac:dyDescent="0.3">
      <c r="B145" s="1159" t="s">
        <v>655</v>
      </c>
      <c r="C145" s="1144" t="s">
        <v>480</v>
      </c>
      <c r="D145" s="1161">
        <v>146</v>
      </c>
      <c r="E145" s="1162">
        <v>195</v>
      </c>
      <c r="F145" s="1162">
        <v>481</v>
      </c>
      <c r="G145" s="1162">
        <v>512</v>
      </c>
      <c r="H145" s="1162">
        <v>421</v>
      </c>
      <c r="I145" s="1162">
        <v>219</v>
      </c>
      <c r="J145" s="1098"/>
      <c r="K145" s="1098"/>
    </row>
    <row r="146" spans="2:18" s="503" customFormat="1" ht="16.2" x14ac:dyDescent="0.3">
      <c r="B146" s="1159" t="s">
        <v>656</v>
      </c>
      <c r="C146" s="1144" t="s">
        <v>480</v>
      </c>
      <c r="D146" s="1161">
        <v>12070</v>
      </c>
      <c r="E146" s="1162">
        <v>11032</v>
      </c>
      <c r="F146" s="1162">
        <v>11695</v>
      </c>
      <c r="G146" s="1162">
        <v>11433</v>
      </c>
      <c r="H146" s="1163">
        <v>9676</v>
      </c>
      <c r="I146" s="1163">
        <v>11205</v>
      </c>
      <c r="J146" s="1098"/>
      <c r="K146" s="1098"/>
    </row>
    <row r="147" spans="2:18" s="503" customFormat="1" ht="16.2" x14ac:dyDescent="0.3">
      <c r="B147" s="1164" t="s">
        <v>490</v>
      </c>
      <c r="C147" s="1144" t="s">
        <v>480</v>
      </c>
      <c r="D147" s="1149">
        <v>3553</v>
      </c>
      <c r="E147" s="1165">
        <v>3760</v>
      </c>
      <c r="F147" s="1165">
        <v>4794</v>
      </c>
      <c r="G147" s="1165">
        <v>5888</v>
      </c>
      <c r="H147" s="1165">
        <v>3834</v>
      </c>
      <c r="I147" s="1165">
        <v>4205</v>
      </c>
      <c r="J147" s="1098"/>
      <c r="K147" s="1098"/>
    </row>
    <row r="148" spans="2:18" ht="13.8" x14ac:dyDescent="0.3">
      <c r="B148" s="500"/>
      <c r="C148" s="1166"/>
      <c r="D148" s="1167"/>
      <c r="E148" s="1167"/>
      <c r="F148" s="1167"/>
      <c r="G148" s="1167"/>
      <c r="H148" s="1167"/>
      <c r="I148" s="1167"/>
      <c r="J148" s="1142"/>
      <c r="K148" s="1142"/>
    </row>
    <row r="149" spans="2:18" ht="33" customHeight="1" x14ac:dyDescent="0.3">
      <c r="B149" s="1168" t="s">
        <v>657</v>
      </c>
      <c r="C149" s="1051" t="s">
        <v>430</v>
      </c>
      <c r="D149" s="981" t="s">
        <v>431</v>
      </c>
      <c r="E149" s="1078" t="s">
        <v>432</v>
      </c>
      <c r="F149" s="1078" t="s">
        <v>433</v>
      </c>
      <c r="G149" s="1078" t="s">
        <v>434</v>
      </c>
      <c r="H149" s="1079" t="s">
        <v>435</v>
      </c>
      <c r="I149" s="1079" t="s">
        <v>436</v>
      </c>
      <c r="J149" s="1003" t="str">
        <f>J84</f>
        <v>Performance against prior year</v>
      </c>
      <c r="K149" s="1142"/>
    </row>
    <row r="150" spans="2:18" ht="18.600000000000001" x14ac:dyDescent="0.3">
      <c r="B150" s="533" t="s">
        <v>658</v>
      </c>
      <c r="C150" s="532" t="s">
        <v>480</v>
      </c>
      <c r="D150" s="1169">
        <v>278</v>
      </c>
      <c r="E150" s="1063">
        <v>318.29000000000002</v>
      </c>
      <c r="F150" s="1063">
        <v>336.7</v>
      </c>
      <c r="G150" s="1063">
        <v>358.26</v>
      </c>
      <c r="H150" s="1063">
        <v>338.34</v>
      </c>
      <c r="I150" s="1063">
        <v>320.41000000000003</v>
      </c>
      <c r="J150" s="1086">
        <f t="shared" ref="J150:J155" si="34">(E150-F150)/F150</f>
        <v>-5.4677754677754584E-2</v>
      </c>
      <c r="K150" s="1142"/>
    </row>
    <row r="151" spans="2:18" ht="18.600000000000001" x14ac:dyDescent="0.3">
      <c r="B151" s="533" t="s">
        <v>659</v>
      </c>
      <c r="C151" s="532" t="s">
        <v>480</v>
      </c>
      <c r="D151" s="1169">
        <v>42</v>
      </c>
      <c r="E151" s="1063">
        <v>36.020000000000003</v>
      </c>
      <c r="F151" s="1063">
        <v>31.17</v>
      </c>
      <c r="G151" s="1063">
        <v>73.42</v>
      </c>
      <c r="H151" s="1063">
        <v>42.28</v>
      </c>
      <c r="I151" s="1063">
        <v>16.420000000000002</v>
      </c>
      <c r="J151" s="1086">
        <f t="shared" si="34"/>
        <v>0.15559833172922685</v>
      </c>
      <c r="K151" s="1142"/>
    </row>
    <row r="152" spans="2:18" ht="16.2" x14ac:dyDescent="0.3">
      <c r="B152" s="533" t="s">
        <v>496</v>
      </c>
      <c r="C152" s="532" t="s">
        <v>480</v>
      </c>
      <c r="D152" s="1169">
        <v>50</v>
      </c>
      <c r="E152" s="1063">
        <v>44.76</v>
      </c>
      <c r="F152" s="1063">
        <v>42.41</v>
      </c>
      <c r="G152" s="1063">
        <v>49.72</v>
      </c>
      <c r="H152" s="1063">
        <v>38.729999999999997</v>
      </c>
      <c r="I152" s="1063">
        <v>47.06</v>
      </c>
      <c r="J152" s="1086">
        <f t="shared" si="34"/>
        <v>5.541145956142423E-2</v>
      </c>
      <c r="K152" s="1142"/>
    </row>
    <row r="153" spans="2:18" ht="18.600000000000001" x14ac:dyDescent="0.3">
      <c r="B153" s="533" t="s">
        <v>660</v>
      </c>
      <c r="C153" s="532" t="s">
        <v>463</v>
      </c>
      <c r="D153" s="1045">
        <v>0.85299999999999998</v>
      </c>
      <c r="E153" s="1046">
        <v>0.875</v>
      </c>
      <c r="F153" s="1046">
        <v>0.86</v>
      </c>
      <c r="G153" s="1046">
        <v>0.85</v>
      </c>
      <c r="H153" s="1115">
        <v>0.85</v>
      </c>
      <c r="I153" s="1115">
        <v>0.82</v>
      </c>
      <c r="J153" s="1086">
        <f t="shared" si="34"/>
        <v>1.7441860465116296E-2</v>
      </c>
      <c r="K153" s="1142"/>
    </row>
    <row r="154" spans="2:18" ht="18.600000000000001" x14ac:dyDescent="0.3">
      <c r="B154" s="544" t="s">
        <v>661</v>
      </c>
      <c r="C154" s="532" t="s">
        <v>463</v>
      </c>
      <c r="D154" s="1045">
        <v>0.68</v>
      </c>
      <c r="E154" s="1046">
        <v>0.67500000000000004</v>
      </c>
      <c r="F154" s="1046">
        <v>0.36</v>
      </c>
      <c r="G154" s="1046">
        <v>0.34</v>
      </c>
      <c r="H154" s="1115">
        <v>0.36</v>
      </c>
      <c r="I154" s="1115">
        <v>0.32</v>
      </c>
      <c r="J154" s="1086">
        <f t="shared" si="34"/>
        <v>0.87500000000000022</v>
      </c>
      <c r="K154" s="1142"/>
    </row>
    <row r="155" spans="2:18" ht="16.2" x14ac:dyDescent="0.3">
      <c r="B155" s="544" t="s">
        <v>499</v>
      </c>
      <c r="C155" s="532" t="s">
        <v>463</v>
      </c>
      <c r="D155" s="1045">
        <v>0.82</v>
      </c>
      <c r="E155" s="1046">
        <v>0.8</v>
      </c>
      <c r="F155" s="1046">
        <v>0.56999999999999995</v>
      </c>
      <c r="G155" s="1046">
        <v>0.56000000000000005</v>
      </c>
      <c r="H155" s="1115">
        <v>0.54</v>
      </c>
      <c r="I155" s="1115">
        <v>0.53</v>
      </c>
      <c r="J155" s="1086">
        <f t="shared" si="34"/>
        <v>0.40350877192982476</v>
      </c>
      <c r="K155" s="1142"/>
    </row>
    <row r="156" spans="2:18" ht="13.8" x14ac:dyDescent="0.3">
      <c r="B156" s="120"/>
      <c r="C156" s="1070"/>
      <c r="D156" s="1170"/>
      <c r="E156" s="1171"/>
      <c r="F156" s="1171"/>
      <c r="G156" s="1171"/>
      <c r="H156" s="1171"/>
      <c r="I156" s="1172"/>
      <c r="J156" s="1142"/>
      <c r="K156" s="1142"/>
    </row>
    <row r="157" spans="2:18" ht="17.399999999999999" x14ac:dyDescent="0.3">
      <c r="B157" s="1002" t="s">
        <v>662</v>
      </c>
      <c r="C157" s="980" t="s">
        <v>430</v>
      </c>
      <c r="D157" s="981" t="s">
        <v>431</v>
      </c>
      <c r="E157" s="1019" t="s">
        <v>432</v>
      </c>
      <c r="F157" s="1019" t="str">
        <f>F38</f>
        <v>2022/23</v>
      </c>
      <c r="G157" s="1019" t="str">
        <f>G38</f>
        <v>2021/22</v>
      </c>
      <c r="H157" s="1019" t="str">
        <f>H38</f>
        <v>2020/21</v>
      </c>
      <c r="I157" s="1019" t="str">
        <f>I38</f>
        <v>2019/20</v>
      </c>
      <c r="J157" s="1018"/>
      <c r="K157" s="1018"/>
      <c r="L157" s="122"/>
      <c r="M157" s="101"/>
      <c r="R157" s="101"/>
    </row>
    <row r="158" spans="2:18" ht="17.55" customHeight="1" x14ac:dyDescent="0.3">
      <c r="B158" s="543" t="s">
        <v>663</v>
      </c>
      <c r="C158" s="1004" t="s">
        <v>664</v>
      </c>
      <c r="D158" s="1005">
        <v>97876</v>
      </c>
      <c r="E158" s="1007">
        <v>104994</v>
      </c>
      <c r="F158" s="1007">
        <v>103566</v>
      </c>
      <c r="G158" s="1007">
        <v>105896</v>
      </c>
      <c r="H158" s="1007">
        <v>102204</v>
      </c>
      <c r="I158" s="1007">
        <v>108710</v>
      </c>
      <c r="J158" s="1018"/>
      <c r="K158" s="1018"/>
      <c r="L158" s="122"/>
      <c r="M158" s="101"/>
      <c r="R158" s="101"/>
    </row>
    <row r="159" spans="2:18" ht="16.2" x14ac:dyDescent="0.3">
      <c r="B159" s="543" t="s">
        <v>665</v>
      </c>
      <c r="C159" s="1004" t="s">
        <v>666</v>
      </c>
      <c r="D159" s="1005">
        <v>11674</v>
      </c>
      <c r="E159" s="1173">
        <v>12843</v>
      </c>
      <c r="F159" s="1173">
        <v>14933</v>
      </c>
      <c r="G159" s="1173">
        <v>16025</v>
      </c>
      <c r="H159" s="1173">
        <v>15435</v>
      </c>
      <c r="I159" s="1173">
        <v>14577</v>
      </c>
      <c r="J159" s="1135"/>
      <c r="K159" s="1135"/>
      <c r="L159" s="122"/>
      <c r="M159" s="101"/>
      <c r="R159" s="101"/>
    </row>
    <row r="160" spans="2:18" ht="13.8" x14ac:dyDescent="0.3">
      <c r="B160" s="119"/>
      <c r="C160" s="1016"/>
      <c r="D160" s="1017"/>
      <c r="E160" s="120"/>
      <c r="F160" s="120"/>
      <c r="G160" s="120"/>
      <c r="H160" s="120"/>
      <c r="I160" s="121"/>
      <c r="J160" s="121"/>
      <c r="K160" s="121"/>
      <c r="L160" s="122"/>
      <c r="M160" s="122"/>
    </row>
    <row r="161" spans="2:18" ht="17.399999999999999" x14ac:dyDescent="0.3">
      <c r="B161" s="1077" t="s">
        <v>667</v>
      </c>
      <c r="C161" s="1051" t="s">
        <v>430</v>
      </c>
      <c r="D161" s="981" t="s">
        <v>431</v>
      </c>
      <c r="E161" s="1019" t="s">
        <v>432</v>
      </c>
      <c r="F161" s="1019" t="s">
        <v>433</v>
      </c>
      <c r="R161" s="101"/>
    </row>
    <row r="162" spans="2:18" ht="32.4" x14ac:dyDescent="0.3">
      <c r="B162" s="529" t="s">
        <v>287</v>
      </c>
      <c r="C162" s="532" t="s">
        <v>668</v>
      </c>
      <c r="D162" s="1174">
        <v>2</v>
      </c>
      <c r="E162" s="1063">
        <v>1</v>
      </c>
      <c r="F162" s="1063">
        <v>1</v>
      </c>
      <c r="R162" s="101"/>
    </row>
    <row r="163" spans="2:18" ht="16.2" x14ac:dyDescent="0.3">
      <c r="B163" s="533" t="s">
        <v>669</v>
      </c>
      <c r="C163" s="532" t="s">
        <v>670</v>
      </c>
      <c r="D163" s="1175">
        <v>47000</v>
      </c>
      <c r="E163" s="1007">
        <v>0</v>
      </c>
      <c r="F163" s="1007">
        <v>0</v>
      </c>
    </row>
    <row r="164" spans="2:18" ht="13.8" x14ac:dyDescent="0.3"/>
    <row r="165" spans="2:18" ht="17.399999999999999" x14ac:dyDescent="0.3">
      <c r="B165" s="1077" t="s">
        <v>671</v>
      </c>
      <c r="C165" s="1051" t="s">
        <v>430</v>
      </c>
      <c r="D165" s="981" t="s">
        <v>431</v>
      </c>
      <c r="E165" s="1019" t="s">
        <v>432</v>
      </c>
      <c r="F165" s="1019" t="s">
        <v>433</v>
      </c>
    </row>
    <row r="166" spans="2:18" ht="16.2" x14ac:dyDescent="0.3">
      <c r="B166" s="529" t="s">
        <v>672</v>
      </c>
      <c r="C166" s="532" t="s">
        <v>463</v>
      </c>
      <c r="D166" s="1176">
        <v>0.97</v>
      </c>
      <c r="E166" s="1177">
        <v>0.93</v>
      </c>
      <c r="F166" s="1063"/>
    </row>
    <row r="167" spans="2:18" ht="13.8" x14ac:dyDescent="0.3">
      <c r="E167" s="91"/>
    </row>
    <row r="168" spans="2:18" ht="13.8" x14ac:dyDescent="0.3">
      <c r="E168" s="91"/>
    </row>
    <row r="169" spans="2:18" ht="13.8" x14ac:dyDescent="0.3">
      <c r="E169" s="91"/>
      <c r="J169" s="101"/>
    </row>
    <row r="170" spans="2:18" ht="13.8" x14ac:dyDescent="0.3">
      <c r="L170" s="101"/>
    </row>
    <row r="171" spans="2:18" ht="13.8" x14ac:dyDescent="0.3"/>
    <row r="178" spans="3:5" ht="13.5" customHeight="1" x14ac:dyDescent="0.3">
      <c r="C178" s="1178"/>
    </row>
    <row r="179" spans="3:5" ht="13.5" customHeight="1" x14ac:dyDescent="0.3">
      <c r="C179" s="1178"/>
      <c r="D179" s="1178"/>
      <c r="E179" s="1023"/>
    </row>
    <row r="180" spans="3:5" ht="13.5" customHeight="1" x14ac:dyDescent="0.3">
      <c r="C180" s="1179"/>
    </row>
  </sheetData>
  <sheetProtection algorithmName="SHA-512" hashValue="bA+M6z8LnNfrOoxYUM1q6MkbCy1PvznqUHU14Ok2RVBUDeu/hxXDIzXQAumo+Cnv1GTdaX6skGrXk30uaLHOig==" saltValue="zbGcF17OQWXjTFAt0vW63A==" spinCount="100000" sheet="1" objects="1" scenarios="1"/>
  <mergeCells count="7">
    <mergeCell ref="B4:F4"/>
    <mergeCell ref="B5:I5"/>
    <mergeCell ref="I82:K82"/>
    <mergeCell ref="B9:B10"/>
    <mergeCell ref="C9:C10"/>
    <mergeCell ref="B52:B53"/>
    <mergeCell ref="C52:C53"/>
  </mergeCells>
  <phoneticPr fontId="3" type="noConversion"/>
  <conditionalFormatting sqref="E104:H104">
    <cfRule type="dataBar" priority="2">
      <dataBar>
        <cfvo type="num" val="-0.2"/>
        <cfvo type="num" val="1"/>
        <color theme="3"/>
      </dataBar>
      <extLst>
        <ext xmlns:x14="http://schemas.microsoft.com/office/spreadsheetml/2009/9/main" uri="{B025F937-C7B1-47D3-B67F-A62EFF666E3E}">
          <x14:id>{BE78B56E-E9F5-415C-86FC-7F7AA965E2C0}</x14:id>
        </ext>
      </extLst>
    </cfRule>
  </conditionalFormatting>
  <conditionalFormatting sqref="J104">
    <cfRule type="dataBar" priority="1">
      <dataBar>
        <cfvo type="num" val="-0.2"/>
        <cfvo type="num" val="1"/>
        <color theme="3"/>
      </dataBar>
      <extLst>
        <ext xmlns:x14="http://schemas.microsoft.com/office/spreadsheetml/2009/9/main" uri="{B025F937-C7B1-47D3-B67F-A62EFF666E3E}">
          <x14:id>{0741C01B-B25F-4A5B-8D3C-0598A3C7D19E}</x14:id>
        </ext>
      </extLst>
    </cfRule>
  </conditionalFormatting>
  <hyperlinks>
    <hyperlink ref="B4:D4" location="'Basis of Reporting'!A1" display="Please see ERM CVS' full assurance report on page 196-198 of our ARA 2025 and on Basis of Reporting tab for more details." xr:uid="{53DA4807-F4D2-475B-A1D4-E28298C9FF6F}"/>
  </hyperlinks>
  <pageMargins left="0.23622047244094491" right="0.23622047244094491" top="0.74803149606299213" bottom="0.74803149606299213" header="0.31496062992125984" footer="0.31496062992125984"/>
  <pageSetup paperSize="9" scale="48" fitToHeight="0" orientation="landscape" r:id="rId1"/>
  <rowBreaks count="2" manualBreakCount="2">
    <brk id="48" min="1" max="8" man="1"/>
    <brk id="105" min="1"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BE78B56E-E9F5-415C-86FC-7F7AA965E2C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E104:H104</xm:sqref>
        </x14:conditionalFormatting>
        <x14:conditionalFormatting xmlns:xm="http://schemas.microsoft.com/office/excel/2006/main">
          <x14:cfRule type="dataBar" id="{0741C01B-B25F-4A5B-8D3C-0598A3C7D19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J104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77734375" defaultRowHeight="13.8" x14ac:dyDescent="0.25"/>
  <cols>
    <col min="1" max="1" width="14.77734375" style="2" customWidth="1"/>
    <col min="2" max="2" width="88.77734375" style="2" customWidth="1"/>
    <col min="3" max="3" width="97.44140625" style="2" customWidth="1"/>
    <col min="4" max="4" width="24.21875" style="2" customWidth="1"/>
    <col min="5" max="5" width="19.44140625" style="2" customWidth="1"/>
    <col min="6" max="6" width="17.21875" style="2" customWidth="1"/>
    <col min="7" max="7" width="18.5546875" style="2" bestFit="1" customWidth="1"/>
    <col min="8" max="8" width="21.21875" style="2" customWidth="1"/>
    <col min="9" max="9" width="17.77734375" style="2" customWidth="1"/>
    <col min="10" max="10" width="19.21875" style="2" bestFit="1" customWidth="1"/>
    <col min="11" max="12" width="20.21875" style="2" customWidth="1"/>
    <col min="13" max="13" width="22.21875" style="2" customWidth="1"/>
    <col min="14" max="14" width="21.77734375" style="2" customWidth="1"/>
    <col min="15" max="15" width="20.21875" style="2" customWidth="1"/>
    <col min="16" max="16" width="17.5546875" style="2" customWidth="1"/>
    <col min="17" max="16384" width="8.77734375" style="2"/>
  </cols>
  <sheetData>
    <row r="2" spans="1:25" ht="41.4" x14ac:dyDescent="0.25">
      <c r="A2" s="10" t="s">
        <v>673</v>
      </c>
      <c r="B2" s="1597" t="s">
        <v>31</v>
      </c>
      <c r="C2" s="1597"/>
      <c r="D2" s="1597"/>
      <c r="E2" s="1597"/>
      <c r="F2" s="1597"/>
      <c r="G2" s="1597"/>
      <c r="H2" s="1597"/>
      <c r="I2" s="1597"/>
      <c r="J2" s="1597"/>
      <c r="K2" s="1597"/>
      <c r="L2" s="1597"/>
      <c r="M2" s="1597"/>
      <c r="N2" s="1597"/>
      <c r="O2" s="4"/>
      <c r="P2" s="13"/>
      <c r="Q2" s="13"/>
      <c r="R2" s="13"/>
      <c r="S2" s="13"/>
      <c r="T2" s="13"/>
      <c r="U2" s="14"/>
      <c r="V2" s="14"/>
      <c r="W2" s="14"/>
      <c r="X2" s="14"/>
    </row>
    <row r="3" spans="1:25" ht="19.8" x14ac:dyDescent="0.25">
      <c r="B3" s="15"/>
      <c r="C3" s="15"/>
      <c r="D3" s="15"/>
      <c r="E3" s="15"/>
      <c r="F3" s="15"/>
      <c r="G3" s="16"/>
      <c r="H3" s="16"/>
      <c r="I3" s="16"/>
      <c r="J3" s="16"/>
      <c r="K3" s="16"/>
      <c r="L3" s="16"/>
      <c r="M3" s="16"/>
      <c r="N3" s="16"/>
      <c r="O3" s="16"/>
      <c r="P3" s="16"/>
      <c r="Q3" s="16"/>
      <c r="R3" s="16"/>
      <c r="S3" s="16"/>
      <c r="T3" s="16"/>
      <c r="U3" s="14"/>
      <c r="V3" s="14"/>
      <c r="W3" s="14"/>
      <c r="X3" s="14"/>
    </row>
    <row r="4" spans="1:25" ht="184.5" customHeight="1" x14ac:dyDescent="0.25">
      <c r="B4" s="1591" t="s">
        <v>674</v>
      </c>
      <c r="C4" s="1591"/>
      <c r="D4" s="1591"/>
      <c r="E4" s="1591"/>
      <c r="F4" s="1591"/>
      <c r="G4" s="1591"/>
      <c r="H4" s="1591"/>
      <c r="I4" s="1591"/>
      <c r="J4" s="1591"/>
      <c r="K4" s="1591"/>
      <c r="L4" s="1591"/>
      <c r="M4" s="14"/>
      <c r="N4" s="14"/>
      <c r="O4" s="14"/>
      <c r="P4" s="14"/>
      <c r="Q4" s="14"/>
      <c r="R4" s="14"/>
      <c r="S4" s="14"/>
      <c r="T4" s="14"/>
      <c r="U4" s="14"/>
      <c r="V4" s="14"/>
      <c r="W4" s="14"/>
      <c r="X4" s="14"/>
    </row>
    <row r="5" spans="1:25" x14ac:dyDescent="0.25">
      <c r="B5" s="17"/>
      <c r="C5" s="17"/>
      <c r="D5" s="17"/>
      <c r="E5" s="17"/>
      <c r="F5" s="17"/>
      <c r="G5" s="18"/>
      <c r="H5" s="18"/>
      <c r="I5" s="18"/>
      <c r="J5" s="14"/>
      <c r="K5" s="14"/>
      <c r="L5" s="14"/>
      <c r="M5" s="14"/>
      <c r="N5" s="14"/>
      <c r="O5" s="14"/>
      <c r="P5" s="19"/>
      <c r="Q5" s="14"/>
      <c r="R5" s="14"/>
      <c r="S5" s="14"/>
      <c r="T5" s="14"/>
      <c r="U5" s="14"/>
      <c r="V5" s="14"/>
      <c r="W5" s="14"/>
      <c r="X5" s="14"/>
    </row>
    <row r="6" spans="1:25" ht="24.6" x14ac:dyDescent="0.4">
      <c r="B6" s="20" t="s">
        <v>556</v>
      </c>
      <c r="C6" s="21"/>
      <c r="D6" s="22"/>
      <c r="E6" s="22"/>
      <c r="F6" s="22"/>
      <c r="G6" s="1593"/>
      <c r="H6" s="1593"/>
      <c r="I6" s="1593"/>
      <c r="J6" s="23"/>
      <c r="K6" s="23"/>
      <c r="L6" s="23"/>
      <c r="M6" s="23"/>
      <c r="N6" s="23"/>
      <c r="O6" s="14"/>
      <c r="P6" s="14"/>
      <c r="Q6" s="14"/>
      <c r="R6" s="14"/>
      <c r="S6" s="14"/>
      <c r="T6" s="14"/>
      <c r="U6" s="14"/>
      <c r="V6" s="14"/>
      <c r="W6" s="14"/>
      <c r="X6" s="14"/>
    </row>
    <row r="7" spans="1:25" x14ac:dyDescent="0.25">
      <c r="C7" s="24"/>
      <c r="D7" s="25"/>
      <c r="E7" s="25"/>
      <c r="F7" s="25"/>
      <c r="G7" s="26"/>
      <c r="H7" s="26"/>
      <c r="I7" s="26"/>
      <c r="J7" s="26"/>
      <c r="K7" s="26"/>
      <c r="L7" s="26"/>
      <c r="M7" s="27"/>
      <c r="N7" s="27"/>
      <c r="O7" s="14"/>
      <c r="P7" s="27"/>
      <c r="Q7" s="27"/>
      <c r="R7" s="27"/>
      <c r="S7" s="27"/>
      <c r="T7" s="27"/>
      <c r="U7" s="27"/>
      <c r="V7" s="27"/>
      <c r="W7" s="27"/>
      <c r="X7" s="27"/>
    </row>
    <row r="8" spans="1:25" ht="14.25" customHeight="1" x14ac:dyDescent="0.25">
      <c r="B8" s="1598" t="s">
        <v>429</v>
      </c>
      <c r="C8" s="1599" t="s">
        <v>675</v>
      </c>
      <c r="D8" s="1600" t="s">
        <v>430</v>
      </c>
      <c r="E8" s="1592" t="s">
        <v>433</v>
      </c>
      <c r="F8" s="1592"/>
      <c r="G8" s="1592"/>
      <c r="H8" s="1595" t="s">
        <v>434</v>
      </c>
      <c r="I8" s="1595"/>
      <c r="J8" s="1595"/>
      <c r="K8" s="1595" t="s">
        <v>435</v>
      </c>
      <c r="L8" s="1595"/>
      <c r="M8" s="1595"/>
      <c r="N8" s="226" t="s">
        <v>436</v>
      </c>
      <c r="O8" s="14"/>
      <c r="P8" s="14"/>
      <c r="Q8" s="14"/>
      <c r="R8" s="14"/>
      <c r="S8" s="14"/>
      <c r="T8" s="14"/>
      <c r="U8" s="14"/>
      <c r="V8" s="14"/>
      <c r="W8" s="14"/>
      <c r="X8" s="14"/>
      <c r="Y8" s="14"/>
    </row>
    <row r="9" spans="1:25" ht="28.05" customHeight="1" x14ac:dyDescent="0.25">
      <c r="B9" s="1598"/>
      <c r="C9" s="1599"/>
      <c r="D9" s="1601"/>
      <c r="E9" s="225" t="s">
        <v>438</v>
      </c>
      <c r="F9" s="225" t="s">
        <v>676</v>
      </c>
      <c r="G9" s="225" t="s">
        <v>677</v>
      </c>
      <c r="H9" s="226" t="s">
        <v>438</v>
      </c>
      <c r="I9" s="226" t="s">
        <v>676</v>
      </c>
      <c r="J9" s="227" t="s">
        <v>677</v>
      </c>
      <c r="K9" s="226" t="s">
        <v>438</v>
      </c>
      <c r="L9" s="226" t="s">
        <v>676</v>
      </c>
      <c r="M9" s="227" t="s">
        <v>677</v>
      </c>
      <c r="N9" s="226" t="s">
        <v>438</v>
      </c>
      <c r="O9" s="14"/>
      <c r="P9" s="28"/>
      <c r="Q9" s="28"/>
      <c r="R9" s="14"/>
      <c r="S9" s="14"/>
      <c r="T9" s="14"/>
      <c r="U9" s="14"/>
      <c r="V9" s="14"/>
      <c r="W9" s="14"/>
      <c r="X9" s="14"/>
      <c r="Y9" s="14"/>
    </row>
    <row r="10" spans="1:25" ht="126.6" x14ac:dyDescent="0.25">
      <c r="B10" s="148" t="s">
        <v>368</v>
      </c>
      <c r="C10" s="149" t="s">
        <v>678</v>
      </c>
      <c r="D10" s="149" t="s">
        <v>679</v>
      </c>
      <c r="E10" s="237">
        <v>235892</v>
      </c>
      <c r="F10" s="237">
        <v>100466</v>
      </c>
      <c r="G10" s="237">
        <f>E10-F10</f>
        <v>135426</v>
      </c>
      <c r="H10" s="150">
        <v>262233</v>
      </c>
      <c r="I10" s="150">
        <v>108639</v>
      </c>
      <c r="J10" s="150">
        <f>H10-I10</f>
        <v>153594</v>
      </c>
      <c r="K10" s="150">
        <v>255832</v>
      </c>
      <c r="L10" s="150">
        <v>116770</v>
      </c>
      <c r="M10" s="150">
        <f>K10-L10</f>
        <v>139062</v>
      </c>
      <c r="N10" s="150">
        <v>253097</v>
      </c>
      <c r="O10" s="14"/>
      <c r="P10" s="29"/>
      <c r="Q10" s="29"/>
      <c r="R10" s="14"/>
      <c r="S10" s="14"/>
      <c r="T10" s="14"/>
      <c r="U10" s="14"/>
      <c r="V10" s="14"/>
      <c r="W10" s="14"/>
      <c r="X10" s="14"/>
      <c r="Y10" s="14"/>
    </row>
    <row r="11" spans="1:25" ht="82.8" x14ac:dyDescent="0.25">
      <c r="B11" s="148" t="s">
        <v>370</v>
      </c>
      <c r="C11" s="149" t="s">
        <v>680</v>
      </c>
      <c r="D11" s="149" t="s">
        <v>679</v>
      </c>
      <c r="E11" s="237">
        <v>131449</v>
      </c>
      <c r="F11" s="237">
        <v>1024</v>
      </c>
      <c r="G11" s="237">
        <f t="shared" ref="G11:G14" si="0">E11-F11</f>
        <v>130425</v>
      </c>
      <c r="H11" s="150">
        <v>181419</v>
      </c>
      <c r="I11" s="150">
        <v>1482</v>
      </c>
      <c r="J11" s="150">
        <f t="shared" ref="J11:J14" si="1">H11-I11</f>
        <v>179937</v>
      </c>
      <c r="K11" s="150">
        <v>181525</v>
      </c>
      <c r="L11" s="150">
        <v>3969</v>
      </c>
      <c r="M11" s="150">
        <f>K11-L11</f>
        <v>177556</v>
      </c>
      <c r="N11" s="150">
        <v>192333</v>
      </c>
      <c r="O11" s="14"/>
      <c r="P11" s="29"/>
      <c r="Q11" s="29"/>
      <c r="R11" s="14"/>
      <c r="S11" s="14"/>
      <c r="T11" s="14"/>
      <c r="U11" s="14"/>
      <c r="V11" s="14"/>
      <c r="W11" s="14"/>
      <c r="X11" s="14"/>
      <c r="Y11" s="14"/>
    </row>
    <row r="12" spans="1:25" ht="82.8" x14ac:dyDescent="0.25">
      <c r="B12" s="148" t="s">
        <v>442</v>
      </c>
      <c r="C12" s="149" t="s">
        <v>681</v>
      </c>
      <c r="D12" s="149" t="s">
        <v>679</v>
      </c>
      <c r="E12" s="237">
        <v>206357</v>
      </c>
      <c r="F12" s="237">
        <v>21721</v>
      </c>
      <c r="G12" s="237">
        <f t="shared" si="0"/>
        <v>184636</v>
      </c>
      <c r="H12" s="150">
        <v>241531</v>
      </c>
      <c r="I12" s="150">
        <v>29037</v>
      </c>
      <c r="J12" s="150">
        <f t="shared" si="1"/>
        <v>212494</v>
      </c>
      <c r="K12" s="150">
        <v>226283</v>
      </c>
      <c r="L12" s="150">
        <v>33772</v>
      </c>
      <c r="M12" s="150">
        <f t="shared" ref="M12:M14" si="2">K12-L12</f>
        <v>192511</v>
      </c>
      <c r="N12" s="150">
        <v>251569</v>
      </c>
      <c r="O12" s="14"/>
      <c r="P12" s="29"/>
      <c r="Q12" s="29"/>
      <c r="R12" s="14"/>
      <c r="S12" s="14"/>
      <c r="T12" s="14"/>
      <c r="U12" s="14"/>
      <c r="V12" s="14"/>
      <c r="W12" s="14"/>
      <c r="X12" s="14"/>
      <c r="Y12" s="14"/>
    </row>
    <row r="13" spans="1:25" ht="27.6" x14ac:dyDescent="0.25">
      <c r="B13" s="151" t="s">
        <v>443</v>
      </c>
      <c r="C13" s="152" t="s">
        <v>682</v>
      </c>
      <c r="D13" s="152" t="s">
        <v>683</v>
      </c>
      <c r="E13" s="237">
        <v>367341</v>
      </c>
      <c r="F13" s="237">
        <v>101489</v>
      </c>
      <c r="G13" s="237">
        <f t="shared" si="0"/>
        <v>265852</v>
      </c>
      <c r="H13" s="234">
        <f>H10+H11</f>
        <v>443652</v>
      </c>
      <c r="I13" s="234">
        <f t="shared" ref="I13" si="3">I10+I11</f>
        <v>110121</v>
      </c>
      <c r="J13" s="234">
        <f t="shared" si="1"/>
        <v>333531</v>
      </c>
      <c r="K13" s="234">
        <v>437357</v>
      </c>
      <c r="L13" s="234">
        <v>120739</v>
      </c>
      <c r="M13" s="234">
        <f t="shared" si="2"/>
        <v>316618</v>
      </c>
      <c r="N13" s="234">
        <v>445430</v>
      </c>
      <c r="O13" s="14"/>
      <c r="P13" s="67"/>
      <c r="Q13" s="29"/>
      <c r="R13" s="14"/>
      <c r="S13" s="14"/>
      <c r="T13" s="14"/>
      <c r="U13" s="14"/>
      <c r="V13" s="14"/>
      <c r="W13" s="14"/>
      <c r="X13" s="14"/>
      <c r="Y13" s="14"/>
    </row>
    <row r="14" spans="1:25" ht="27.6" x14ac:dyDescent="0.25">
      <c r="B14" s="148" t="s">
        <v>445</v>
      </c>
      <c r="C14" s="149" t="s">
        <v>684</v>
      </c>
      <c r="D14" s="149" t="s">
        <v>679</v>
      </c>
      <c r="E14" s="237">
        <v>442248</v>
      </c>
      <c r="F14" s="237">
        <v>122186</v>
      </c>
      <c r="G14" s="237">
        <f t="shared" si="0"/>
        <v>320062</v>
      </c>
      <c r="H14" s="150">
        <f>H10+H12</f>
        <v>503764</v>
      </c>
      <c r="I14" s="150">
        <v>137676</v>
      </c>
      <c r="J14" s="150">
        <f t="shared" si="1"/>
        <v>366088</v>
      </c>
      <c r="K14" s="150">
        <f>K10+K12</f>
        <v>482115</v>
      </c>
      <c r="L14" s="150">
        <f t="shared" ref="L14" si="4">L10+L12</f>
        <v>150542</v>
      </c>
      <c r="M14" s="150">
        <f t="shared" si="2"/>
        <v>331573</v>
      </c>
      <c r="N14" s="150">
        <v>504666</v>
      </c>
      <c r="O14" s="14"/>
      <c r="P14" s="68"/>
      <c r="Q14" s="29"/>
      <c r="R14" s="14"/>
      <c r="S14" s="14"/>
      <c r="T14" s="14"/>
      <c r="U14" s="14"/>
      <c r="V14" s="14"/>
      <c r="W14" s="14"/>
      <c r="X14" s="14"/>
      <c r="Y14" s="14"/>
    </row>
    <row r="15" spans="1:25" ht="28.8" x14ac:dyDescent="0.25">
      <c r="B15" s="151" t="s">
        <v>446</v>
      </c>
      <c r="C15" s="152" t="s">
        <v>685</v>
      </c>
      <c r="D15" s="152" t="s">
        <v>686</v>
      </c>
      <c r="E15" s="238">
        <v>3.4</v>
      </c>
      <c r="F15" s="238">
        <v>22.3</v>
      </c>
      <c r="G15" s="238">
        <v>2.6</v>
      </c>
      <c r="H15" s="235">
        <v>3.9</v>
      </c>
      <c r="I15" s="235">
        <v>20.5</v>
      </c>
      <c r="J15" s="236">
        <v>3.1</v>
      </c>
      <c r="K15" s="235">
        <v>3.9</v>
      </c>
      <c r="L15" s="235">
        <v>12.2</v>
      </c>
      <c r="M15" s="235">
        <v>3.1</v>
      </c>
      <c r="N15" s="235">
        <v>3.6</v>
      </c>
      <c r="O15" s="14"/>
      <c r="P15" s="29"/>
      <c r="Q15" s="29"/>
      <c r="R15" s="14"/>
      <c r="S15" s="14"/>
      <c r="T15" s="14"/>
      <c r="U15" s="14"/>
      <c r="V15" s="14"/>
      <c r="W15" s="14"/>
      <c r="X15" s="14"/>
      <c r="Y15" s="14"/>
    </row>
    <row r="16" spans="1:25" x14ac:dyDescent="0.25">
      <c r="B16" s="30"/>
      <c r="C16" s="30"/>
      <c r="D16" s="31"/>
      <c r="E16" s="31"/>
      <c r="F16" s="31"/>
      <c r="G16" s="32"/>
      <c r="H16" s="33"/>
      <c r="I16" s="33"/>
      <c r="J16" s="33"/>
      <c r="K16" s="33"/>
      <c r="L16" s="33"/>
      <c r="M16" s="34"/>
      <c r="N16" s="14"/>
      <c r="O16" s="14"/>
      <c r="P16" s="14"/>
      <c r="Q16" s="14"/>
      <c r="R16" s="14"/>
      <c r="S16" s="14"/>
      <c r="T16" s="14"/>
      <c r="U16" s="14"/>
      <c r="V16" s="14"/>
      <c r="W16" s="14"/>
      <c r="X16" s="14"/>
    </row>
    <row r="17" spans="2:24" x14ac:dyDescent="0.25">
      <c r="B17" s="391" t="s">
        <v>559</v>
      </c>
      <c r="C17" s="391" t="s">
        <v>687</v>
      </c>
      <c r="D17" s="392" t="s">
        <v>430</v>
      </c>
      <c r="E17" s="393" t="s">
        <v>433</v>
      </c>
      <c r="F17" s="394" t="s">
        <v>434</v>
      </c>
      <c r="G17" s="394" t="s">
        <v>435</v>
      </c>
      <c r="H17" s="394" t="s">
        <v>436</v>
      </c>
      <c r="I17" s="28"/>
      <c r="J17" s="35"/>
      <c r="K17" s="33"/>
      <c r="L17" s="33"/>
      <c r="M17" s="34"/>
      <c r="N17" s="14"/>
      <c r="O17" s="14"/>
      <c r="P17" s="14"/>
      <c r="Q17" s="14"/>
      <c r="R17" s="14"/>
      <c r="S17" s="14"/>
      <c r="T17" s="14"/>
      <c r="U17" s="14"/>
      <c r="V17" s="14"/>
      <c r="W17" s="14"/>
      <c r="X17" s="14"/>
    </row>
    <row r="18" spans="2:24" ht="41.4" x14ac:dyDescent="0.25">
      <c r="B18" s="396" t="s">
        <v>560</v>
      </c>
      <c r="C18" s="395" t="s">
        <v>688</v>
      </c>
      <c r="D18" s="396" t="s">
        <v>581</v>
      </c>
      <c r="E18" s="397">
        <v>2495473</v>
      </c>
      <c r="F18" s="398">
        <v>2978197</v>
      </c>
      <c r="G18" s="398">
        <v>2812518</v>
      </c>
      <c r="H18" s="398">
        <v>3433660</v>
      </c>
      <c r="I18" s="36"/>
      <c r="J18" s="69"/>
      <c r="K18" s="33"/>
      <c r="L18" s="33"/>
      <c r="M18" s="34"/>
      <c r="N18" s="14"/>
      <c r="O18" s="14"/>
      <c r="P18" s="14"/>
      <c r="Q18" s="14"/>
      <c r="R18" s="14"/>
      <c r="S18" s="14"/>
      <c r="T18" s="14"/>
      <c r="U18" s="14"/>
      <c r="V18" s="14"/>
      <c r="W18" s="14"/>
      <c r="X18" s="14"/>
    </row>
    <row r="19" spans="2:24" ht="27.6" x14ac:dyDescent="0.25">
      <c r="B19" s="396" t="s">
        <v>562</v>
      </c>
      <c r="C19" s="395" t="s">
        <v>689</v>
      </c>
      <c r="D19" s="396" t="s">
        <v>581</v>
      </c>
      <c r="E19" s="397">
        <v>182667</v>
      </c>
      <c r="F19" s="398">
        <v>348360</v>
      </c>
      <c r="G19" s="398">
        <v>308835</v>
      </c>
      <c r="H19" s="398">
        <v>399630</v>
      </c>
      <c r="I19" s="33"/>
      <c r="J19" s="33"/>
      <c r="K19" s="33"/>
      <c r="L19" s="33"/>
      <c r="M19" s="34"/>
      <c r="N19" s="14"/>
      <c r="O19" s="14"/>
      <c r="P19" s="14"/>
      <c r="Q19" s="14"/>
      <c r="R19" s="14"/>
      <c r="S19" s="14"/>
      <c r="T19" s="14"/>
      <c r="U19" s="14"/>
      <c r="V19" s="14"/>
      <c r="W19" s="14"/>
      <c r="X19" s="14"/>
    </row>
    <row r="20" spans="2:24" ht="41.4" x14ac:dyDescent="0.25">
      <c r="B20" s="396" t="s">
        <v>563</v>
      </c>
      <c r="C20" s="395" t="s">
        <v>690</v>
      </c>
      <c r="D20" s="396" t="s">
        <v>581</v>
      </c>
      <c r="E20" s="397">
        <v>41485</v>
      </c>
      <c r="F20" s="411">
        <v>47438</v>
      </c>
      <c r="G20" s="411">
        <v>39899</v>
      </c>
      <c r="H20" s="411">
        <v>41259</v>
      </c>
      <c r="I20" s="33"/>
      <c r="J20" s="33"/>
      <c r="K20" s="33"/>
      <c r="L20" s="33"/>
      <c r="M20" s="34"/>
      <c r="N20" s="14"/>
      <c r="O20" s="14"/>
      <c r="P20" s="14"/>
      <c r="Q20" s="14"/>
      <c r="R20" s="14"/>
      <c r="S20" s="14"/>
      <c r="T20" s="14"/>
      <c r="U20" s="14"/>
      <c r="V20" s="14"/>
      <c r="W20" s="14"/>
      <c r="X20" s="14"/>
    </row>
    <row r="21" spans="2:24" ht="27.6" x14ac:dyDescent="0.25">
      <c r="B21" s="396" t="s">
        <v>564</v>
      </c>
      <c r="C21" s="395" t="s">
        <v>691</v>
      </c>
      <c r="D21" s="396" t="s">
        <v>581</v>
      </c>
      <c r="E21" s="397">
        <v>81999</v>
      </c>
      <c r="F21" s="398">
        <v>168750</v>
      </c>
      <c r="G21" s="398">
        <v>102552</v>
      </c>
      <c r="H21" s="398">
        <v>102552</v>
      </c>
      <c r="I21" s="33"/>
      <c r="J21" s="33"/>
      <c r="K21" s="33"/>
      <c r="L21" s="33"/>
      <c r="M21" s="34"/>
      <c r="N21" s="14"/>
      <c r="O21" s="14"/>
      <c r="P21" s="14"/>
      <c r="Q21" s="14"/>
      <c r="R21" s="14"/>
      <c r="S21" s="14"/>
      <c r="T21" s="14"/>
      <c r="U21" s="14"/>
      <c r="V21" s="14"/>
      <c r="W21" s="14"/>
      <c r="X21" s="14"/>
    </row>
    <row r="22" spans="2:24" ht="41.4" x14ac:dyDescent="0.25">
      <c r="B22" s="396" t="s">
        <v>565</v>
      </c>
      <c r="C22" s="395" t="s">
        <v>692</v>
      </c>
      <c r="D22" s="396" t="s">
        <v>581</v>
      </c>
      <c r="E22" s="397">
        <v>4029</v>
      </c>
      <c r="F22" s="398">
        <v>5879</v>
      </c>
      <c r="G22" s="398">
        <v>5346</v>
      </c>
      <c r="H22" s="398">
        <v>5303</v>
      </c>
      <c r="I22" s="33"/>
      <c r="J22" s="33"/>
      <c r="K22" s="33"/>
      <c r="L22" s="33"/>
      <c r="M22" s="34"/>
      <c r="N22" s="14"/>
      <c r="O22" s="14"/>
      <c r="P22" s="14"/>
      <c r="Q22" s="14"/>
      <c r="R22" s="14"/>
      <c r="S22" s="14"/>
      <c r="T22" s="14"/>
      <c r="U22" s="14"/>
      <c r="V22" s="14"/>
      <c r="W22" s="14"/>
      <c r="X22" s="14"/>
    </row>
    <row r="23" spans="2:24" ht="69" x14ac:dyDescent="0.25">
      <c r="B23" s="396" t="s">
        <v>566</v>
      </c>
      <c r="C23" s="395" t="s">
        <v>693</v>
      </c>
      <c r="D23" s="396" t="s">
        <v>581</v>
      </c>
      <c r="E23" s="397">
        <v>5077.333333333333</v>
      </c>
      <c r="F23" s="398">
        <v>1336</v>
      </c>
      <c r="G23" s="398">
        <v>67</v>
      </c>
      <c r="H23" s="398">
        <v>9202</v>
      </c>
      <c r="I23" s="33"/>
      <c r="J23" s="33"/>
      <c r="K23" s="33"/>
      <c r="L23" s="33"/>
      <c r="M23" s="34"/>
      <c r="N23" s="14"/>
      <c r="O23" s="14"/>
      <c r="P23" s="14"/>
      <c r="Q23" s="14"/>
      <c r="R23" s="14"/>
      <c r="S23" s="14"/>
      <c r="T23" s="14"/>
      <c r="U23" s="14"/>
      <c r="V23" s="14"/>
      <c r="W23" s="14"/>
      <c r="X23" s="14"/>
    </row>
    <row r="24" spans="2:24" ht="41.4" x14ac:dyDescent="0.25">
      <c r="B24" s="396" t="s">
        <v>567</v>
      </c>
      <c r="C24" s="395" t="s">
        <v>694</v>
      </c>
      <c r="D24" s="396" t="s">
        <v>581</v>
      </c>
      <c r="E24" s="397">
        <v>13627</v>
      </c>
      <c r="F24" s="398">
        <v>15718</v>
      </c>
      <c r="G24" s="398">
        <v>29957</v>
      </c>
      <c r="H24" s="398">
        <v>29957</v>
      </c>
      <c r="I24" s="33"/>
      <c r="J24" s="33"/>
      <c r="K24" s="33"/>
      <c r="L24" s="33"/>
      <c r="M24" s="34"/>
      <c r="N24" s="14"/>
      <c r="O24" s="14"/>
      <c r="P24" s="14"/>
      <c r="Q24" s="14"/>
      <c r="R24" s="14"/>
      <c r="S24" s="14"/>
      <c r="T24" s="14"/>
      <c r="U24" s="14"/>
      <c r="V24" s="14"/>
      <c r="W24" s="14"/>
      <c r="X24" s="14"/>
    </row>
    <row r="25" spans="2:24" ht="15" x14ac:dyDescent="0.25">
      <c r="B25" s="396" t="s">
        <v>568</v>
      </c>
      <c r="C25" s="395" t="s">
        <v>695</v>
      </c>
      <c r="D25" s="396" t="s">
        <v>581</v>
      </c>
      <c r="E25" s="397">
        <v>523</v>
      </c>
      <c r="F25" s="398">
        <v>698</v>
      </c>
      <c r="G25" s="398">
        <v>602</v>
      </c>
      <c r="H25" s="398">
        <v>5094</v>
      </c>
      <c r="I25" s="33"/>
      <c r="J25" s="33"/>
      <c r="K25" s="33"/>
      <c r="L25" s="33"/>
      <c r="M25" s="34"/>
      <c r="N25" s="14"/>
      <c r="O25" s="14"/>
      <c r="P25" s="14"/>
      <c r="Q25" s="14"/>
      <c r="R25" s="14"/>
      <c r="S25" s="14"/>
      <c r="T25" s="14"/>
      <c r="U25" s="14"/>
      <c r="V25" s="14"/>
      <c r="W25" s="14"/>
      <c r="X25" s="14"/>
    </row>
    <row r="26" spans="2:24" ht="27.6" x14ac:dyDescent="0.25">
      <c r="B26" s="396" t="s">
        <v>569</v>
      </c>
      <c r="C26" s="395" t="s">
        <v>696</v>
      </c>
      <c r="D26" s="396" t="s">
        <v>581</v>
      </c>
      <c r="E26" s="397">
        <v>0</v>
      </c>
      <c r="F26" s="398">
        <v>0</v>
      </c>
      <c r="G26" s="398">
        <v>0</v>
      </c>
      <c r="H26" s="398">
        <v>0</v>
      </c>
      <c r="I26" s="33"/>
      <c r="J26" s="33"/>
      <c r="K26" s="33"/>
      <c r="L26" s="33"/>
      <c r="M26" s="34"/>
      <c r="N26" s="14"/>
      <c r="O26" s="14"/>
      <c r="P26" s="14"/>
      <c r="Q26" s="14"/>
      <c r="R26" s="14"/>
      <c r="S26" s="14"/>
      <c r="T26" s="14"/>
      <c r="U26" s="14"/>
      <c r="V26" s="14"/>
      <c r="W26" s="14"/>
      <c r="X26" s="14"/>
    </row>
    <row r="27" spans="2:24" ht="27.6" x14ac:dyDescent="0.25">
      <c r="B27" s="396" t="s">
        <v>570</v>
      </c>
      <c r="C27" s="395" t="s">
        <v>697</v>
      </c>
      <c r="D27" s="396" t="s">
        <v>581</v>
      </c>
      <c r="E27" s="397">
        <v>0</v>
      </c>
      <c r="F27" s="398">
        <v>0</v>
      </c>
      <c r="G27" s="398">
        <v>0</v>
      </c>
      <c r="H27" s="398">
        <v>0</v>
      </c>
      <c r="I27" s="33"/>
      <c r="J27" s="33"/>
      <c r="K27" s="33"/>
      <c r="L27" s="33"/>
      <c r="M27" s="34"/>
      <c r="N27" s="14"/>
      <c r="O27" s="14"/>
      <c r="P27" s="14"/>
      <c r="Q27" s="14"/>
      <c r="R27" s="14"/>
      <c r="S27" s="14"/>
      <c r="T27" s="14"/>
      <c r="U27" s="14"/>
      <c r="V27" s="14"/>
      <c r="W27" s="14"/>
      <c r="X27" s="14"/>
    </row>
    <row r="28" spans="2:24" ht="41.4" x14ac:dyDescent="0.25">
      <c r="B28" s="396" t="s">
        <v>571</v>
      </c>
      <c r="C28" s="395" t="s">
        <v>698</v>
      </c>
      <c r="D28" s="396" t="s">
        <v>581</v>
      </c>
      <c r="E28" s="397">
        <v>0</v>
      </c>
      <c r="F28" s="398">
        <v>0</v>
      </c>
      <c r="G28" s="398">
        <v>0</v>
      </c>
      <c r="H28" s="398">
        <v>0</v>
      </c>
      <c r="I28" s="37"/>
      <c r="J28" s="37"/>
      <c r="K28" s="33"/>
      <c r="L28" s="33"/>
      <c r="M28" s="34"/>
      <c r="N28" s="14"/>
      <c r="O28" s="14"/>
      <c r="P28" s="14"/>
      <c r="Q28" s="14"/>
      <c r="R28" s="14"/>
      <c r="S28" s="14"/>
      <c r="T28" s="14"/>
      <c r="U28" s="14"/>
      <c r="V28" s="14"/>
      <c r="W28" s="14"/>
      <c r="X28" s="14"/>
    </row>
    <row r="29" spans="2:24" ht="41.4" x14ac:dyDescent="0.25">
      <c r="B29" s="396" t="s">
        <v>572</v>
      </c>
      <c r="C29" s="395" t="s">
        <v>699</v>
      </c>
      <c r="D29" s="396" t="s">
        <v>581</v>
      </c>
      <c r="E29" s="397">
        <v>0</v>
      </c>
      <c r="F29" s="398">
        <v>0</v>
      </c>
      <c r="G29" s="398">
        <v>0</v>
      </c>
      <c r="H29" s="398">
        <v>0</v>
      </c>
      <c r="I29" s="37"/>
      <c r="J29" s="37"/>
      <c r="K29" s="33"/>
      <c r="L29" s="33"/>
      <c r="M29" s="34"/>
      <c r="N29" s="14"/>
      <c r="O29" s="14"/>
      <c r="P29" s="14"/>
      <c r="Q29" s="14"/>
      <c r="R29" s="14"/>
      <c r="S29" s="14"/>
      <c r="T29" s="14"/>
      <c r="U29" s="14"/>
      <c r="V29" s="14"/>
      <c r="W29" s="14"/>
      <c r="X29" s="14"/>
    </row>
    <row r="30" spans="2:24" ht="15" x14ac:dyDescent="0.25">
      <c r="B30" s="396" t="s">
        <v>573</v>
      </c>
      <c r="C30" s="395" t="s">
        <v>700</v>
      </c>
      <c r="D30" s="396" t="s">
        <v>581</v>
      </c>
      <c r="E30" s="397">
        <v>0</v>
      </c>
      <c r="F30" s="398">
        <v>0</v>
      </c>
      <c r="G30" s="398">
        <v>0</v>
      </c>
      <c r="H30" s="398">
        <v>0</v>
      </c>
      <c r="I30" s="37"/>
      <c r="J30" s="37"/>
      <c r="K30" s="33"/>
      <c r="L30" s="33"/>
      <c r="M30" s="34"/>
      <c r="N30" s="14"/>
      <c r="O30" s="14"/>
      <c r="P30" s="14"/>
      <c r="Q30" s="14"/>
      <c r="R30" s="14"/>
      <c r="S30" s="14"/>
      <c r="T30" s="14"/>
      <c r="U30" s="14"/>
      <c r="V30" s="14"/>
      <c r="W30" s="14"/>
      <c r="X30" s="14"/>
    </row>
    <row r="31" spans="2:24" ht="15" x14ac:dyDescent="0.25">
      <c r="B31" s="396" t="s">
        <v>574</v>
      </c>
      <c r="C31" s="395" t="s">
        <v>701</v>
      </c>
      <c r="D31" s="396" t="s">
        <v>581</v>
      </c>
      <c r="E31" s="397">
        <v>0</v>
      </c>
      <c r="F31" s="398">
        <v>0</v>
      </c>
      <c r="G31" s="398">
        <v>0</v>
      </c>
      <c r="H31" s="398">
        <v>0</v>
      </c>
      <c r="I31" s="37"/>
      <c r="J31" s="37"/>
      <c r="K31" s="33"/>
      <c r="L31" s="33"/>
      <c r="M31" s="34"/>
      <c r="N31" s="14"/>
      <c r="O31" s="14"/>
      <c r="P31" s="14"/>
      <c r="Q31" s="14"/>
      <c r="R31" s="14"/>
      <c r="S31" s="14"/>
      <c r="T31" s="14"/>
      <c r="U31" s="14"/>
      <c r="V31" s="14"/>
      <c r="W31" s="14"/>
      <c r="X31" s="14"/>
    </row>
    <row r="32" spans="2:24" ht="41.4" x14ac:dyDescent="0.25">
      <c r="B32" s="396" t="s">
        <v>575</v>
      </c>
      <c r="C32" s="395" t="s">
        <v>702</v>
      </c>
      <c r="D32" s="396" t="s">
        <v>581</v>
      </c>
      <c r="E32" s="397">
        <v>125196</v>
      </c>
      <c r="F32" s="398">
        <v>118356</v>
      </c>
      <c r="G32" s="398">
        <v>119005</v>
      </c>
      <c r="H32" s="398">
        <v>129337</v>
      </c>
      <c r="I32" s="33"/>
      <c r="J32" s="33"/>
      <c r="K32" s="33"/>
      <c r="L32" s="33"/>
      <c r="M32" s="34"/>
      <c r="N32" s="14"/>
      <c r="O32" s="14"/>
      <c r="P32" s="14"/>
      <c r="Q32" s="14"/>
      <c r="R32" s="14"/>
      <c r="S32" s="14"/>
      <c r="T32" s="14"/>
      <c r="U32" s="14"/>
      <c r="V32" s="14"/>
      <c r="W32" s="14"/>
      <c r="X32" s="14"/>
    </row>
    <row r="33" spans="2:24" ht="15" x14ac:dyDescent="0.25">
      <c r="B33" s="396" t="s">
        <v>703</v>
      </c>
      <c r="C33" s="396"/>
      <c r="D33" s="399" t="s">
        <v>704</v>
      </c>
      <c r="E33" s="397">
        <f>SUM(E18:E32)</f>
        <v>2950076.3333333335</v>
      </c>
      <c r="F33" s="400">
        <f>SUM(F18:F32)</f>
        <v>3684732</v>
      </c>
      <c r="G33" s="400">
        <f>SUM(G18:G32)</f>
        <v>3418781</v>
      </c>
      <c r="H33" s="400">
        <f>SUM(H18:H32)</f>
        <v>4155994</v>
      </c>
      <c r="I33" s="33"/>
      <c r="J33" s="33"/>
      <c r="K33" s="33"/>
      <c r="L33" s="33"/>
      <c r="M33" s="34"/>
      <c r="N33" s="14"/>
      <c r="O33" s="14"/>
      <c r="P33" s="14"/>
      <c r="Q33" s="14"/>
      <c r="R33" s="14"/>
      <c r="S33" s="14"/>
      <c r="T33" s="14"/>
      <c r="U33" s="14"/>
      <c r="V33" s="14"/>
      <c r="W33" s="14"/>
      <c r="X33" s="14"/>
    </row>
    <row r="34" spans="2:24" x14ac:dyDescent="0.25">
      <c r="B34" s="11"/>
      <c r="C34" s="11"/>
      <c r="D34" s="11"/>
      <c r="E34" s="11"/>
      <c r="F34" s="11"/>
      <c r="G34" s="38"/>
      <c r="H34" s="38"/>
      <c r="I34" s="33"/>
      <c r="J34" s="33"/>
      <c r="K34" s="33"/>
      <c r="L34" s="33"/>
      <c r="M34" s="34"/>
      <c r="N34" s="14"/>
      <c r="O34" s="14"/>
      <c r="P34" s="14"/>
      <c r="Q34" s="14"/>
      <c r="R34" s="14"/>
      <c r="S34" s="14"/>
      <c r="T34" s="14"/>
      <c r="U34" s="14"/>
      <c r="V34" s="14"/>
      <c r="W34" s="14"/>
      <c r="X34" s="14"/>
    </row>
    <row r="35" spans="2:24" x14ac:dyDescent="0.25">
      <c r="B35" s="39"/>
      <c r="C35" s="12"/>
      <c r="E35" s="11"/>
      <c r="F35" s="11"/>
      <c r="G35" s="38"/>
      <c r="H35" s="38"/>
      <c r="I35" s="33"/>
      <c r="J35" s="33"/>
      <c r="K35" s="33"/>
      <c r="L35" s="33"/>
      <c r="M35" s="34"/>
      <c r="N35" s="14"/>
      <c r="O35" s="14"/>
      <c r="P35" s="14"/>
      <c r="Q35" s="14"/>
      <c r="R35" s="14"/>
      <c r="S35" s="14"/>
      <c r="T35" s="14"/>
      <c r="U35" s="14"/>
      <c r="V35" s="14"/>
      <c r="W35" s="14"/>
      <c r="X35" s="14"/>
    </row>
    <row r="36" spans="2:24" x14ac:dyDescent="0.25">
      <c r="B36" s="39"/>
      <c r="C36" s="12"/>
      <c r="E36" s="11"/>
      <c r="F36" s="11"/>
      <c r="G36" s="38"/>
      <c r="H36" s="38"/>
      <c r="I36" s="33"/>
      <c r="J36" s="33"/>
      <c r="K36" s="33"/>
      <c r="L36" s="33"/>
      <c r="M36" s="34"/>
      <c r="N36" s="14"/>
      <c r="O36" s="14"/>
      <c r="P36" s="14"/>
      <c r="Q36" s="14"/>
      <c r="R36" s="14"/>
      <c r="S36" s="14"/>
      <c r="T36" s="14"/>
      <c r="U36" s="14"/>
      <c r="V36" s="14"/>
      <c r="W36" s="14"/>
      <c r="X36" s="14"/>
    </row>
    <row r="37" spans="2:24" x14ac:dyDescent="0.25">
      <c r="B37" s="11"/>
      <c r="C37" s="11"/>
      <c r="D37" s="11"/>
      <c r="E37" s="11"/>
      <c r="F37" s="11"/>
      <c r="G37" s="38"/>
      <c r="H37" s="38"/>
      <c r="I37" s="38"/>
      <c r="J37" s="40"/>
      <c r="K37" s="40"/>
      <c r="L37" s="40"/>
      <c r="M37" s="14"/>
      <c r="N37" s="14"/>
      <c r="O37" s="14"/>
      <c r="P37" s="14"/>
      <c r="Q37" s="14"/>
      <c r="R37" s="14"/>
      <c r="S37" s="14"/>
      <c r="T37" s="14"/>
      <c r="U37" s="14"/>
      <c r="V37" s="14"/>
      <c r="W37" s="14"/>
      <c r="X37" s="14"/>
    </row>
    <row r="38" spans="2:24" ht="17.399999999999999" x14ac:dyDescent="0.25">
      <c r="B38" s="228" t="s">
        <v>705</v>
      </c>
      <c r="C38" s="159"/>
      <c r="D38" s="229" t="s">
        <v>430</v>
      </c>
      <c r="E38" s="267" t="str">
        <f>E17</f>
        <v>2022/23</v>
      </c>
      <c r="F38" s="268" t="str">
        <f>F17</f>
        <v>2021/22</v>
      </c>
      <c r="G38" s="268" t="str">
        <f>G17</f>
        <v>2020/21</v>
      </c>
      <c r="H38" s="268" t="str">
        <f>H17</f>
        <v>2019/20</v>
      </c>
      <c r="I38" s="38"/>
      <c r="J38" s="40"/>
      <c r="K38" s="40"/>
      <c r="L38" s="40"/>
      <c r="M38" s="14"/>
      <c r="N38" s="14"/>
      <c r="O38" s="14"/>
      <c r="P38" s="14"/>
      <c r="Q38" s="14"/>
      <c r="R38" s="14"/>
      <c r="S38" s="14"/>
      <c r="T38" s="14"/>
      <c r="U38" s="14"/>
      <c r="V38" s="14"/>
      <c r="W38" s="14"/>
      <c r="X38" s="14"/>
    </row>
    <row r="39" spans="2:24" ht="15" x14ac:dyDescent="0.25">
      <c r="B39" s="160" t="str">
        <f>B10</f>
        <v>Total Scope 1 GHG emissions</v>
      </c>
      <c r="C39" s="161" t="s">
        <v>438</v>
      </c>
      <c r="D39" s="155" t="s">
        <v>581</v>
      </c>
      <c r="E39" s="240">
        <f>E10</f>
        <v>235892</v>
      </c>
      <c r="F39" s="162">
        <f>H10</f>
        <v>262233</v>
      </c>
      <c r="G39" s="162">
        <f>K10</f>
        <v>255832</v>
      </c>
      <c r="H39" s="162">
        <f>N10</f>
        <v>253097</v>
      </c>
      <c r="J39" s="70"/>
      <c r="K39" s="40"/>
      <c r="L39" s="40"/>
      <c r="M39" s="14"/>
      <c r="N39" s="14"/>
      <c r="O39" s="14"/>
      <c r="P39" s="14"/>
      <c r="Q39" s="14"/>
      <c r="R39" s="14"/>
      <c r="S39" s="14"/>
      <c r="T39" s="14"/>
      <c r="U39" s="14"/>
      <c r="V39" s="14"/>
      <c r="W39" s="14"/>
      <c r="X39" s="14"/>
    </row>
    <row r="40" spans="2:24" ht="15" x14ac:dyDescent="0.25">
      <c r="B40" s="160" t="str">
        <f>B11</f>
        <v>Total Scope 2 GHG emissions (market-based)</v>
      </c>
      <c r="C40" s="161" t="s">
        <v>438</v>
      </c>
      <c r="D40" s="155" t="s">
        <v>581</v>
      </c>
      <c r="E40" s="240">
        <f>E11</f>
        <v>131449</v>
      </c>
      <c r="F40" s="162">
        <f>H11</f>
        <v>181419</v>
      </c>
      <c r="G40" s="162">
        <f>K11</f>
        <v>181525</v>
      </c>
      <c r="H40" s="162">
        <f>N11</f>
        <v>192333</v>
      </c>
      <c r="J40" s="70"/>
      <c r="K40" s="40"/>
      <c r="L40" s="40"/>
      <c r="M40" s="14"/>
      <c r="N40" s="14"/>
      <c r="O40" s="14"/>
      <c r="P40" s="14"/>
      <c r="Q40" s="14"/>
      <c r="R40" s="14"/>
      <c r="S40" s="14"/>
      <c r="T40" s="14"/>
      <c r="U40" s="14"/>
      <c r="V40" s="14"/>
      <c r="W40" s="14"/>
      <c r="X40" s="14"/>
    </row>
    <row r="41" spans="2:24" ht="15" x14ac:dyDescent="0.25">
      <c r="B41" s="160" t="str">
        <f>"Scope 3 - "&amp;B18</f>
        <v>Scope 3 - Total Scope 3 (Category 1) Purchased goods and services GHG emissions</v>
      </c>
      <c r="C41" s="154" t="s">
        <v>706</v>
      </c>
      <c r="D41" s="155" t="s">
        <v>581</v>
      </c>
      <c r="E41" s="240">
        <f>E18</f>
        <v>2495473</v>
      </c>
      <c r="F41" s="162">
        <f>F18</f>
        <v>2978197</v>
      </c>
      <c r="G41" s="162">
        <f>G18</f>
        <v>2812518</v>
      </c>
      <c r="H41" s="162">
        <f>H18</f>
        <v>3433660</v>
      </c>
      <c r="J41" s="70"/>
      <c r="K41" s="40"/>
      <c r="L41" s="40"/>
      <c r="M41" s="14"/>
      <c r="N41" s="14"/>
      <c r="O41" s="14"/>
      <c r="P41" s="14"/>
      <c r="Q41" s="14"/>
      <c r="R41" s="14"/>
      <c r="S41" s="14"/>
      <c r="T41" s="14"/>
      <c r="U41" s="14"/>
      <c r="V41" s="14"/>
      <c r="W41" s="14"/>
      <c r="X41" s="14"/>
    </row>
    <row r="42" spans="2:24" ht="15" x14ac:dyDescent="0.25">
      <c r="B42" s="160" t="str">
        <f>"Scope 3 - All other categories"</f>
        <v>Scope 3 - All other categories</v>
      </c>
      <c r="C42" s="161" t="s">
        <v>707</v>
      </c>
      <c r="D42" s="155" t="s">
        <v>581</v>
      </c>
      <c r="E42" s="240">
        <f>E33-E18</f>
        <v>454603.33333333349</v>
      </c>
      <c r="F42" s="162">
        <f>F33-F18</f>
        <v>706535</v>
      </c>
      <c r="G42" s="162">
        <f>G33-G18</f>
        <v>606263</v>
      </c>
      <c r="H42" s="162">
        <f>H33-H18</f>
        <v>722334</v>
      </c>
      <c r="J42" s="70"/>
      <c r="K42" s="40"/>
      <c r="L42" s="40"/>
      <c r="M42" s="14"/>
      <c r="N42" s="14"/>
      <c r="O42" s="14"/>
      <c r="P42" s="14"/>
      <c r="Q42" s="14"/>
      <c r="R42" s="14"/>
      <c r="S42" s="14"/>
      <c r="T42" s="14"/>
      <c r="U42" s="14"/>
      <c r="V42" s="14"/>
      <c r="W42" s="14"/>
      <c r="X42" s="14"/>
    </row>
    <row r="43" spans="2:24" ht="15" x14ac:dyDescent="0.25">
      <c r="B43" s="232" t="s">
        <v>708</v>
      </c>
      <c r="C43" s="232"/>
      <c r="D43" s="157" t="s">
        <v>704</v>
      </c>
      <c r="E43" s="240">
        <f>SUM(E39:E42)</f>
        <v>3317417.3333333335</v>
      </c>
      <c r="F43" s="233">
        <f t="shared" ref="F43:H43" si="5">SUM(F39:F42)</f>
        <v>4128384</v>
      </c>
      <c r="G43" s="233">
        <f t="shared" si="5"/>
        <v>3856138</v>
      </c>
      <c r="H43" s="233">
        <f t="shared" si="5"/>
        <v>4601424</v>
      </c>
      <c r="J43" s="70"/>
      <c r="K43" s="40"/>
      <c r="L43" s="40"/>
      <c r="M43" s="14"/>
      <c r="N43" s="14"/>
      <c r="O43" s="14"/>
      <c r="P43" s="14"/>
      <c r="Q43" s="14"/>
      <c r="R43" s="14"/>
      <c r="S43" s="14"/>
      <c r="T43" s="14"/>
      <c r="U43" s="14"/>
      <c r="V43" s="14"/>
      <c r="W43" s="14"/>
      <c r="X43" s="14"/>
    </row>
    <row r="44" spans="2:24" x14ac:dyDescent="0.25">
      <c r="B44" s="11"/>
      <c r="C44" s="11"/>
      <c r="D44" s="11"/>
      <c r="E44" s="11"/>
      <c r="F44" s="11"/>
      <c r="G44" s="38"/>
      <c r="H44" s="38"/>
      <c r="I44" s="38"/>
      <c r="J44" s="40"/>
      <c r="K44" s="40"/>
      <c r="L44" s="40"/>
      <c r="M44" s="14"/>
      <c r="N44" s="14"/>
      <c r="O44" s="14"/>
      <c r="P44" s="14"/>
      <c r="Q44" s="14"/>
      <c r="R44" s="14"/>
      <c r="S44" s="14"/>
      <c r="T44" s="14"/>
      <c r="U44" s="14"/>
      <c r="V44" s="14"/>
      <c r="W44" s="14"/>
      <c r="X44" s="14"/>
    </row>
    <row r="45" spans="2:24" ht="24.6" x14ac:dyDescent="0.4">
      <c r="B45" s="41" t="s">
        <v>607</v>
      </c>
      <c r="C45" s="21"/>
      <c r="D45" s="22"/>
      <c r="E45" s="22"/>
      <c r="F45" s="22"/>
      <c r="G45" s="1593"/>
      <c r="H45" s="1593"/>
      <c r="I45" s="1593"/>
      <c r="J45" s="1594"/>
      <c r="K45" s="1594"/>
      <c r="L45" s="1594"/>
      <c r="M45" s="1594"/>
      <c r="N45" s="1594"/>
      <c r="O45" s="1594"/>
    </row>
    <row r="46" spans="2:24" x14ac:dyDescent="0.25">
      <c r="B46" s="42"/>
      <c r="C46" s="43"/>
      <c r="D46" s="44"/>
      <c r="E46" s="45"/>
      <c r="F46" s="44"/>
      <c r="G46" s="44"/>
      <c r="H46" s="44"/>
    </row>
    <row r="47" spans="2:24" ht="19.8" x14ac:dyDescent="0.25">
      <c r="B47" s="243" t="s">
        <v>34</v>
      </c>
      <c r="C47" s="244" t="s">
        <v>687</v>
      </c>
      <c r="D47" s="229"/>
      <c r="E47" s="245" t="s">
        <v>433</v>
      </c>
      <c r="F47" s="269" t="s">
        <v>434</v>
      </c>
      <c r="G47" s="270" t="s">
        <v>435</v>
      </c>
      <c r="H47" s="270" t="s">
        <v>436</v>
      </c>
    </row>
    <row r="48" spans="2:24" ht="18" customHeight="1" x14ac:dyDescent="0.25">
      <c r="B48" s="186" t="s">
        <v>608</v>
      </c>
      <c r="C48" s="164"/>
      <c r="D48" s="163"/>
      <c r="E48" s="165"/>
      <c r="F48" s="165"/>
      <c r="G48" s="165"/>
      <c r="H48" s="165"/>
    </row>
    <row r="49" spans="2:11" ht="18" customHeight="1" x14ac:dyDescent="0.25">
      <c r="B49" s="166" t="s">
        <v>609</v>
      </c>
      <c r="C49" s="167" t="s">
        <v>709</v>
      </c>
      <c r="D49" s="168" t="s">
        <v>610</v>
      </c>
      <c r="E49" s="241">
        <v>1750260</v>
      </c>
      <c r="F49" s="169">
        <v>2116235</v>
      </c>
      <c r="G49" s="170">
        <v>2008299</v>
      </c>
      <c r="H49" s="170">
        <v>2205806</v>
      </c>
    </row>
    <row r="50" spans="2:11" ht="18" customHeight="1" x14ac:dyDescent="0.25">
      <c r="B50" s="166" t="s">
        <v>611</v>
      </c>
      <c r="C50" s="167" t="s">
        <v>710</v>
      </c>
      <c r="D50" s="168" t="s">
        <v>610</v>
      </c>
      <c r="E50" s="242">
        <v>0</v>
      </c>
      <c r="F50" s="171">
        <v>39220</v>
      </c>
      <c r="G50" s="172">
        <v>47064</v>
      </c>
      <c r="H50" s="172">
        <v>63024</v>
      </c>
    </row>
    <row r="51" spans="2:11" ht="41.4" x14ac:dyDescent="0.25">
      <c r="B51" s="166" t="s">
        <v>612</v>
      </c>
      <c r="C51" s="167" t="s">
        <v>711</v>
      </c>
      <c r="D51" s="168" t="s">
        <v>610</v>
      </c>
      <c r="E51" s="242">
        <v>95221</v>
      </c>
      <c r="F51" s="171">
        <v>128713</v>
      </c>
      <c r="G51" s="173">
        <v>113638</v>
      </c>
      <c r="H51" s="173">
        <v>108276</v>
      </c>
    </row>
    <row r="52" spans="2:11" ht="27.6" x14ac:dyDescent="0.25">
      <c r="B52" s="174" t="s">
        <v>712</v>
      </c>
      <c r="C52" s="175" t="s">
        <v>713</v>
      </c>
      <c r="D52" s="176" t="s">
        <v>614</v>
      </c>
      <c r="E52" s="165">
        <f>SUM(E49:E51)</f>
        <v>1845481</v>
      </c>
      <c r="F52" s="177">
        <f>SUM(F49:F51)</f>
        <v>2284168</v>
      </c>
      <c r="G52" s="177">
        <f t="shared" ref="G52:H52" si="6">SUM(G49:G51)</f>
        <v>2169001</v>
      </c>
      <c r="H52" s="177">
        <f t="shared" si="6"/>
        <v>2377106</v>
      </c>
    </row>
    <row r="53" spans="2:11" ht="18" customHeight="1" x14ac:dyDescent="0.25">
      <c r="B53" s="186" t="s">
        <v>714</v>
      </c>
      <c r="C53" s="164"/>
      <c r="D53" s="163"/>
      <c r="E53" s="165"/>
      <c r="F53" s="165"/>
      <c r="G53" s="165"/>
      <c r="H53" s="165"/>
    </row>
    <row r="54" spans="2:11" ht="41.4" x14ac:dyDescent="0.25">
      <c r="B54" s="180" t="s">
        <v>715</v>
      </c>
      <c r="C54" s="167" t="s">
        <v>716</v>
      </c>
      <c r="D54" s="176" t="s">
        <v>610</v>
      </c>
      <c r="E54" s="241">
        <v>48993</v>
      </c>
      <c r="F54" s="179">
        <v>115790</v>
      </c>
      <c r="G54" s="179">
        <v>105378</v>
      </c>
      <c r="H54" s="179">
        <v>117936</v>
      </c>
    </row>
    <row r="55" spans="2:11" ht="17.399999999999999" x14ac:dyDescent="0.25">
      <c r="B55" s="186" t="s">
        <v>621</v>
      </c>
      <c r="C55" s="164"/>
      <c r="D55" s="163"/>
      <c r="E55" s="165"/>
      <c r="F55" s="165"/>
      <c r="G55" s="165"/>
      <c r="H55" s="165"/>
    </row>
    <row r="56" spans="2:11" ht="55.2" x14ac:dyDescent="0.25">
      <c r="B56" s="174" t="s">
        <v>717</v>
      </c>
      <c r="C56" s="180" t="s">
        <v>718</v>
      </c>
      <c r="D56" s="174" t="s">
        <v>622</v>
      </c>
      <c r="E56" s="241">
        <f>(E52-E54)/1000</f>
        <v>1796.4880000000001</v>
      </c>
      <c r="F56" s="178">
        <f>(F52-F54)/1000</f>
        <v>2168.3780000000002</v>
      </c>
      <c r="G56" s="178">
        <f>(G52-G54)/1000</f>
        <v>2063.623</v>
      </c>
      <c r="H56" s="178">
        <f>(H52-H54)/1000</f>
        <v>2259.17</v>
      </c>
      <c r="J56" s="46"/>
      <c r="K56" s="46"/>
    </row>
    <row r="57" spans="2:11" x14ac:dyDescent="0.25">
      <c r="B57" s="72"/>
      <c r="C57" s="72"/>
      <c r="D57" s="72"/>
      <c r="E57" s="402"/>
      <c r="F57" s="401"/>
      <c r="G57" s="401"/>
      <c r="H57" s="401"/>
      <c r="J57" s="56"/>
      <c r="K57" s="56"/>
    </row>
    <row r="58" spans="2:11" ht="193.2" x14ac:dyDescent="0.25">
      <c r="B58" s="232" t="s">
        <v>475</v>
      </c>
      <c r="C58" s="232" t="s">
        <v>719</v>
      </c>
      <c r="D58" s="193" t="s">
        <v>623</v>
      </c>
      <c r="E58" s="358"/>
      <c r="F58" s="358"/>
      <c r="G58" s="358"/>
      <c r="H58" s="401"/>
      <c r="J58" s="56"/>
      <c r="K58" s="56"/>
    </row>
    <row r="59" spans="2:11" x14ac:dyDescent="0.25">
      <c r="B59" s="72"/>
      <c r="C59" s="72"/>
      <c r="D59" s="72"/>
      <c r="E59" s="402"/>
      <c r="F59" s="401"/>
      <c r="G59" s="401"/>
      <c r="H59" s="401"/>
      <c r="J59" s="56"/>
      <c r="K59" s="56"/>
    </row>
    <row r="60" spans="2:11" ht="17.399999999999999" x14ac:dyDescent="0.25">
      <c r="B60" s="186" t="s">
        <v>720</v>
      </c>
      <c r="C60" s="164"/>
      <c r="D60" s="163"/>
      <c r="E60" s="165"/>
      <c r="F60" s="181"/>
      <c r="G60" s="165"/>
      <c r="H60" s="165"/>
      <c r="I60" s="46"/>
      <c r="J60" s="46"/>
    </row>
    <row r="61" spans="2:11" ht="69" x14ac:dyDescent="0.25">
      <c r="B61" s="182" t="s">
        <v>618</v>
      </c>
      <c r="C61" s="183" t="s">
        <v>721</v>
      </c>
      <c r="D61" s="184" t="s">
        <v>619</v>
      </c>
      <c r="E61" s="386">
        <v>1383764</v>
      </c>
      <c r="F61" s="205">
        <v>1637952</v>
      </c>
      <c r="G61" s="205">
        <v>1777400</v>
      </c>
      <c r="H61" s="205">
        <v>1678964</v>
      </c>
      <c r="I61" s="46"/>
      <c r="J61" s="46"/>
    </row>
    <row r="62" spans="2:11" ht="82.8" x14ac:dyDescent="0.25">
      <c r="B62" s="174" t="s">
        <v>476</v>
      </c>
      <c r="C62" s="180" t="s">
        <v>722</v>
      </c>
      <c r="D62" s="174" t="s">
        <v>477</v>
      </c>
      <c r="E62" s="163">
        <v>238</v>
      </c>
      <c r="F62" s="174">
        <v>192</v>
      </c>
      <c r="G62" s="174">
        <v>109</v>
      </c>
      <c r="H62" s="174">
        <v>240</v>
      </c>
      <c r="I62" s="56"/>
      <c r="J62" s="56"/>
    </row>
    <row r="63" spans="2:11" x14ac:dyDescent="0.25">
      <c r="B63" s="174" t="s">
        <v>723</v>
      </c>
      <c r="C63" s="180" t="s">
        <v>724</v>
      </c>
      <c r="D63" s="174" t="s">
        <v>463</v>
      </c>
      <c r="E63" s="262">
        <v>0.74</v>
      </c>
      <c r="F63" s="185">
        <v>0.78</v>
      </c>
      <c r="G63" s="185">
        <v>0.79</v>
      </c>
      <c r="H63" s="185">
        <v>0.72</v>
      </c>
      <c r="I63" s="56"/>
      <c r="J63" s="56"/>
    </row>
    <row r="64" spans="2:11" ht="18" customHeight="1" x14ac:dyDescent="0.25">
      <c r="B64" s="47"/>
      <c r="C64" s="48"/>
      <c r="D64" s="54"/>
      <c r="E64" s="54"/>
      <c r="F64" s="55"/>
      <c r="G64" s="55"/>
      <c r="H64" s="55"/>
      <c r="I64" s="56"/>
      <c r="J64" s="56"/>
    </row>
    <row r="65" spans="2:15" ht="19.8" x14ac:dyDescent="0.25">
      <c r="B65" s="243" t="s">
        <v>149</v>
      </c>
      <c r="C65" s="244" t="s">
        <v>687</v>
      </c>
      <c r="D65" s="229"/>
      <c r="E65" s="245" t="s">
        <v>433</v>
      </c>
      <c r="F65" s="269" t="s">
        <v>434</v>
      </c>
      <c r="G65" s="270" t="s">
        <v>435</v>
      </c>
      <c r="H65" s="270" t="s">
        <v>436</v>
      </c>
    </row>
    <row r="66" spans="2:15" ht="18" customHeight="1" x14ac:dyDescent="0.25">
      <c r="B66" s="246" t="s">
        <v>725</v>
      </c>
      <c r="C66" s="248"/>
      <c r="D66" s="223"/>
      <c r="E66" s="241"/>
      <c r="F66" s="241"/>
      <c r="G66" s="241"/>
      <c r="H66" s="241"/>
    </row>
    <row r="67" spans="2:15" ht="41.4" x14ac:dyDescent="0.25">
      <c r="B67" s="167" t="s">
        <v>627</v>
      </c>
      <c r="C67" s="187" t="s">
        <v>726</v>
      </c>
      <c r="D67" s="188" t="s">
        <v>480</v>
      </c>
      <c r="E67" s="263">
        <v>38725.5</v>
      </c>
      <c r="F67" s="189">
        <v>57555</v>
      </c>
      <c r="G67" s="189">
        <v>54207.8</v>
      </c>
      <c r="H67" s="190">
        <v>53861.3</v>
      </c>
    </row>
    <row r="68" spans="2:15" ht="41.4" x14ac:dyDescent="0.25">
      <c r="B68" s="160" t="s">
        <v>628</v>
      </c>
      <c r="C68" s="187" t="s">
        <v>727</v>
      </c>
      <c r="D68" s="188" t="s">
        <v>480</v>
      </c>
      <c r="E68" s="263">
        <v>3356</v>
      </c>
      <c r="F68" s="191">
        <v>2991.8</v>
      </c>
      <c r="G68" s="191">
        <v>3042.7</v>
      </c>
      <c r="H68" s="190">
        <v>2973.4</v>
      </c>
    </row>
    <row r="69" spans="2:15" ht="41.4" x14ac:dyDescent="0.25">
      <c r="B69" s="160" t="s">
        <v>629</v>
      </c>
      <c r="C69" s="187" t="s">
        <v>728</v>
      </c>
      <c r="D69" s="188" t="s">
        <v>480</v>
      </c>
      <c r="E69" s="263">
        <v>7059.4</v>
      </c>
      <c r="F69" s="191">
        <v>19367.3</v>
      </c>
      <c r="G69" s="191">
        <v>18165.5</v>
      </c>
      <c r="H69" s="190">
        <v>7902.9</v>
      </c>
    </row>
    <row r="70" spans="2:15" ht="41.4" x14ac:dyDescent="0.25">
      <c r="B70" s="160" t="s">
        <v>630</v>
      </c>
      <c r="C70" s="187" t="s">
        <v>729</v>
      </c>
      <c r="D70" s="188" t="s">
        <v>480</v>
      </c>
      <c r="E70" s="263">
        <v>14011</v>
      </c>
      <c r="F70" s="191">
        <v>16667</v>
      </c>
      <c r="G70" s="191">
        <v>12360.6</v>
      </c>
      <c r="H70" s="190">
        <v>15456.5</v>
      </c>
    </row>
    <row r="71" spans="2:15" x14ac:dyDescent="0.25">
      <c r="B71" s="192" t="s">
        <v>730</v>
      </c>
      <c r="C71" s="157"/>
      <c r="D71" s="193" t="s">
        <v>480</v>
      </c>
      <c r="E71" s="241">
        <f>E67+E68</f>
        <v>42081.5</v>
      </c>
      <c r="F71" s="194">
        <f>F67+F68</f>
        <v>60546.8</v>
      </c>
      <c r="G71" s="194">
        <f t="shared" ref="G71:H71" si="7">G67+G68</f>
        <v>57250.5</v>
      </c>
      <c r="H71" s="178">
        <f t="shared" si="7"/>
        <v>56834.700000000004</v>
      </c>
    </row>
    <row r="72" spans="2:15" ht="41.4" x14ac:dyDescent="0.25">
      <c r="B72" s="192" t="s">
        <v>484</v>
      </c>
      <c r="C72" s="195" t="s">
        <v>731</v>
      </c>
      <c r="D72" s="193" t="s">
        <v>480</v>
      </c>
      <c r="E72" s="241">
        <v>63152</v>
      </c>
      <c r="F72" s="170">
        <v>96581.4</v>
      </c>
      <c r="G72" s="170">
        <v>87776.6</v>
      </c>
      <c r="H72" s="170">
        <v>80194</v>
      </c>
    </row>
    <row r="73" spans="2:15" ht="17.399999999999999" x14ac:dyDescent="0.25">
      <c r="B73" s="246" t="s">
        <v>634</v>
      </c>
      <c r="C73" s="224"/>
      <c r="D73" s="223"/>
      <c r="E73" s="241"/>
      <c r="F73" s="241"/>
      <c r="G73" s="241"/>
      <c r="H73" s="241"/>
    </row>
    <row r="74" spans="2:15" ht="55.2" x14ac:dyDescent="0.25">
      <c r="B74" s="187" t="s">
        <v>635</v>
      </c>
      <c r="C74" s="187" t="s">
        <v>732</v>
      </c>
      <c r="D74" s="188" t="s">
        <v>480</v>
      </c>
      <c r="E74" s="263">
        <v>858.5</v>
      </c>
      <c r="F74" s="190">
        <v>1862</v>
      </c>
      <c r="G74" s="190">
        <v>1042</v>
      </c>
      <c r="H74" s="190">
        <v>1651</v>
      </c>
    </row>
    <row r="75" spans="2:15" ht="41.4" x14ac:dyDescent="0.25">
      <c r="B75" s="187" t="s">
        <v>636</v>
      </c>
      <c r="C75" s="187" t="s">
        <v>733</v>
      </c>
      <c r="D75" s="188" t="s">
        <v>480</v>
      </c>
      <c r="E75" s="263">
        <v>3871</v>
      </c>
      <c r="F75" s="190">
        <v>17759</v>
      </c>
      <c r="G75" s="190">
        <v>16598</v>
      </c>
      <c r="H75" s="190">
        <v>5860.4</v>
      </c>
    </row>
    <row r="76" spans="2:15" ht="41.4" x14ac:dyDescent="0.25">
      <c r="B76" s="187" t="s">
        <v>637</v>
      </c>
      <c r="C76" s="187" t="s">
        <v>734</v>
      </c>
      <c r="D76" s="188" t="s">
        <v>480</v>
      </c>
      <c r="E76" s="263">
        <v>2057</v>
      </c>
      <c r="F76" s="190">
        <v>2821</v>
      </c>
      <c r="G76" s="190">
        <v>1607</v>
      </c>
      <c r="H76" s="190">
        <v>1556.1</v>
      </c>
    </row>
    <row r="77" spans="2:15" ht="27.6" x14ac:dyDescent="0.25">
      <c r="B77" s="195" t="s">
        <v>735</v>
      </c>
      <c r="C77" s="195" t="s">
        <v>736</v>
      </c>
      <c r="D77" s="193" t="s">
        <v>480</v>
      </c>
      <c r="E77" s="241">
        <v>6787</v>
      </c>
      <c r="F77" s="178">
        <f>SUM(F74:F76)</f>
        <v>22442</v>
      </c>
      <c r="G77" s="178">
        <f>SUM(G74:G76)</f>
        <v>19247</v>
      </c>
      <c r="H77" s="178">
        <f>SUM(H74:H76)</f>
        <v>9067.5</v>
      </c>
      <c r="L77" s="49"/>
    </row>
    <row r="78" spans="2:15" ht="55.2" x14ac:dyDescent="0.25">
      <c r="B78" s="187" t="s">
        <v>639</v>
      </c>
      <c r="C78" s="187" t="s">
        <v>737</v>
      </c>
      <c r="D78" s="188" t="s">
        <v>480</v>
      </c>
      <c r="E78" s="263">
        <v>365.8</v>
      </c>
      <c r="F78" s="190">
        <v>2518</v>
      </c>
      <c r="G78" s="190">
        <v>2272</v>
      </c>
      <c r="H78" s="190">
        <v>2613</v>
      </c>
      <c r="L78" s="49"/>
      <c r="O78" s="49"/>
    </row>
    <row r="79" spans="2:15" ht="41.4" x14ac:dyDescent="0.25">
      <c r="B79" s="187" t="s">
        <v>738</v>
      </c>
      <c r="C79" s="187" t="s">
        <v>739</v>
      </c>
      <c r="D79" s="188" t="s">
        <v>480</v>
      </c>
      <c r="E79" s="263">
        <v>15710</v>
      </c>
      <c r="F79" s="190">
        <v>27687</v>
      </c>
      <c r="G79" s="190">
        <v>36293</v>
      </c>
      <c r="H79" s="190">
        <v>41255.199999999997</v>
      </c>
      <c r="L79" s="49"/>
      <c r="O79" s="49"/>
    </row>
    <row r="80" spans="2:15" ht="27.6" x14ac:dyDescent="0.25">
      <c r="B80" s="187" t="s">
        <v>641</v>
      </c>
      <c r="C80" s="187" t="s">
        <v>740</v>
      </c>
      <c r="D80" s="188" t="s">
        <v>480</v>
      </c>
      <c r="E80" s="263">
        <v>2333</v>
      </c>
      <c r="F80" s="190">
        <v>1640</v>
      </c>
      <c r="G80" s="190">
        <v>2188</v>
      </c>
      <c r="H80" s="190">
        <v>2129</v>
      </c>
    </row>
    <row r="81" spans="2:8" ht="27.6" x14ac:dyDescent="0.25">
      <c r="B81" s="195" t="s">
        <v>642</v>
      </c>
      <c r="C81" s="195" t="s">
        <v>741</v>
      </c>
      <c r="D81" s="193" t="s">
        <v>480</v>
      </c>
      <c r="E81" s="241">
        <f>E78+E79+E80</f>
        <v>18408.8</v>
      </c>
      <c r="F81" s="178">
        <f>F78+F79+F80</f>
        <v>31845</v>
      </c>
      <c r="G81" s="178">
        <f>G78+G79+G80</f>
        <v>40753</v>
      </c>
      <c r="H81" s="178">
        <f>SUM(H78:H80)</f>
        <v>45997.2</v>
      </c>
    </row>
    <row r="82" spans="2:8" ht="27.6" x14ac:dyDescent="0.25">
      <c r="B82" s="195" t="s">
        <v>643</v>
      </c>
      <c r="C82" s="195" t="s">
        <v>742</v>
      </c>
      <c r="D82" s="193" t="s">
        <v>480</v>
      </c>
      <c r="E82" s="241">
        <f>E77+E81</f>
        <v>25195.8</v>
      </c>
      <c r="F82" s="178">
        <f>F77+F81</f>
        <v>54287</v>
      </c>
      <c r="G82" s="178">
        <f>G77+G81</f>
        <v>60000</v>
      </c>
      <c r="H82" s="178">
        <f>H77+H81</f>
        <v>55064.7</v>
      </c>
    </row>
    <row r="83" spans="2:8" x14ac:dyDescent="0.25">
      <c r="B83" s="195" t="s">
        <v>743</v>
      </c>
      <c r="C83" s="195" t="s">
        <v>744</v>
      </c>
      <c r="D83" s="193" t="s">
        <v>480</v>
      </c>
      <c r="E83" s="241">
        <f>E76+E80</f>
        <v>4390</v>
      </c>
      <c r="F83" s="178">
        <f>F76+F80</f>
        <v>4461</v>
      </c>
      <c r="G83" s="178">
        <f>G76+G80</f>
        <v>3795</v>
      </c>
      <c r="H83" s="178">
        <f>H76+H80</f>
        <v>3685.1</v>
      </c>
    </row>
    <row r="84" spans="2:8" ht="17.399999999999999" x14ac:dyDescent="0.25">
      <c r="B84" s="246" t="s">
        <v>645</v>
      </c>
      <c r="C84" s="224"/>
      <c r="D84" s="223"/>
      <c r="E84" s="241"/>
      <c r="F84" s="241"/>
      <c r="G84" s="241"/>
      <c r="H84" s="241"/>
    </row>
    <row r="85" spans="2:8" ht="69" x14ac:dyDescent="0.25">
      <c r="B85" s="196" t="s">
        <v>745</v>
      </c>
      <c r="C85" s="155" t="s">
        <v>746</v>
      </c>
      <c r="D85" s="188" t="s">
        <v>480</v>
      </c>
      <c r="E85" s="264">
        <v>137.49</v>
      </c>
      <c r="F85" s="197">
        <v>795.82</v>
      </c>
      <c r="G85" s="197">
        <v>106.2</v>
      </c>
      <c r="H85" s="197">
        <v>129.58000000000001</v>
      </c>
    </row>
    <row r="86" spans="2:8" ht="69" x14ac:dyDescent="0.25">
      <c r="B86" s="196" t="s">
        <v>747</v>
      </c>
      <c r="C86" s="155" t="s">
        <v>748</v>
      </c>
      <c r="D86" s="188" t="s">
        <v>480</v>
      </c>
      <c r="E86" s="264">
        <v>919.51</v>
      </c>
      <c r="F86" s="197">
        <v>895.95</v>
      </c>
      <c r="G86" s="197">
        <v>1788.73</v>
      </c>
      <c r="H86" s="197">
        <v>2782.26</v>
      </c>
    </row>
    <row r="87" spans="2:8" ht="55.2" x14ac:dyDescent="0.25">
      <c r="B87" s="196" t="s">
        <v>648</v>
      </c>
      <c r="C87" s="155" t="s">
        <v>749</v>
      </c>
      <c r="D87" s="188" t="s">
        <v>480</v>
      </c>
      <c r="E87" s="264">
        <v>14145.51</v>
      </c>
      <c r="F87" s="197">
        <v>12796.66</v>
      </c>
      <c r="G87" s="190">
        <v>11172.38</v>
      </c>
      <c r="H87" s="190">
        <v>14162.31</v>
      </c>
    </row>
    <row r="88" spans="2:8" ht="55.2" x14ac:dyDescent="0.25">
      <c r="B88" s="196" t="s">
        <v>649</v>
      </c>
      <c r="C88" s="155" t="s">
        <v>750</v>
      </c>
      <c r="D88" s="188" t="s">
        <v>480</v>
      </c>
      <c r="E88" s="264">
        <v>22752.959999999999</v>
      </c>
      <c r="F88" s="197">
        <v>27805.8</v>
      </c>
      <c r="G88" s="197">
        <v>14709.48</v>
      </c>
      <c r="H88" s="197">
        <v>8054.6</v>
      </c>
    </row>
    <row r="89" spans="2:8" ht="69" x14ac:dyDescent="0.25">
      <c r="B89" s="192" t="s">
        <v>650</v>
      </c>
      <c r="C89" s="195" t="s">
        <v>751</v>
      </c>
      <c r="D89" s="193" t="s">
        <v>480</v>
      </c>
      <c r="E89" s="241">
        <v>37956</v>
      </c>
      <c r="F89" s="178">
        <f>F85+F86+F87+F88</f>
        <v>42294.229999999996</v>
      </c>
      <c r="G89" s="178">
        <f>G85+G86+G87+G88</f>
        <v>27776.79</v>
      </c>
      <c r="H89" s="178">
        <f>H85+H86+H87+H88</f>
        <v>25128.75</v>
      </c>
    </row>
    <row r="90" spans="2:8" x14ac:dyDescent="0.25">
      <c r="B90" s="196" t="s">
        <v>752</v>
      </c>
      <c r="C90" s="187" t="s">
        <v>753</v>
      </c>
      <c r="D90" s="188" t="s">
        <v>463</v>
      </c>
      <c r="E90" s="265">
        <f>E85/E72</f>
        <v>2.1771281986318726E-3</v>
      </c>
      <c r="F90" s="198">
        <f>F85/F72</f>
        <v>8.2398888398801436E-3</v>
      </c>
      <c r="G90" s="198">
        <f>G85/G72</f>
        <v>1.209889651683934E-3</v>
      </c>
      <c r="H90" s="198">
        <f>H85/H72</f>
        <v>1.6158316083497519E-3</v>
      </c>
    </row>
    <row r="91" spans="2:8" x14ac:dyDescent="0.25">
      <c r="B91" s="168" t="s">
        <v>754</v>
      </c>
      <c r="C91" s="187" t="s">
        <v>753</v>
      </c>
      <c r="D91" s="199" t="s">
        <v>463</v>
      </c>
      <c r="E91" s="265">
        <f>E86/E72</f>
        <v>1.4560267291613884E-2</v>
      </c>
      <c r="F91" s="198">
        <f>F86/F72</f>
        <v>9.2766309040871239E-3</v>
      </c>
      <c r="G91" s="198">
        <f>G86/G72</f>
        <v>2.0378210138009445E-2</v>
      </c>
      <c r="H91" s="198">
        <f>H86/H72</f>
        <v>3.4694116766840415E-2</v>
      </c>
    </row>
    <row r="92" spans="2:8" x14ac:dyDescent="0.25">
      <c r="B92" s="168" t="s">
        <v>755</v>
      </c>
      <c r="C92" s="187" t="s">
        <v>753</v>
      </c>
      <c r="D92" s="199" t="s">
        <v>463</v>
      </c>
      <c r="E92" s="265">
        <f>E89/E72</f>
        <v>0.6010260957689384</v>
      </c>
      <c r="F92" s="198">
        <f>F89/F72</f>
        <v>0.43791278651997173</v>
      </c>
      <c r="G92" s="198">
        <f>G89/G72</f>
        <v>0.31644868905835949</v>
      </c>
      <c r="H92" s="198">
        <f>H89/H72</f>
        <v>0.31334950245654286</v>
      </c>
    </row>
    <row r="93" spans="2:8" ht="17.399999999999999" x14ac:dyDescent="0.25">
      <c r="B93" s="246" t="s">
        <v>654</v>
      </c>
      <c r="C93" s="224"/>
      <c r="D93" s="223"/>
      <c r="E93" s="241"/>
      <c r="F93" s="241"/>
      <c r="G93" s="241"/>
      <c r="H93" s="241"/>
    </row>
    <row r="94" spans="2:8" ht="27.6" x14ac:dyDescent="0.25">
      <c r="B94" s="200" t="s">
        <v>756</v>
      </c>
      <c r="C94" s="201" t="s">
        <v>757</v>
      </c>
      <c r="D94" s="188" t="s">
        <v>480</v>
      </c>
      <c r="E94" s="263">
        <v>17366.54</v>
      </c>
      <c r="F94" s="202">
        <v>19658.759999999998</v>
      </c>
      <c r="G94" s="202">
        <v>15403.35</v>
      </c>
      <c r="H94" s="202">
        <v>18429.82</v>
      </c>
    </row>
    <row r="95" spans="2:8" ht="27.6" x14ac:dyDescent="0.25">
      <c r="B95" s="200" t="s">
        <v>758</v>
      </c>
      <c r="C95" s="187" t="s">
        <v>759</v>
      </c>
      <c r="D95" s="188" t="s">
        <v>480</v>
      </c>
      <c r="E95" s="266">
        <v>499.71</v>
      </c>
      <c r="F95" s="203">
        <v>1200.71</v>
      </c>
      <c r="G95" s="203">
        <v>427.18</v>
      </c>
      <c r="H95" s="203">
        <v>226.86</v>
      </c>
    </row>
    <row r="96" spans="2:8" ht="27.6" x14ac:dyDescent="0.25">
      <c r="B96" s="200" t="s">
        <v>760</v>
      </c>
      <c r="C96" s="187" t="s">
        <v>761</v>
      </c>
      <c r="D96" s="188" t="s">
        <v>480</v>
      </c>
      <c r="E96" s="266">
        <v>12460.78</v>
      </c>
      <c r="F96" s="203">
        <v>12532</v>
      </c>
      <c r="G96" s="207">
        <v>10904.96</v>
      </c>
      <c r="H96" s="207">
        <v>12685.23</v>
      </c>
    </row>
    <row r="97" spans="2:25" ht="27.6" x14ac:dyDescent="0.25">
      <c r="B97" s="204" t="s">
        <v>762</v>
      </c>
      <c r="C97" s="187" t="s">
        <v>763</v>
      </c>
      <c r="D97" s="188" t="s">
        <v>480</v>
      </c>
      <c r="E97" s="241">
        <f>E94-E95-E96</f>
        <v>4406.0500000000011</v>
      </c>
      <c r="F97" s="205">
        <f t="shared" ref="F97:H97" si="8">F94-F95-F96</f>
        <v>5926.0499999999993</v>
      </c>
      <c r="G97" s="205">
        <f t="shared" si="8"/>
        <v>4071.2100000000009</v>
      </c>
      <c r="H97" s="205">
        <f t="shared" si="8"/>
        <v>5517.73</v>
      </c>
    </row>
    <row r="98" spans="2:25" ht="18" customHeight="1" x14ac:dyDescent="0.3">
      <c r="B98"/>
      <c r="C98" s="50"/>
      <c r="D98" s="50"/>
      <c r="E98" s="57"/>
      <c r="F98" s="51"/>
      <c r="G98" s="51"/>
      <c r="H98" s="51"/>
    </row>
    <row r="99" spans="2:25" ht="19.8" x14ac:dyDescent="0.25">
      <c r="B99" s="243" t="s">
        <v>764</v>
      </c>
      <c r="C99" s="244" t="s">
        <v>687</v>
      </c>
      <c r="D99" s="260"/>
      <c r="E99" s="245" t="s">
        <v>433</v>
      </c>
      <c r="F99" s="269" t="s">
        <v>434</v>
      </c>
      <c r="G99" s="270" t="s">
        <v>435</v>
      </c>
      <c r="H99" s="270" t="s">
        <v>436</v>
      </c>
    </row>
    <row r="100" spans="2:25" ht="42.6" x14ac:dyDescent="0.25">
      <c r="B100" s="188" t="s">
        <v>765</v>
      </c>
      <c r="C100" s="161" t="s">
        <v>766</v>
      </c>
      <c r="D100" s="188" t="s">
        <v>480</v>
      </c>
      <c r="E100" s="372">
        <v>336</v>
      </c>
      <c r="F100" s="406">
        <v>393</v>
      </c>
      <c r="G100" s="406">
        <v>378</v>
      </c>
      <c r="H100" s="406">
        <v>363</v>
      </c>
    </row>
    <row r="101" spans="2:25" ht="57.6" x14ac:dyDescent="0.25">
      <c r="B101" s="188" t="s">
        <v>767</v>
      </c>
      <c r="C101" s="161" t="s">
        <v>768</v>
      </c>
      <c r="D101" s="188" t="s">
        <v>480</v>
      </c>
      <c r="E101" s="372">
        <v>31</v>
      </c>
      <c r="F101" s="406">
        <f>79297.63/1000</f>
        <v>79.297629999999998</v>
      </c>
      <c r="G101" s="406">
        <f>49319.29/1000</f>
        <v>49.319290000000002</v>
      </c>
      <c r="H101" s="406">
        <f>27739.67/1000</f>
        <v>27.739669999999997</v>
      </c>
    </row>
    <row r="102" spans="2:25" ht="69" x14ac:dyDescent="0.25">
      <c r="B102" s="188" t="s">
        <v>496</v>
      </c>
      <c r="C102" s="161" t="s">
        <v>769</v>
      </c>
      <c r="D102" s="188" t="s">
        <v>480</v>
      </c>
      <c r="E102" s="372">
        <v>43</v>
      </c>
      <c r="F102" s="406">
        <f>91945.8/1000</f>
        <v>91.945800000000006</v>
      </c>
      <c r="G102" s="406">
        <f>83140.96/1000</f>
        <v>83.140960000000007</v>
      </c>
      <c r="H102" s="406">
        <f>99282.23/1000</f>
        <v>99.282229999999998</v>
      </c>
    </row>
    <row r="103" spans="2:25" ht="15" x14ac:dyDescent="0.25">
      <c r="B103" s="188" t="s">
        <v>770</v>
      </c>
      <c r="C103" s="161" t="s">
        <v>771</v>
      </c>
      <c r="D103" s="188" t="s">
        <v>463</v>
      </c>
      <c r="E103" s="407">
        <v>0.76</v>
      </c>
      <c r="F103" s="407">
        <v>0.79</v>
      </c>
      <c r="G103" s="408">
        <v>0.74</v>
      </c>
      <c r="H103" s="408">
        <v>0.67</v>
      </c>
    </row>
    <row r="104" spans="2:25" ht="15" x14ac:dyDescent="0.25">
      <c r="B104" s="188" t="s">
        <v>772</v>
      </c>
      <c r="C104" s="161" t="s">
        <v>773</v>
      </c>
      <c r="D104" s="188" t="s">
        <v>463</v>
      </c>
      <c r="E104" s="407"/>
      <c r="F104" s="407"/>
      <c r="G104" s="408"/>
      <c r="H104" s="408"/>
    </row>
    <row r="105" spans="2:25" x14ac:dyDescent="0.25">
      <c r="B105" s="188" t="s">
        <v>499</v>
      </c>
      <c r="C105" s="161" t="s">
        <v>774</v>
      </c>
      <c r="D105" s="188" t="s">
        <v>463</v>
      </c>
      <c r="E105" s="407"/>
      <c r="F105" s="407"/>
      <c r="G105" s="408"/>
      <c r="H105" s="408"/>
    </row>
    <row r="106" spans="2:25" x14ac:dyDescent="0.25">
      <c r="B106" s="1596"/>
      <c r="C106" s="1596"/>
      <c r="D106" s="1596"/>
      <c r="E106" s="1596"/>
      <c r="F106" s="1596"/>
      <c r="G106" s="1596"/>
      <c r="H106" s="52"/>
    </row>
    <row r="107" spans="2:25" ht="24.6" x14ac:dyDescent="0.4">
      <c r="B107" s="41" t="s">
        <v>590</v>
      </c>
      <c r="C107" s="21"/>
      <c r="D107" s="22"/>
      <c r="E107" s="22"/>
      <c r="F107" s="22"/>
      <c r="G107" s="1593"/>
      <c r="H107" s="1593"/>
      <c r="I107" s="1593"/>
      <c r="J107" s="1594"/>
      <c r="K107" s="1594"/>
      <c r="L107" s="1594"/>
      <c r="M107" s="1594"/>
      <c r="N107" s="1594"/>
      <c r="O107" s="1594"/>
    </row>
    <row r="108" spans="2:25" x14ac:dyDescent="0.25">
      <c r="B108" s="11"/>
      <c r="C108" s="11"/>
      <c r="D108" s="11"/>
      <c r="E108" s="11"/>
      <c r="F108" s="11"/>
      <c r="G108" s="38"/>
      <c r="H108" s="38"/>
      <c r="I108" s="38"/>
      <c r="J108" s="40"/>
      <c r="K108" s="40"/>
      <c r="L108" s="40"/>
      <c r="M108" s="14"/>
      <c r="N108" s="14"/>
      <c r="O108" s="14"/>
      <c r="P108" s="14"/>
      <c r="Q108" s="14"/>
      <c r="R108" s="14"/>
      <c r="S108" s="14"/>
      <c r="T108" s="14"/>
      <c r="U108" s="14"/>
      <c r="V108" s="14"/>
      <c r="W108" s="14"/>
      <c r="X108" s="14"/>
    </row>
    <row r="109" spans="2:25" ht="19.8" x14ac:dyDescent="0.25">
      <c r="B109" s="249" t="s">
        <v>448</v>
      </c>
      <c r="C109" s="247" t="s">
        <v>687</v>
      </c>
      <c r="D109" s="260"/>
      <c r="E109" s="1584" t="s">
        <v>433</v>
      </c>
      <c r="F109" s="1585"/>
      <c r="G109" s="1586"/>
      <c r="H109" s="1587" t="s">
        <v>434</v>
      </c>
      <c r="I109" s="1588"/>
      <c r="J109" s="1589"/>
      <c r="K109" s="1587" t="s">
        <v>435</v>
      </c>
      <c r="L109" s="1588"/>
      <c r="M109" s="1589"/>
      <c r="N109" s="251" t="s">
        <v>436</v>
      </c>
      <c r="O109" s="14"/>
      <c r="P109" s="14"/>
      <c r="Q109" s="14"/>
      <c r="R109" s="14"/>
      <c r="S109" s="14"/>
      <c r="T109" s="14"/>
      <c r="U109" s="14"/>
      <c r="V109" s="14"/>
      <c r="W109" s="14"/>
      <c r="X109" s="14"/>
      <c r="Y109" s="14"/>
    </row>
    <row r="110" spans="2:25" ht="27.6" x14ac:dyDescent="0.25">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14"/>
      <c r="P110" s="14"/>
      <c r="Q110" s="14"/>
      <c r="R110" s="14"/>
      <c r="S110" s="14"/>
      <c r="T110" s="14"/>
      <c r="U110" s="14"/>
      <c r="V110" s="14"/>
      <c r="W110" s="14"/>
      <c r="X110" s="14"/>
      <c r="Y110" s="14"/>
    </row>
    <row r="111" spans="2:25" ht="82.8" x14ac:dyDescent="0.25">
      <c r="B111" s="210" t="s">
        <v>449</v>
      </c>
      <c r="C111" s="212" t="s">
        <v>775</v>
      </c>
      <c r="D111" s="213" t="s">
        <v>450</v>
      </c>
      <c r="E111" s="255">
        <f>E127/1000</f>
        <v>1205779.031</v>
      </c>
      <c r="F111" s="255">
        <f>F127/1000</f>
        <v>337642.93099999998</v>
      </c>
      <c r="G111" s="255">
        <f>G127/1000</f>
        <v>868136.1</v>
      </c>
      <c r="H111" s="412">
        <v>1384245</v>
      </c>
      <c r="I111" s="412">
        <v>418784</v>
      </c>
      <c r="J111" s="412">
        <v>965461</v>
      </c>
      <c r="K111" s="412">
        <v>1307373</v>
      </c>
      <c r="L111" s="412">
        <v>426755</v>
      </c>
      <c r="M111" s="412">
        <v>880618</v>
      </c>
      <c r="N111" s="412">
        <v>1350655</v>
      </c>
      <c r="O111" s="14"/>
      <c r="P111" s="14"/>
      <c r="Q111" s="53"/>
      <c r="R111" s="14"/>
      <c r="S111" s="14"/>
      <c r="T111" s="14"/>
      <c r="U111" s="14"/>
      <c r="V111" s="14"/>
      <c r="W111" s="14"/>
      <c r="X111" s="14"/>
      <c r="Y111" s="14"/>
    </row>
    <row r="112" spans="2:25" ht="27.6" x14ac:dyDescent="0.25">
      <c r="B112" s="210" t="s">
        <v>451</v>
      </c>
      <c r="C112" s="212" t="s">
        <v>776</v>
      </c>
      <c r="D112" s="215" t="s">
        <v>452</v>
      </c>
      <c r="E112" s="256">
        <v>11.1</v>
      </c>
      <c r="F112" s="257">
        <v>74.099999999999994</v>
      </c>
      <c r="G112" s="257">
        <v>8.3000000000000007</v>
      </c>
      <c r="H112" s="216">
        <v>12.1</v>
      </c>
      <c r="I112" s="216">
        <v>78.7</v>
      </c>
      <c r="J112" s="216">
        <v>8.8000000000000007</v>
      </c>
      <c r="K112" s="216">
        <v>11.5</v>
      </c>
      <c r="L112" s="216">
        <v>43.5</v>
      </c>
      <c r="M112" s="216">
        <v>8.5</v>
      </c>
      <c r="N112" s="216">
        <v>10.99</v>
      </c>
      <c r="O112" s="14"/>
      <c r="P112" s="14"/>
      <c r="Q112" s="53"/>
      <c r="R112" s="14"/>
      <c r="S112" s="14"/>
      <c r="T112" s="14"/>
      <c r="U112" s="14"/>
      <c r="V112" s="14"/>
      <c r="W112" s="14"/>
      <c r="X112" s="14"/>
      <c r="Y112" s="14"/>
    </row>
    <row r="113" spans="2:25" x14ac:dyDescent="0.25">
      <c r="B113" s="11"/>
      <c r="C113" s="11"/>
      <c r="D113" s="11"/>
      <c r="E113" s="11"/>
      <c r="F113" s="11"/>
      <c r="G113" s="11"/>
      <c r="H113" s="38"/>
      <c r="I113" s="38"/>
      <c r="J113" s="38"/>
      <c r="K113" s="40"/>
      <c r="L113" s="40"/>
      <c r="M113" s="40"/>
      <c r="N113" s="14"/>
      <c r="O113" s="14"/>
      <c r="P113" s="14"/>
      <c r="Q113" s="14"/>
      <c r="R113" s="14"/>
      <c r="S113" s="14"/>
      <c r="T113" s="14"/>
      <c r="U113" s="14"/>
      <c r="V113" s="14"/>
      <c r="W113" s="14"/>
      <c r="X113" s="14"/>
      <c r="Y113" s="14"/>
    </row>
    <row r="114" spans="2:25" x14ac:dyDescent="0.25">
      <c r="B114" s="11"/>
      <c r="C114" s="11"/>
      <c r="D114" s="11"/>
      <c r="E114" s="11"/>
      <c r="F114" s="11"/>
      <c r="G114" s="11"/>
      <c r="H114" s="38"/>
      <c r="I114" s="38"/>
      <c r="J114" s="38"/>
      <c r="K114" s="40"/>
      <c r="L114" s="40"/>
      <c r="M114" s="40"/>
      <c r="N114" s="14"/>
      <c r="O114" s="14"/>
      <c r="P114" s="14"/>
      <c r="Q114" s="14"/>
      <c r="R114" s="14"/>
      <c r="S114" s="14"/>
      <c r="T114" s="14"/>
      <c r="U114" s="14"/>
      <c r="V114" s="14"/>
      <c r="W114" s="14"/>
      <c r="X114" s="14"/>
      <c r="Y114" s="14"/>
    </row>
    <row r="115" spans="2:25" ht="29.1" customHeight="1" x14ac:dyDescent="0.25">
      <c r="B115" s="250" t="s">
        <v>777</v>
      </c>
      <c r="C115" s="247" t="s">
        <v>687</v>
      </c>
      <c r="D115" s="260"/>
      <c r="E115" s="1584" t="s">
        <v>778</v>
      </c>
      <c r="F115" s="1585"/>
      <c r="G115" s="1586"/>
      <c r="H115" s="1587" t="s">
        <v>779</v>
      </c>
      <c r="I115" s="1588"/>
      <c r="J115" s="1589"/>
      <c r="K115" s="1590" t="s">
        <v>780</v>
      </c>
      <c r="L115" s="1590"/>
      <c r="M115" s="1590"/>
      <c r="N115" s="251" t="s">
        <v>781</v>
      </c>
      <c r="O115" s="14"/>
      <c r="P115" s="14"/>
      <c r="Q115" s="14"/>
      <c r="R115" s="14"/>
      <c r="S115" s="14"/>
      <c r="T115" s="14"/>
      <c r="U115" s="14"/>
      <c r="V115" s="14"/>
      <c r="W115" s="14"/>
      <c r="X115" s="14"/>
    </row>
    <row r="116" spans="2:25" ht="30" customHeight="1" x14ac:dyDescent="0.25">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4"/>
      <c r="P116" s="14"/>
      <c r="Q116" s="14"/>
      <c r="R116" s="14"/>
      <c r="S116" s="14"/>
      <c r="T116" s="14"/>
      <c r="U116" s="14"/>
      <c r="V116" s="14"/>
      <c r="W116" s="14"/>
      <c r="X116" s="14"/>
    </row>
    <row r="117" spans="2:25" ht="82.8" x14ac:dyDescent="0.25">
      <c r="B117" s="188" t="s">
        <v>594</v>
      </c>
      <c r="C117" s="161" t="s">
        <v>782</v>
      </c>
      <c r="D117" s="188" t="s">
        <v>595</v>
      </c>
      <c r="E117" s="253">
        <f t="shared" ref="E117:F125" si="9">E127*0.0036</f>
        <v>4340804.5115999999</v>
      </c>
      <c r="F117" s="253">
        <f t="shared" si="9"/>
        <v>1215514.5515999999</v>
      </c>
      <c r="G117" s="253">
        <f t="shared" ref="G117:G125" si="10">E117-F117</f>
        <v>3125289.96</v>
      </c>
      <c r="H117" s="220">
        <f t="shared" ref="H117:H125" si="11">H127*0.0036</f>
        <v>4983282.1332</v>
      </c>
      <c r="I117" s="220">
        <f t="shared" ref="I117:I125" si="12">I127*0.0036</f>
        <v>1507622.094</v>
      </c>
      <c r="J117" s="220">
        <f t="shared" ref="J117:J125" si="13">H117-I117</f>
        <v>3475660.0392</v>
      </c>
      <c r="K117" s="220">
        <f t="shared" ref="K117:K125" si="14">K127*0.0036</f>
        <v>4706542.6343999999</v>
      </c>
      <c r="L117" s="220">
        <f t="shared" ref="L117:L125" si="15">L127*0.0036</f>
        <v>1536318.7667999999</v>
      </c>
      <c r="M117" s="220">
        <f t="shared" ref="M117:M125" si="16">K117-L117</f>
        <v>3170223.8676</v>
      </c>
      <c r="N117" s="220">
        <f t="shared" ref="N117:N123" si="17">N127*0.0036</f>
        <v>4862357.9172</v>
      </c>
      <c r="O117" s="14"/>
      <c r="P117" s="14"/>
      <c r="Q117" s="14"/>
      <c r="R117" s="14"/>
      <c r="S117" s="14"/>
      <c r="T117" s="14"/>
      <c r="U117" s="14"/>
      <c r="V117" s="14"/>
      <c r="W117" s="14"/>
      <c r="X117" s="14"/>
    </row>
    <row r="118" spans="2:25" ht="110.4" x14ac:dyDescent="0.25">
      <c r="B118" s="188" t="s">
        <v>596</v>
      </c>
      <c r="C118" s="161" t="s">
        <v>783</v>
      </c>
      <c r="D118" s="188" t="s">
        <v>595</v>
      </c>
      <c r="E118" s="253">
        <f t="shared" si="9"/>
        <v>1771360.9812</v>
      </c>
      <c r="F118" s="253">
        <f t="shared" si="9"/>
        <v>470572.53119999997</v>
      </c>
      <c r="G118" s="253">
        <f t="shared" si="10"/>
        <v>1300788.4500000002</v>
      </c>
      <c r="H118" s="220">
        <f t="shared" si="11"/>
        <v>2060743.8636</v>
      </c>
      <c r="I118" s="220">
        <f t="shared" si="12"/>
        <v>566103.402</v>
      </c>
      <c r="J118" s="220">
        <f t="shared" si="13"/>
        <v>1494640.4616</v>
      </c>
      <c r="K118" s="220">
        <f t="shared" si="14"/>
        <v>1975839.2279999999</v>
      </c>
      <c r="L118" s="220">
        <f t="shared" si="15"/>
        <v>602479.63079999993</v>
      </c>
      <c r="M118" s="220">
        <f t="shared" si="16"/>
        <v>1373359.5972</v>
      </c>
      <c r="N118" s="220">
        <f t="shared" si="17"/>
        <v>2087618.2523999999</v>
      </c>
      <c r="O118" s="14"/>
      <c r="P118" s="14"/>
      <c r="Q118" s="14"/>
      <c r="R118" s="14"/>
      <c r="S118" s="14"/>
      <c r="T118" s="14"/>
      <c r="U118" s="14"/>
      <c r="V118" s="14"/>
      <c r="W118" s="14"/>
      <c r="X118" s="14"/>
    </row>
    <row r="119" spans="2:25" ht="69" x14ac:dyDescent="0.25">
      <c r="B119" s="188" t="s">
        <v>597</v>
      </c>
      <c r="C119" s="161" t="s">
        <v>784</v>
      </c>
      <c r="D119" s="188" t="s">
        <v>595</v>
      </c>
      <c r="E119" s="253">
        <f t="shared" si="9"/>
        <v>2274979.23</v>
      </c>
      <c r="F119" s="253">
        <f t="shared" si="9"/>
        <v>779210.66879999998</v>
      </c>
      <c r="G119" s="253">
        <f t="shared" si="10"/>
        <v>1495768.5611999999</v>
      </c>
      <c r="H119" s="220">
        <f t="shared" si="11"/>
        <v>2554494.534</v>
      </c>
      <c r="I119" s="220">
        <f t="shared" si="12"/>
        <v>941695.53839999996</v>
      </c>
      <c r="J119" s="220">
        <f t="shared" si="13"/>
        <v>1612798.9956</v>
      </c>
      <c r="K119" s="220">
        <f t="shared" si="14"/>
        <v>2416909.4424000001</v>
      </c>
      <c r="L119" s="220">
        <f t="shared" si="15"/>
        <v>967772.29680000001</v>
      </c>
      <c r="M119" s="220">
        <f t="shared" si="16"/>
        <v>1449137.1455999999</v>
      </c>
      <c r="N119" s="220">
        <f t="shared" si="17"/>
        <v>2466585.6444000001</v>
      </c>
      <c r="O119" s="14"/>
      <c r="P119" s="14"/>
      <c r="Q119" s="14"/>
      <c r="R119" s="14"/>
      <c r="S119" s="14"/>
      <c r="T119" s="14"/>
      <c r="U119" s="14"/>
      <c r="V119" s="14"/>
      <c r="W119" s="14"/>
      <c r="X119" s="14"/>
    </row>
    <row r="120" spans="2:25" ht="124.2" x14ac:dyDescent="0.25">
      <c r="B120" s="188" t="s">
        <v>598</v>
      </c>
      <c r="C120" s="161" t="s">
        <v>785</v>
      </c>
      <c r="D120" s="188" t="s">
        <v>595</v>
      </c>
      <c r="E120" s="253">
        <f t="shared" si="9"/>
        <v>3619825.6716</v>
      </c>
      <c r="F120" s="253">
        <f t="shared" si="9"/>
        <v>852168.6</v>
      </c>
      <c r="G120" s="253">
        <f t="shared" si="10"/>
        <v>2767657.0715999999</v>
      </c>
      <c r="H120" s="220">
        <f t="shared" si="11"/>
        <v>4313935.2456</v>
      </c>
      <c r="I120" s="220">
        <f t="shared" si="12"/>
        <v>1050297.138</v>
      </c>
      <c r="J120" s="220">
        <f t="shared" si="13"/>
        <v>3263638.1075999998</v>
      </c>
      <c r="K120" s="220">
        <f t="shared" si="14"/>
        <v>4129525.1088</v>
      </c>
      <c r="L120" s="220">
        <f t="shared" si="15"/>
        <v>1058810.4324</v>
      </c>
      <c r="M120" s="220">
        <f t="shared" si="16"/>
        <v>3070714.6764000002</v>
      </c>
      <c r="N120" s="220">
        <f t="shared" si="17"/>
        <v>4315058.2259999998</v>
      </c>
      <c r="O120" s="14"/>
      <c r="P120" s="14"/>
      <c r="Q120" s="14"/>
      <c r="R120" s="14"/>
      <c r="S120" s="14"/>
      <c r="T120" s="14"/>
      <c r="U120" s="14"/>
      <c r="V120" s="14"/>
      <c r="W120" s="14"/>
      <c r="X120" s="14"/>
    </row>
    <row r="121" spans="2:25" ht="69" x14ac:dyDescent="0.25">
      <c r="B121" s="322" t="s">
        <v>599</v>
      </c>
      <c r="C121" s="161" t="s">
        <v>786</v>
      </c>
      <c r="D121" s="188" t="s">
        <v>595</v>
      </c>
      <c r="E121" s="253">
        <f t="shared" si="9"/>
        <v>2520972.4284000001</v>
      </c>
      <c r="F121" s="253">
        <f t="shared" si="9"/>
        <v>802567.61639999994</v>
      </c>
      <c r="G121" s="253">
        <f t="shared" si="10"/>
        <v>1718404.8120000002</v>
      </c>
      <c r="H121" s="220">
        <f t="shared" si="11"/>
        <v>2891001.9276000001</v>
      </c>
      <c r="I121" s="220">
        <f t="shared" si="12"/>
        <v>998092.39319999993</v>
      </c>
      <c r="J121" s="220">
        <f t="shared" si="13"/>
        <v>1892909.5344000002</v>
      </c>
      <c r="K121" s="220">
        <f t="shared" si="14"/>
        <v>2729961.54</v>
      </c>
      <c r="L121" s="220">
        <f t="shared" si="15"/>
        <v>1008473.2992</v>
      </c>
      <c r="M121" s="220">
        <f t="shared" si="16"/>
        <v>1721488.2408</v>
      </c>
      <c r="N121" s="220">
        <f t="shared" si="17"/>
        <v>2763835.4556</v>
      </c>
      <c r="O121" s="14"/>
      <c r="P121" s="14"/>
      <c r="Q121" s="14"/>
      <c r="R121" s="14"/>
      <c r="S121" s="14"/>
      <c r="T121" s="14"/>
      <c r="U121" s="14"/>
      <c r="V121" s="14"/>
      <c r="W121" s="14"/>
      <c r="X121" s="14"/>
    </row>
    <row r="122" spans="2:25" ht="41.4" x14ac:dyDescent="0.25">
      <c r="B122" s="322" t="s">
        <v>600</v>
      </c>
      <c r="C122" s="161" t="s">
        <v>787</v>
      </c>
      <c r="D122" s="188" t="s">
        <v>595</v>
      </c>
      <c r="E122" s="253">
        <f t="shared" si="9"/>
        <v>952567.53480000002</v>
      </c>
      <c r="F122" s="253">
        <f t="shared" si="9"/>
        <v>24137.351999999999</v>
      </c>
      <c r="G122" s="253">
        <f t="shared" si="10"/>
        <v>928430.18280000007</v>
      </c>
      <c r="H122" s="220">
        <f t="shared" si="11"/>
        <v>1271821.446</v>
      </c>
      <c r="I122" s="220">
        <f t="shared" si="12"/>
        <v>22613.835599999999</v>
      </c>
      <c r="J122" s="220">
        <f t="shared" si="13"/>
        <v>1249207.6103999999</v>
      </c>
      <c r="K122" s="220">
        <f t="shared" si="14"/>
        <v>1271987.3484</v>
      </c>
      <c r="L122" s="220">
        <f t="shared" si="15"/>
        <v>27600.84</v>
      </c>
      <c r="M122" s="220">
        <f t="shared" si="16"/>
        <v>1244386.5083999999</v>
      </c>
      <c r="N122" s="220">
        <f t="shared" si="17"/>
        <v>1430977.05</v>
      </c>
      <c r="O122" s="14"/>
      <c r="P122" s="14"/>
      <c r="Q122" s="14"/>
      <c r="R122" s="14"/>
      <c r="S122" s="14"/>
      <c r="T122" s="14"/>
      <c r="U122" s="14"/>
      <c r="V122" s="14"/>
      <c r="W122" s="14"/>
      <c r="X122" s="14"/>
    </row>
    <row r="123" spans="2:25" ht="55.2" x14ac:dyDescent="0.25">
      <c r="B123" s="323" t="s">
        <v>601</v>
      </c>
      <c r="C123" s="161" t="s">
        <v>788</v>
      </c>
      <c r="D123" s="188" t="s">
        <v>595</v>
      </c>
      <c r="E123" s="253">
        <f t="shared" si="9"/>
        <v>128724.8796</v>
      </c>
      <c r="F123" s="253">
        <f t="shared" si="9"/>
        <v>19250.449199999999</v>
      </c>
      <c r="G123" s="253">
        <f t="shared" si="10"/>
        <v>109474.4304</v>
      </c>
      <c r="H123" s="220">
        <f t="shared" si="11"/>
        <v>114283.75319999999</v>
      </c>
      <c r="I123" s="220">
        <f t="shared" si="12"/>
        <v>14826.406679999998</v>
      </c>
      <c r="J123" s="220">
        <f t="shared" si="13"/>
        <v>99457.346519999992</v>
      </c>
      <c r="K123" s="220">
        <f t="shared" si="14"/>
        <v>112445.03879999999</v>
      </c>
      <c r="L123" s="220">
        <f t="shared" si="15"/>
        <v>21111.778728000001</v>
      </c>
      <c r="M123" s="220">
        <f t="shared" si="16"/>
        <v>91333.26007199999</v>
      </c>
      <c r="N123" s="220">
        <f t="shared" si="17"/>
        <v>120245.72039999999</v>
      </c>
      <c r="O123" s="14"/>
      <c r="P123" s="14"/>
      <c r="Q123" s="14"/>
      <c r="R123" s="14"/>
      <c r="S123" s="14"/>
      <c r="T123" s="14"/>
      <c r="U123" s="14"/>
      <c r="V123" s="14"/>
      <c r="W123" s="14"/>
      <c r="X123" s="14"/>
    </row>
    <row r="124" spans="2:25" ht="27.6" x14ac:dyDescent="0.25">
      <c r="B124" s="323" t="s">
        <v>602</v>
      </c>
      <c r="C124" s="161" t="s">
        <v>789</v>
      </c>
      <c r="D124" s="188" t="s">
        <v>595</v>
      </c>
      <c r="E124" s="253">
        <f t="shared" si="9"/>
        <v>17560.832399999999</v>
      </c>
      <c r="F124" s="253">
        <f t="shared" si="9"/>
        <v>6213.1823999999997</v>
      </c>
      <c r="G124" s="253">
        <f>E124-F124</f>
        <v>11347.65</v>
      </c>
      <c r="H124" s="220">
        <f t="shared" si="11"/>
        <v>36828.118799999997</v>
      </c>
      <c r="I124" s="220">
        <f t="shared" si="12"/>
        <v>14764.5</v>
      </c>
      <c r="J124" s="220">
        <f>H124-I124</f>
        <v>22063.618799999997</v>
      </c>
      <c r="K124" s="220">
        <f t="shared" si="14"/>
        <v>15131.1852</v>
      </c>
      <c r="L124" s="220">
        <f t="shared" si="15"/>
        <v>1624.5108</v>
      </c>
      <c r="M124" s="220">
        <f>K124-L124</f>
        <v>13506.6744</v>
      </c>
      <c r="N124" s="220" t="s">
        <v>603</v>
      </c>
      <c r="O124" s="14"/>
      <c r="P124" s="14"/>
      <c r="Q124" s="14"/>
      <c r="R124" s="14"/>
      <c r="S124" s="14"/>
      <c r="T124" s="14"/>
      <c r="U124" s="14"/>
      <c r="V124" s="14"/>
      <c r="W124" s="14"/>
      <c r="X124" s="14"/>
    </row>
    <row r="125" spans="2:25" ht="41.4" x14ac:dyDescent="0.25">
      <c r="B125" s="221" t="s">
        <v>604</v>
      </c>
      <c r="C125" s="160" t="s">
        <v>790</v>
      </c>
      <c r="D125" s="188" t="s">
        <v>595</v>
      </c>
      <c r="E125" s="253">
        <f t="shared" si="9"/>
        <v>720978.84</v>
      </c>
      <c r="F125" s="253">
        <f t="shared" si="9"/>
        <v>363345.95159999997</v>
      </c>
      <c r="G125" s="253">
        <f t="shared" si="10"/>
        <v>357632.8884</v>
      </c>
      <c r="H125" s="220">
        <f t="shared" si="11"/>
        <v>669346.88760000002</v>
      </c>
      <c r="I125" s="220">
        <f t="shared" si="12"/>
        <v>457324.95600000001</v>
      </c>
      <c r="J125" s="220">
        <f t="shared" si="13"/>
        <v>212021.93160000001</v>
      </c>
      <c r="K125" s="220">
        <f t="shared" si="14"/>
        <v>577017.52559999994</v>
      </c>
      <c r="L125" s="220">
        <f t="shared" si="15"/>
        <v>477508.33439999999</v>
      </c>
      <c r="M125" s="220">
        <f t="shared" si="16"/>
        <v>99509.191199999943</v>
      </c>
      <c r="N125" s="220">
        <f>N135*0.0036</f>
        <v>547299.68759999995</v>
      </c>
      <c r="O125" s="14"/>
      <c r="P125" s="14"/>
      <c r="Q125" s="14"/>
      <c r="R125" s="14"/>
      <c r="S125" s="14"/>
      <c r="T125" s="14"/>
      <c r="U125" s="14"/>
      <c r="V125" s="14"/>
      <c r="W125" s="14"/>
      <c r="X125" s="14"/>
    </row>
    <row r="127" spans="2:25" ht="82.8" x14ac:dyDescent="0.25">
      <c r="B127" s="188" t="s">
        <v>594</v>
      </c>
      <c r="C127" s="161" t="s">
        <v>791</v>
      </c>
      <c r="D127" s="188" t="s">
        <v>465</v>
      </c>
      <c r="E127" s="253">
        <v>1205779031</v>
      </c>
      <c r="F127" s="253">
        <v>337642931</v>
      </c>
      <c r="G127" s="253">
        <f t="shared" ref="G127:G135" si="18">E127-F127</f>
        <v>868136100</v>
      </c>
      <c r="H127" s="220">
        <v>1384245037</v>
      </c>
      <c r="I127" s="220">
        <v>418783915</v>
      </c>
      <c r="J127" s="220">
        <f t="shared" ref="J127:J135" si="19">H127-I127</f>
        <v>965461122</v>
      </c>
      <c r="K127" s="206">
        <v>1307372954</v>
      </c>
      <c r="L127" s="220">
        <v>426755213</v>
      </c>
      <c r="M127" s="220">
        <f t="shared" ref="M127:M135" si="20">K127-L127</f>
        <v>880617741</v>
      </c>
      <c r="N127" s="206">
        <v>1350654977</v>
      </c>
      <c r="O127" s="14"/>
      <c r="P127" s="14"/>
      <c r="Q127" s="14"/>
      <c r="R127" s="14"/>
      <c r="S127" s="14"/>
      <c r="T127" s="14"/>
      <c r="U127" s="14"/>
      <c r="V127" s="14"/>
      <c r="W127" s="14"/>
      <c r="X127" s="14"/>
    </row>
    <row r="128" spans="2:25" ht="110.4" x14ac:dyDescent="0.25">
      <c r="B128" s="188" t="s">
        <v>596</v>
      </c>
      <c r="C128" s="161" t="s">
        <v>792</v>
      </c>
      <c r="D128" s="188" t="s">
        <v>465</v>
      </c>
      <c r="E128" s="253">
        <v>492044717</v>
      </c>
      <c r="F128" s="253">
        <v>130714592</v>
      </c>
      <c r="G128" s="253">
        <f t="shared" si="18"/>
        <v>361330125</v>
      </c>
      <c r="H128" s="220">
        <v>572428851</v>
      </c>
      <c r="I128" s="220">
        <v>157250945</v>
      </c>
      <c r="J128" s="220">
        <f t="shared" si="19"/>
        <v>415177906</v>
      </c>
      <c r="K128" s="206">
        <v>548844230</v>
      </c>
      <c r="L128" s="220">
        <v>167355453</v>
      </c>
      <c r="M128" s="220">
        <f t="shared" si="20"/>
        <v>381488777</v>
      </c>
      <c r="N128" s="206">
        <v>579893959</v>
      </c>
      <c r="O128" s="14"/>
      <c r="P128" s="14"/>
      <c r="Q128" s="14"/>
      <c r="R128" s="14"/>
      <c r="S128" s="14"/>
      <c r="T128" s="14"/>
      <c r="U128" s="14"/>
      <c r="V128" s="14"/>
      <c r="W128" s="14"/>
      <c r="X128" s="14"/>
    </row>
    <row r="129" spans="2:24" ht="69" x14ac:dyDescent="0.25">
      <c r="B129" s="188" t="s">
        <v>597</v>
      </c>
      <c r="C129" s="161" t="s">
        <v>793</v>
      </c>
      <c r="D129" s="188" t="s">
        <v>465</v>
      </c>
      <c r="E129" s="253">
        <v>631938675</v>
      </c>
      <c r="F129" s="253">
        <v>216447408</v>
      </c>
      <c r="G129" s="253">
        <f t="shared" si="18"/>
        <v>415491267</v>
      </c>
      <c r="H129" s="220">
        <v>709581815</v>
      </c>
      <c r="I129" s="220">
        <v>261582094</v>
      </c>
      <c r="J129" s="220">
        <f t="shared" si="19"/>
        <v>447999721</v>
      </c>
      <c r="K129" s="206">
        <v>671363734</v>
      </c>
      <c r="L129" s="220">
        <v>268825638</v>
      </c>
      <c r="M129" s="220">
        <f t="shared" si="20"/>
        <v>402538096</v>
      </c>
      <c r="N129" s="206">
        <v>685162679</v>
      </c>
      <c r="O129" s="14"/>
      <c r="P129" s="14"/>
      <c r="Q129" s="14"/>
      <c r="R129" s="14"/>
      <c r="S129" s="14"/>
      <c r="T129" s="14"/>
      <c r="U129" s="14"/>
      <c r="V129" s="14"/>
      <c r="W129" s="14"/>
      <c r="X129" s="14"/>
    </row>
    <row r="130" spans="2:24" ht="124.2" x14ac:dyDescent="0.25">
      <c r="B130" s="188" t="s">
        <v>598</v>
      </c>
      <c r="C130" s="161" t="s">
        <v>794</v>
      </c>
      <c r="D130" s="188" t="s">
        <v>465</v>
      </c>
      <c r="E130" s="237">
        <v>1005507131</v>
      </c>
      <c r="F130" s="253">
        <v>236713500</v>
      </c>
      <c r="G130" s="253">
        <f t="shared" si="18"/>
        <v>768793631</v>
      </c>
      <c r="H130" s="220">
        <v>1198315346</v>
      </c>
      <c r="I130" s="220">
        <v>291749205</v>
      </c>
      <c r="J130" s="220">
        <f t="shared" si="19"/>
        <v>906566141</v>
      </c>
      <c r="K130" s="206">
        <v>1147090308</v>
      </c>
      <c r="L130" s="220">
        <v>294114009</v>
      </c>
      <c r="M130" s="220">
        <f t="shared" si="20"/>
        <v>852976299</v>
      </c>
      <c r="N130" s="206">
        <v>1198627285</v>
      </c>
      <c r="O130" s="14"/>
      <c r="P130" s="14"/>
      <c r="Q130" s="14"/>
      <c r="R130" s="14"/>
      <c r="S130" s="14"/>
      <c r="T130" s="14"/>
      <c r="U130" s="14"/>
      <c r="V130" s="14"/>
      <c r="W130" s="14"/>
      <c r="X130" s="14"/>
    </row>
    <row r="131" spans="2:24" ht="69" x14ac:dyDescent="0.25">
      <c r="B131" s="322" t="s">
        <v>599</v>
      </c>
      <c r="C131" s="161" t="s">
        <v>786</v>
      </c>
      <c r="D131" s="188" t="s">
        <v>465</v>
      </c>
      <c r="E131" s="253">
        <v>700270119</v>
      </c>
      <c r="F131" s="253">
        <v>222935449</v>
      </c>
      <c r="G131" s="253">
        <f t="shared" si="18"/>
        <v>477334670</v>
      </c>
      <c r="H131" s="220">
        <v>803056091</v>
      </c>
      <c r="I131" s="220">
        <v>277247887</v>
      </c>
      <c r="J131" s="220">
        <f t="shared" si="19"/>
        <v>525808204</v>
      </c>
      <c r="K131" s="206">
        <v>758322650</v>
      </c>
      <c r="L131" s="220">
        <v>280131472</v>
      </c>
      <c r="M131" s="220">
        <f t="shared" si="20"/>
        <v>478191178</v>
      </c>
      <c r="N131" s="206">
        <v>767732071</v>
      </c>
      <c r="O131" s="14"/>
      <c r="P131" s="14"/>
      <c r="Q131" s="14"/>
      <c r="R131" s="14"/>
      <c r="S131" s="14"/>
      <c r="T131" s="14"/>
      <c r="U131" s="14"/>
      <c r="V131" s="14"/>
      <c r="W131" s="14"/>
      <c r="X131" s="14"/>
    </row>
    <row r="132" spans="2:24" ht="41.4" x14ac:dyDescent="0.25">
      <c r="B132" s="322" t="s">
        <v>600</v>
      </c>
      <c r="C132" s="161" t="s">
        <v>795</v>
      </c>
      <c r="D132" s="188" t="s">
        <v>465</v>
      </c>
      <c r="E132" s="253">
        <v>264602093</v>
      </c>
      <c r="F132" s="253">
        <v>6704820</v>
      </c>
      <c r="G132" s="253">
        <f t="shared" si="18"/>
        <v>257897273</v>
      </c>
      <c r="H132" s="220">
        <v>353283735</v>
      </c>
      <c r="I132" s="220">
        <v>6281621</v>
      </c>
      <c r="J132" s="220">
        <f t="shared" si="19"/>
        <v>347002114</v>
      </c>
      <c r="K132" s="206">
        <v>353329819</v>
      </c>
      <c r="L132" s="220">
        <v>7666900</v>
      </c>
      <c r="M132" s="220">
        <f t="shared" si="20"/>
        <v>345662919</v>
      </c>
      <c r="N132" s="206">
        <v>397493625</v>
      </c>
      <c r="O132" s="14"/>
      <c r="P132" s="14"/>
      <c r="Q132" s="14"/>
      <c r="R132" s="14"/>
      <c r="S132" s="14"/>
      <c r="T132" s="14"/>
      <c r="U132" s="14"/>
      <c r="V132" s="14"/>
      <c r="W132" s="14"/>
      <c r="X132" s="14"/>
    </row>
    <row r="133" spans="2:24" ht="55.2" x14ac:dyDescent="0.25">
      <c r="B133" s="323" t="s">
        <v>601</v>
      </c>
      <c r="C133" s="161" t="s">
        <v>796</v>
      </c>
      <c r="D133" s="188" t="s">
        <v>465</v>
      </c>
      <c r="E133" s="253">
        <v>35756911</v>
      </c>
      <c r="F133" s="253">
        <v>5347347</v>
      </c>
      <c r="G133" s="253">
        <f t="shared" si="18"/>
        <v>30409564</v>
      </c>
      <c r="H133" s="220">
        <v>31745487</v>
      </c>
      <c r="I133" s="220">
        <v>4118446.3</v>
      </c>
      <c r="J133" s="220">
        <f t="shared" si="19"/>
        <v>27627040.699999999</v>
      </c>
      <c r="K133" s="206">
        <v>31234733</v>
      </c>
      <c r="L133" s="220">
        <v>5864382.9800000004</v>
      </c>
      <c r="M133" s="220">
        <f t="shared" si="20"/>
        <v>25370350.02</v>
      </c>
      <c r="N133" s="206">
        <v>33401589</v>
      </c>
      <c r="O133" s="14"/>
      <c r="P133" s="14"/>
      <c r="Q133" s="14"/>
      <c r="R133" s="14"/>
      <c r="S133" s="14"/>
      <c r="T133" s="14"/>
      <c r="U133" s="14"/>
      <c r="V133" s="14"/>
      <c r="W133" s="14"/>
      <c r="X133" s="14"/>
    </row>
    <row r="134" spans="2:24" ht="27.6" x14ac:dyDescent="0.25">
      <c r="B134" s="323" t="s">
        <v>602</v>
      </c>
      <c r="C134" s="161" t="s">
        <v>789</v>
      </c>
      <c r="D134" s="188" t="s">
        <v>465</v>
      </c>
      <c r="E134" s="253">
        <v>4878009</v>
      </c>
      <c r="F134" s="253">
        <v>1725884</v>
      </c>
      <c r="G134" s="253">
        <f t="shared" si="18"/>
        <v>3152125</v>
      </c>
      <c r="H134" s="220">
        <v>10230033</v>
      </c>
      <c r="I134" s="220">
        <v>4101250</v>
      </c>
      <c r="J134" s="220">
        <f t="shared" si="19"/>
        <v>6128783</v>
      </c>
      <c r="K134" s="206">
        <v>4203107</v>
      </c>
      <c r="L134" s="220">
        <v>451253</v>
      </c>
      <c r="M134" s="220">
        <f t="shared" si="20"/>
        <v>3751854</v>
      </c>
      <c r="N134" s="324" t="s">
        <v>603</v>
      </c>
      <c r="O134" s="14"/>
      <c r="P134" s="14"/>
      <c r="Q134" s="14"/>
      <c r="R134" s="14"/>
      <c r="S134" s="14"/>
      <c r="T134" s="14"/>
      <c r="U134" s="14"/>
      <c r="V134" s="14"/>
      <c r="W134" s="14"/>
      <c r="X134" s="14"/>
    </row>
    <row r="135" spans="2:24" ht="41.4" x14ac:dyDescent="0.25">
      <c r="B135" s="221" t="s">
        <v>604</v>
      </c>
      <c r="C135" s="161" t="s">
        <v>790</v>
      </c>
      <c r="D135" s="188" t="s">
        <v>465</v>
      </c>
      <c r="E135" s="253">
        <v>200271900</v>
      </c>
      <c r="F135" s="253">
        <v>100929431</v>
      </c>
      <c r="G135" s="253">
        <f t="shared" si="18"/>
        <v>99342469</v>
      </c>
      <c r="H135" s="220">
        <v>185929691</v>
      </c>
      <c r="I135" s="220">
        <v>127034710</v>
      </c>
      <c r="J135" s="220">
        <f t="shared" si="19"/>
        <v>58894981</v>
      </c>
      <c r="K135" s="206">
        <v>160282646</v>
      </c>
      <c r="L135" s="220">
        <v>132641204</v>
      </c>
      <c r="M135" s="220">
        <f t="shared" si="20"/>
        <v>27641442</v>
      </c>
      <c r="N135" s="206">
        <v>152027691</v>
      </c>
      <c r="O135" s="14"/>
      <c r="P135" s="14"/>
      <c r="Q135" s="14"/>
      <c r="R135" s="14"/>
      <c r="S135" s="14"/>
      <c r="T135" s="14"/>
      <c r="U135" s="14"/>
      <c r="V135" s="14"/>
      <c r="W135" s="14"/>
      <c r="X135" s="14"/>
    </row>
    <row r="136" spans="2:24" x14ac:dyDescent="0.25">
      <c r="B136" s="58"/>
      <c r="C136" s="91"/>
      <c r="D136" s="58"/>
      <c r="E136" s="58"/>
      <c r="F136" s="58"/>
      <c r="G136" s="58"/>
      <c r="H136" s="58"/>
      <c r="I136" s="58"/>
      <c r="J136" s="58"/>
      <c r="K136" s="58"/>
      <c r="L136" s="58"/>
      <c r="M136" s="58"/>
      <c r="N136" s="58"/>
    </row>
    <row r="137" spans="2:24" ht="55.2" x14ac:dyDescent="0.25">
      <c r="B137" s="221" t="s">
        <v>467</v>
      </c>
      <c r="C137" s="160" t="s">
        <v>797</v>
      </c>
      <c r="D137" s="188" t="s">
        <v>591</v>
      </c>
      <c r="E137" s="258">
        <f>E135/E128</f>
        <v>0.40701971402326836</v>
      </c>
      <c r="F137" s="258">
        <f>F135/F128</f>
        <v>0.77213591425202166</v>
      </c>
      <c r="G137" s="258">
        <f>G135/G128</f>
        <v>0.27493547348148734</v>
      </c>
      <c r="H137" s="222">
        <v>0.32500000000000001</v>
      </c>
      <c r="I137" s="222">
        <f>I135/I128</f>
        <v>0.80784703710365624</v>
      </c>
      <c r="J137" s="222">
        <f>J135/J128</f>
        <v>0.14185480525064356</v>
      </c>
      <c r="K137" s="222">
        <v>0.29199999999999998</v>
      </c>
      <c r="L137" s="222">
        <f>L135/L128</f>
        <v>0.79257174846881151</v>
      </c>
      <c r="M137" s="222">
        <f>M135/M128</f>
        <v>7.245676325623597E-2</v>
      </c>
      <c r="N137" s="222">
        <v>0.26200000000000001</v>
      </c>
      <c r="O137" s="14"/>
      <c r="P137" s="14"/>
      <c r="Q137" s="14"/>
      <c r="R137" s="14"/>
      <c r="S137" s="14"/>
      <c r="T137" s="14"/>
      <c r="U137" s="14"/>
      <c r="V137" s="14"/>
      <c r="W137" s="14"/>
      <c r="X137" s="14"/>
    </row>
    <row r="139" spans="2:24" x14ac:dyDescent="0.25">
      <c r="B139" s="39"/>
      <c r="C139" s="11"/>
      <c r="D139" s="11"/>
      <c r="E139" s="390"/>
      <c r="F139" s="11"/>
      <c r="G139" s="38"/>
      <c r="H139" s="38"/>
      <c r="I139" s="38"/>
      <c r="J139" s="40"/>
      <c r="K139" s="40"/>
      <c r="L139" s="40"/>
      <c r="M139" s="14"/>
      <c r="N139" s="14"/>
      <c r="O139" s="14"/>
      <c r="P139" s="14"/>
      <c r="Q139" s="14"/>
      <c r="R139" s="14"/>
      <c r="S139" s="14"/>
      <c r="T139" s="14"/>
      <c r="U139" s="14"/>
      <c r="V139" s="14"/>
      <c r="W139" s="14"/>
      <c r="X139" s="14"/>
    </row>
    <row r="140" spans="2:24" x14ac:dyDescent="0.25">
      <c r="B140" s="11"/>
      <c r="C140" s="11"/>
      <c r="D140" s="11"/>
      <c r="E140" s="11"/>
      <c r="F140" s="11"/>
      <c r="G140" s="38"/>
      <c r="H140" s="38"/>
      <c r="I140" s="38"/>
      <c r="J140" s="40"/>
      <c r="K140" s="40"/>
      <c r="L140" s="40"/>
      <c r="M140" s="14"/>
      <c r="N140" s="14"/>
      <c r="O140" s="14"/>
      <c r="P140" s="14"/>
      <c r="Q140" s="14"/>
      <c r="R140" s="14"/>
      <c r="S140" s="14"/>
      <c r="T140" s="14"/>
      <c r="U140" s="14"/>
      <c r="V140" s="14"/>
      <c r="W140" s="14"/>
      <c r="X140" s="14"/>
    </row>
    <row r="141" spans="2:24" x14ac:dyDescent="0.25">
      <c r="B141" s="11"/>
      <c r="C141" s="11"/>
      <c r="D141" s="11"/>
      <c r="E141" s="11"/>
      <c r="F141" s="11"/>
      <c r="G141" s="38"/>
      <c r="H141" s="38"/>
      <c r="I141" s="38"/>
      <c r="J141" s="40"/>
      <c r="K141" s="40"/>
      <c r="L141" s="40"/>
      <c r="M141" s="14"/>
      <c r="N141" s="14"/>
      <c r="O141" s="14"/>
      <c r="P141" s="14"/>
      <c r="Q141" s="14"/>
      <c r="R141" s="14"/>
      <c r="S141" s="14"/>
      <c r="T141" s="14"/>
      <c r="U141" s="14"/>
      <c r="V141" s="14"/>
      <c r="W141" s="14"/>
      <c r="X141" s="14"/>
    </row>
    <row r="142" spans="2:24" ht="19.8" x14ac:dyDescent="0.25">
      <c r="B142" s="243" t="s">
        <v>667</v>
      </c>
      <c r="C142" s="244" t="s">
        <v>798</v>
      </c>
      <c r="D142" s="260" t="s">
        <v>430</v>
      </c>
      <c r="E142" s="245" t="s">
        <v>433</v>
      </c>
      <c r="F142" s="11"/>
      <c r="G142" s="38"/>
      <c r="H142" s="38"/>
      <c r="I142" s="38"/>
    </row>
    <row r="143" spans="2:24" x14ac:dyDescent="0.25">
      <c r="B143" s="188" t="s">
        <v>669</v>
      </c>
      <c r="C143" s="161" t="s">
        <v>799</v>
      </c>
      <c r="D143" s="188" t="s">
        <v>670</v>
      </c>
      <c r="E143" s="259">
        <v>0</v>
      </c>
      <c r="F143" s="11"/>
      <c r="G143" s="38"/>
      <c r="H143" s="38"/>
      <c r="I143" s="38"/>
    </row>
    <row r="144" spans="2:24" x14ac:dyDescent="0.25">
      <c r="F144" s="11"/>
      <c r="G144" s="38"/>
      <c r="H144" s="38"/>
      <c r="I144" s="38"/>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codeName="Sheet19">
    <tabColor theme="7"/>
    <pageSetUpPr fitToPage="1"/>
  </sheetPr>
  <dimension ref="A1:AE193"/>
  <sheetViews>
    <sheetView zoomScale="80" zoomScaleNormal="80" workbookViewId="0"/>
  </sheetViews>
  <sheetFormatPr defaultColWidth="9.21875" defaultRowHeight="14.25" customHeight="1" x14ac:dyDescent="0.25"/>
  <cols>
    <col min="1" max="1" width="8.77734375" style="2" customWidth="1"/>
    <col min="2" max="2" width="106.44140625" style="9" customWidth="1"/>
    <col min="3" max="4" width="15.5546875" style="9" customWidth="1"/>
    <col min="5" max="5" width="14.77734375" style="9" customWidth="1"/>
    <col min="6" max="6" width="15.44140625" style="9" customWidth="1"/>
    <col min="7" max="7" width="15.21875" style="9" customWidth="1"/>
    <col min="8" max="9" width="14.77734375" style="9" customWidth="1"/>
    <col min="10" max="10" width="14.44140625" style="9" customWidth="1"/>
    <col min="11" max="12" width="14.77734375" style="9" customWidth="1"/>
    <col min="13" max="13" width="14.44140625" style="9" customWidth="1"/>
    <col min="14" max="14" width="13.77734375" style="9" customWidth="1"/>
    <col min="15" max="15" width="16.5546875" style="9" customWidth="1"/>
    <col min="16" max="16" width="14.5546875" style="9" bestFit="1" customWidth="1"/>
    <col min="17" max="17" width="13.5546875" style="2" customWidth="1"/>
    <col min="18" max="18" width="11.77734375" style="2" bestFit="1" customWidth="1"/>
    <col min="19" max="19" width="14.5546875" style="2" customWidth="1"/>
    <col min="20" max="20" width="13.77734375" style="2" customWidth="1"/>
    <col min="21" max="21" width="13.44140625" style="2" customWidth="1"/>
    <col min="22" max="22" width="16.21875" style="2" bestFit="1" customWidth="1"/>
    <col min="23" max="23" width="9.77734375" style="2" bestFit="1" customWidth="1"/>
    <col min="24" max="16384" width="9.21875" style="2"/>
  </cols>
  <sheetData>
    <row r="1" spans="1:28" ht="15" customHeight="1" x14ac:dyDescent="0.55000000000000004">
      <c r="A1" s="60"/>
    </row>
    <row r="2" spans="1:28" ht="74.099999999999994" customHeight="1" x14ac:dyDescent="0.55000000000000004">
      <c r="A2" s="60"/>
      <c r="B2" s="1190" t="s">
        <v>23</v>
      </c>
      <c r="C2" s="1190"/>
      <c r="D2" s="1190"/>
      <c r="E2" s="1190"/>
      <c r="F2" s="1190"/>
      <c r="G2" s="1190"/>
      <c r="H2" s="1190"/>
      <c r="I2" s="1190"/>
      <c r="J2" s="1190"/>
      <c r="K2" s="1190"/>
      <c r="L2" s="1190"/>
      <c r="M2" s="1190"/>
      <c r="N2" s="1190"/>
      <c r="O2" s="1190"/>
      <c r="P2" s="1190"/>
      <c r="Q2" s="1190"/>
      <c r="R2" s="1190"/>
      <c r="S2" s="1190"/>
    </row>
    <row r="4" spans="1:28" ht="49.05" customHeight="1" x14ac:dyDescent="0.25">
      <c r="B4" s="1609" t="s">
        <v>1449</v>
      </c>
      <c r="C4" s="1610"/>
      <c r="D4" s="1610"/>
      <c r="E4" s="1610"/>
      <c r="F4" s="1610"/>
      <c r="G4" s="1610"/>
      <c r="H4" s="1610"/>
      <c r="I4" s="1610"/>
      <c r="J4" s="1610"/>
      <c r="K4" s="1610"/>
      <c r="L4" s="1610"/>
      <c r="M4" s="1610"/>
      <c r="N4" s="1191"/>
      <c r="P4" s="1191"/>
    </row>
    <row r="5" spans="1:28" ht="13.8" x14ac:dyDescent="0.25">
      <c r="B5" s="1192"/>
      <c r="C5" s="1192"/>
      <c r="D5" s="1192"/>
      <c r="E5" s="1192"/>
      <c r="F5" s="1192"/>
      <c r="G5" s="1192"/>
      <c r="H5" s="1192"/>
      <c r="I5" s="1192"/>
      <c r="J5" s="1192"/>
      <c r="K5" s="1192"/>
      <c r="L5" s="1192"/>
      <c r="M5" s="1192"/>
      <c r="N5" s="1192"/>
      <c r="P5" s="1192"/>
    </row>
    <row r="6" spans="1:28" ht="17.399999999999999" x14ac:dyDescent="0.25">
      <c r="B6" s="1193" t="s">
        <v>800</v>
      </c>
      <c r="C6" s="633" t="s">
        <v>431</v>
      </c>
      <c r="D6" s="707" t="s">
        <v>432</v>
      </c>
      <c r="E6" s="707" t="s">
        <v>433</v>
      </c>
      <c r="F6" s="707" t="s">
        <v>434</v>
      </c>
      <c r="G6" s="707" t="s">
        <v>435</v>
      </c>
      <c r="H6" s="61"/>
      <c r="I6" s="61"/>
      <c r="J6" s="61"/>
      <c r="K6" s="61"/>
      <c r="L6" s="61"/>
      <c r="M6" s="61"/>
      <c r="N6" s="61"/>
    </row>
    <row r="7" spans="1:28" ht="17.399999999999999" x14ac:dyDescent="0.25">
      <c r="B7" s="1194" t="s">
        <v>801</v>
      </c>
      <c r="C7" s="1195">
        <f>C8+C11+C12</f>
        <v>11064</v>
      </c>
      <c r="D7" s="1196">
        <f>D8+D11+D12</f>
        <v>13863</v>
      </c>
      <c r="E7" s="1197">
        <f>E8+E11+E12</f>
        <v>14472</v>
      </c>
      <c r="F7" s="1197">
        <f>F8+F11+F12</f>
        <v>14345</v>
      </c>
      <c r="G7" s="1197">
        <f>G8+G11+G12</f>
        <v>14583</v>
      </c>
      <c r="H7" s="61"/>
      <c r="I7" s="61"/>
      <c r="J7" s="61"/>
      <c r="K7" s="61"/>
      <c r="L7" s="61"/>
      <c r="M7" s="61"/>
      <c r="N7" s="61"/>
      <c r="P7" s="61"/>
    </row>
    <row r="8" spans="1:28" ht="16.2" x14ac:dyDescent="0.25">
      <c r="A8" s="1198"/>
      <c r="B8" s="1199" t="s">
        <v>802</v>
      </c>
      <c r="C8" s="1200">
        <v>10156</v>
      </c>
      <c r="D8" s="1201">
        <v>11685</v>
      </c>
      <c r="E8" s="1202">
        <f>L36</f>
        <v>12638</v>
      </c>
      <c r="F8" s="1203">
        <f>O36</f>
        <v>13430</v>
      </c>
      <c r="G8" s="1203">
        <f>R36</f>
        <v>13641</v>
      </c>
      <c r="H8" s="61"/>
      <c r="I8" s="61"/>
      <c r="J8" s="61"/>
      <c r="K8" s="61"/>
      <c r="L8" s="61"/>
      <c r="M8" s="61"/>
      <c r="N8" s="61"/>
      <c r="P8" s="61"/>
    </row>
    <row r="9" spans="1:28" ht="16.2" x14ac:dyDescent="0.3">
      <c r="A9" s="1198"/>
      <c r="B9" s="1409" t="s">
        <v>803</v>
      </c>
      <c r="C9" s="1200">
        <v>9884</v>
      </c>
      <c r="D9" s="1201">
        <v>11390</v>
      </c>
      <c r="E9" s="1204">
        <v>12315</v>
      </c>
      <c r="F9" s="1117"/>
      <c r="G9" s="1117"/>
      <c r="H9" s="61"/>
      <c r="I9" s="61"/>
      <c r="J9" s="61"/>
      <c r="K9" s="61"/>
      <c r="L9" s="61"/>
      <c r="M9" s="61"/>
      <c r="N9" s="61"/>
      <c r="P9" s="61"/>
    </row>
    <row r="10" spans="1:28" ht="16.2" x14ac:dyDescent="0.3">
      <c r="A10" s="1198"/>
      <c r="B10" s="1409" t="s">
        <v>804</v>
      </c>
      <c r="C10" s="1200">
        <v>272</v>
      </c>
      <c r="D10" s="1201">
        <v>295</v>
      </c>
      <c r="E10" s="1204">
        <v>323</v>
      </c>
      <c r="F10" s="1117"/>
      <c r="G10" s="1117"/>
      <c r="H10" s="61"/>
      <c r="I10" s="61"/>
      <c r="J10" s="61"/>
      <c r="K10" s="61"/>
      <c r="L10" s="61"/>
      <c r="M10" s="61"/>
      <c r="N10" s="61"/>
      <c r="P10" s="61"/>
    </row>
    <row r="11" spans="1:28" ht="16.2" x14ac:dyDescent="0.25">
      <c r="A11" s="1205"/>
      <c r="B11" s="1199" t="s">
        <v>805</v>
      </c>
      <c r="C11" s="1200">
        <v>521</v>
      </c>
      <c r="D11" s="1206">
        <v>905</v>
      </c>
      <c r="E11" s="1207">
        <v>949</v>
      </c>
      <c r="F11" s="1117"/>
      <c r="G11" s="1117"/>
      <c r="H11" s="61"/>
      <c r="I11" s="61"/>
      <c r="J11" s="61"/>
      <c r="K11" s="61"/>
      <c r="L11" s="61"/>
      <c r="M11" s="61"/>
      <c r="N11" s="61"/>
      <c r="P11" s="61"/>
    </row>
    <row r="12" spans="1:28" ht="16.2" x14ac:dyDescent="0.25">
      <c r="A12" s="1205"/>
      <c r="B12" s="1199" t="s">
        <v>806</v>
      </c>
      <c r="C12" s="1200">
        <v>387</v>
      </c>
      <c r="D12" s="1206">
        <v>1273</v>
      </c>
      <c r="E12" s="1208">
        <v>885</v>
      </c>
      <c r="F12" s="1209">
        <v>915</v>
      </c>
      <c r="G12" s="1209">
        <v>942</v>
      </c>
      <c r="H12" s="1210"/>
      <c r="I12" s="1192"/>
      <c r="J12" s="1192"/>
      <c r="K12" s="1192"/>
      <c r="L12" s="1192"/>
      <c r="M12" s="1192"/>
      <c r="N12" s="1192"/>
      <c r="O12" s="1192"/>
      <c r="P12" s="1192"/>
    </row>
    <row r="13" spans="1:28" ht="13.8" x14ac:dyDescent="0.25">
      <c r="B13" s="61"/>
      <c r="C13" s="1211"/>
      <c r="D13" s="1211"/>
      <c r="E13" s="1211"/>
      <c r="F13" s="1211"/>
      <c r="G13" s="1211"/>
      <c r="H13" s="61"/>
      <c r="I13" s="61"/>
      <c r="J13" s="61"/>
      <c r="K13" s="61"/>
      <c r="L13" s="61"/>
      <c r="M13" s="61"/>
      <c r="N13" s="61"/>
      <c r="O13" s="61"/>
      <c r="P13" s="61"/>
    </row>
    <row r="14" spans="1:28" ht="17.399999999999999" x14ac:dyDescent="0.25">
      <c r="B14" s="1212" t="s">
        <v>807</v>
      </c>
      <c r="C14" s="1621" t="s">
        <v>431</v>
      </c>
      <c r="D14" s="1621"/>
      <c r="E14" s="1621"/>
      <c r="F14" s="1621"/>
      <c r="G14" s="1603" t="s">
        <v>432</v>
      </c>
      <c r="H14" s="1603"/>
      <c r="I14" s="1603"/>
      <c r="J14" s="1603" t="s">
        <v>433</v>
      </c>
      <c r="K14" s="1603"/>
      <c r="L14" s="1603"/>
      <c r="M14" s="1603" t="s">
        <v>434</v>
      </c>
      <c r="N14" s="1603"/>
      <c r="O14" s="1603"/>
      <c r="P14" s="1603" t="s">
        <v>435</v>
      </c>
      <c r="Q14" s="1603"/>
      <c r="R14" s="1603"/>
      <c r="S14" s="1604" t="s">
        <v>808</v>
      </c>
      <c r="U14" s="61"/>
      <c r="V14" s="61"/>
    </row>
    <row r="15" spans="1:28" ht="28.5" customHeight="1" x14ac:dyDescent="0.25">
      <c r="A15" s="9"/>
      <c r="B15" s="1213" t="s">
        <v>809</v>
      </c>
      <c r="C15" s="1214" t="s">
        <v>810</v>
      </c>
      <c r="D15" s="1214" t="s">
        <v>811</v>
      </c>
      <c r="E15" s="1214" t="s">
        <v>812</v>
      </c>
      <c r="F15" s="1214" t="s">
        <v>708</v>
      </c>
      <c r="G15" s="1214" t="s">
        <v>810</v>
      </c>
      <c r="H15" s="1214" t="s">
        <v>811</v>
      </c>
      <c r="I15" s="1214" t="s">
        <v>708</v>
      </c>
      <c r="J15" s="1214" t="s">
        <v>810</v>
      </c>
      <c r="K15" s="1214" t="s">
        <v>811</v>
      </c>
      <c r="L15" s="1214" t="s">
        <v>708</v>
      </c>
      <c r="M15" s="1214" t="s">
        <v>810</v>
      </c>
      <c r="N15" s="1214" t="s">
        <v>811</v>
      </c>
      <c r="O15" s="1214" t="s">
        <v>708</v>
      </c>
      <c r="P15" s="1214" t="s">
        <v>810</v>
      </c>
      <c r="Q15" s="1214" t="s">
        <v>811</v>
      </c>
      <c r="R15" s="1214" t="s">
        <v>708</v>
      </c>
      <c r="S15" s="1604"/>
      <c r="U15" s="1215"/>
      <c r="V15" s="6"/>
      <c r="W15" s="6"/>
      <c r="X15" s="6"/>
      <c r="Y15" s="6"/>
      <c r="Z15" s="6"/>
      <c r="AA15" s="6"/>
      <c r="AB15" s="6"/>
    </row>
    <row r="16" spans="1:28" ht="15" hidden="1" customHeight="1" x14ac:dyDescent="0.3">
      <c r="A16" s="9"/>
      <c r="B16" s="1216" t="s">
        <v>814</v>
      </c>
      <c r="C16" s="1217"/>
      <c r="D16" s="1217"/>
      <c r="E16" s="1217"/>
      <c r="F16" s="1217"/>
      <c r="G16" s="1218"/>
      <c r="H16" s="1218"/>
      <c r="I16" s="1218"/>
      <c r="J16" s="1218"/>
      <c r="K16" s="1218"/>
      <c r="L16" s="1218"/>
      <c r="M16" s="1218"/>
      <c r="N16" s="1218"/>
      <c r="O16" s="1218"/>
      <c r="P16" s="1218"/>
      <c r="Q16" s="1218"/>
      <c r="R16" s="1218"/>
      <c r="S16" s="1219"/>
      <c r="T16" s="92"/>
      <c r="U16" s="1215"/>
      <c r="V16" s="6"/>
      <c r="W16" s="6"/>
      <c r="X16" s="6"/>
      <c r="Y16" s="6"/>
      <c r="Z16" s="6"/>
      <c r="AA16" s="6"/>
      <c r="AB16" s="6"/>
    </row>
    <row r="17" spans="1:31" ht="16.2" hidden="1" x14ac:dyDescent="0.3">
      <c r="A17" s="9"/>
      <c r="B17" s="527" t="s">
        <v>815</v>
      </c>
      <c r="C17" s="1220"/>
      <c r="D17" s="1220"/>
      <c r="E17" s="1220"/>
      <c r="F17" s="1220"/>
      <c r="G17" s="1221"/>
      <c r="H17" s="1221"/>
      <c r="I17" s="1221"/>
      <c r="J17" s="1606">
        <v>1116</v>
      </c>
      <c r="K17" s="1606">
        <v>2798</v>
      </c>
      <c r="L17" s="1606">
        <f>SUM(J17:K17)</f>
        <v>3914</v>
      </c>
      <c r="M17" s="1606">
        <v>2333</v>
      </c>
      <c r="N17" s="1606">
        <v>4901</v>
      </c>
      <c r="O17" s="1606">
        <f>SUM(M17:N17)</f>
        <v>7234</v>
      </c>
      <c r="P17" s="1606">
        <v>2344</v>
      </c>
      <c r="Q17" s="1606">
        <v>5229</v>
      </c>
      <c r="R17" s="1606">
        <f>P17+Q17</f>
        <v>7573</v>
      </c>
      <c r="S17" s="1219">
        <f t="shared" ref="S17:S22" si="0">J17/L17</f>
        <v>0.28513030148185997</v>
      </c>
      <c r="T17" s="1612"/>
      <c r="U17" s="1611"/>
      <c r="V17" s="6" t="str">
        <f>B17</f>
        <v xml:space="preserve">UK </v>
      </c>
      <c r="W17" s="1222">
        <f>L17+L24</f>
        <v>4079</v>
      </c>
      <c r="X17" s="6"/>
      <c r="Y17" s="6"/>
      <c r="Z17" s="6"/>
      <c r="AA17" s="6"/>
      <c r="AB17" s="6"/>
    </row>
    <row r="18" spans="1:31" ht="16.2" hidden="1" x14ac:dyDescent="0.3">
      <c r="A18" s="9"/>
      <c r="B18" s="527" t="s">
        <v>816</v>
      </c>
      <c r="C18" s="1220"/>
      <c r="D18" s="1220"/>
      <c r="E18" s="1220"/>
      <c r="F18" s="1220"/>
      <c r="G18" s="1221"/>
      <c r="H18" s="1221"/>
      <c r="I18" s="1221"/>
      <c r="J18" s="1606">
        <v>1088</v>
      </c>
      <c r="K18" s="1606">
        <v>1602</v>
      </c>
      <c r="L18" s="1606">
        <f>SUM(J18:K18)</f>
        <v>2690</v>
      </c>
      <c r="M18" s="1606"/>
      <c r="N18" s="1606"/>
      <c r="O18" s="1606"/>
      <c r="P18" s="1606"/>
      <c r="Q18" s="1606"/>
      <c r="R18" s="1606"/>
      <c r="S18" s="1219">
        <f t="shared" si="0"/>
        <v>0.40446096654275093</v>
      </c>
      <c r="T18" s="1612"/>
      <c r="U18" s="1611"/>
      <c r="V18" s="6" t="str">
        <f>B18</f>
        <v>Rest of Europe</v>
      </c>
      <c r="W18" s="1222">
        <f>L18+L25</f>
        <v>2858</v>
      </c>
      <c r="X18" s="6"/>
      <c r="Y18" s="6"/>
      <c r="Z18" s="6"/>
      <c r="AA18" s="6"/>
      <c r="AB18" s="6"/>
    </row>
    <row r="19" spans="1:31" ht="16.2" hidden="1" x14ac:dyDescent="0.3">
      <c r="A19" s="9"/>
      <c r="B19" s="527" t="s">
        <v>817</v>
      </c>
      <c r="C19" s="1220"/>
      <c r="D19" s="1220"/>
      <c r="E19" s="1220"/>
      <c r="F19" s="1220"/>
      <c r="G19" s="1221"/>
      <c r="H19" s="1221"/>
      <c r="I19" s="1221"/>
      <c r="J19" s="1221">
        <v>554</v>
      </c>
      <c r="K19" s="1221">
        <v>1606</v>
      </c>
      <c r="L19" s="1221">
        <f>SUM(J19:K19)</f>
        <v>2160</v>
      </c>
      <c r="M19" s="1221">
        <v>685</v>
      </c>
      <c r="N19" s="1221">
        <v>2076</v>
      </c>
      <c r="O19" s="1221">
        <f>SUM(M19:N19)</f>
        <v>2761</v>
      </c>
      <c r="P19" s="1221">
        <v>660</v>
      </c>
      <c r="Q19" s="1221">
        <v>2078</v>
      </c>
      <c r="R19" s="1221">
        <f>P19+Q19</f>
        <v>2738</v>
      </c>
      <c r="S19" s="1219">
        <f t="shared" si="0"/>
        <v>0.25648148148148148</v>
      </c>
      <c r="T19" s="94"/>
      <c r="U19" s="1223"/>
      <c r="V19" s="6" t="str">
        <f>B19</f>
        <v>North America</v>
      </c>
      <c r="W19" s="1222">
        <f>L19+L26</f>
        <v>2186</v>
      </c>
      <c r="X19" s="6"/>
      <c r="Y19" s="6"/>
      <c r="Z19" s="6"/>
      <c r="AA19" s="6"/>
      <c r="AB19" s="6"/>
    </row>
    <row r="20" spans="1:31" ht="16.2" hidden="1" x14ac:dyDescent="0.3">
      <c r="A20" s="9"/>
      <c r="B20" s="527" t="s">
        <v>818</v>
      </c>
      <c r="C20" s="1220"/>
      <c r="D20" s="1220"/>
      <c r="E20" s="1220"/>
      <c r="F20" s="1220"/>
      <c r="G20" s="1221"/>
      <c r="H20" s="1221"/>
      <c r="I20" s="1221"/>
      <c r="J20" s="1221">
        <v>537</v>
      </c>
      <c r="K20" s="1221">
        <v>1902</v>
      </c>
      <c r="L20" s="1221">
        <f>SUM(J20:K20)</f>
        <v>2439</v>
      </c>
      <c r="M20" s="1221">
        <v>510</v>
      </c>
      <c r="N20" s="1221">
        <v>1965</v>
      </c>
      <c r="O20" s="1221">
        <f>SUM(M20:N20)</f>
        <v>2475</v>
      </c>
      <c r="P20" s="1221">
        <v>441</v>
      </c>
      <c r="Q20" s="1221">
        <v>1913</v>
      </c>
      <c r="R20" s="1221">
        <f>P20+Q20</f>
        <v>2354</v>
      </c>
      <c r="S20" s="1219">
        <f t="shared" si="0"/>
        <v>0.22017220172201721</v>
      </c>
      <c r="T20" s="94"/>
      <c r="U20" s="1223"/>
      <c r="V20" s="6" t="str">
        <f>B20</f>
        <v>Asia</v>
      </c>
      <c r="W20" s="1222">
        <f>L20+L27</f>
        <v>2459</v>
      </c>
      <c r="X20" s="6"/>
      <c r="Y20" s="6"/>
      <c r="Z20" s="6"/>
      <c r="AA20" s="6"/>
      <c r="AB20" s="6"/>
    </row>
    <row r="21" spans="1:31" ht="16.2" hidden="1" x14ac:dyDescent="0.3">
      <c r="A21" s="9"/>
      <c r="B21" s="527" t="s">
        <v>819</v>
      </c>
      <c r="C21" s="1220"/>
      <c r="D21" s="1220"/>
      <c r="E21" s="1220"/>
      <c r="F21" s="1220"/>
      <c r="G21" s="1221"/>
      <c r="H21" s="1221"/>
      <c r="I21" s="1221"/>
      <c r="J21" s="1221">
        <v>280</v>
      </c>
      <c r="K21" s="1221">
        <v>701</v>
      </c>
      <c r="L21" s="1221">
        <f>SUM(J21:K21)</f>
        <v>981</v>
      </c>
      <c r="M21" s="1221">
        <v>200</v>
      </c>
      <c r="N21" s="1221">
        <v>410</v>
      </c>
      <c r="O21" s="1221">
        <f>SUM(M21:N21)</f>
        <v>610</v>
      </c>
      <c r="P21" s="1221">
        <v>198</v>
      </c>
      <c r="Q21" s="1221">
        <v>396</v>
      </c>
      <c r="R21" s="1221">
        <f>P21+Q21</f>
        <v>594</v>
      </c>
      <c r="S21" s="1219">
        <f t="shared" si="0"/>
        <v>0.2854230377166157</v>
      </c>
      <c r="T21" s="94"/>
      <c r="U21" s="1223"/>
      <c r="V21" s="6" t="str">
        <f>B21</f>
        <v>Rest of World</v>
      </c>
      <c r="W21" s="1222">
        <f>L21+L28</f>
        <v>1056</v>
      </c>
      <c r="X21" s="6"/>
      <c r="Y21" s="6"/>
      <c r="Z21" s="6"/>
      <c r="AA21" s="6"/>
      <c r="AB21" s="6"/>
    </row>
    <row r="22" spans="1:31" ht="16.2" hidden="1" x14ac:dyDescent="0.3">
      <c r="A22" s="9"/>
      <c r="B22" s="1224" t="s">
        <v>820</v>
      </c>
      <c r="C22" s="1225"/>
      <c r="D22" s="1225"/>
      <c r="E22" s="1225"/>
      <c r="F22" s="1225"/>
      <c r="G22" s="1221"/>
      <c r="H22" s="1221"/>
      <c r="I22" s="1221"/>
      <c r="J22" s="1221">
        <f t="shared" ref="J22:R22" si="1">SUM(J17:J21)</f>
        <v>3575</v>
      </c>
      <c r="K22" s="1221">
        <f t="shared" si="1"/>
        <v>8609</v>
      </c>
      <c r="L22" s="1221">
        <f t="shared" si="1"/>
        <v>12184</v>
      </c>
      <c r="M22" s="1221">
        <f t="shared" si="1"/>
        <v>3728</v>
      </c>
      <c r="N22" s="1221">
        <f t="shared" si="1"/>
        <v>9352</v>
      </c>
      <c r="O22" s="1221">
        <f t="shared" si="1"/>
        <v>13080</v>
      </c>
      <c r="P22" s="1221">
        <f t="shared" si="1"/>
        <v>3643</v>
      </c>
      <c r="Q22" s="1221">
        <f t="shared" si="1"/>
        <v>9616</v>
      </c>
      <c r="R22" s="1221">
        <f t="shared" si="1"/>
        <v>13259</v>
      </c>
      <c r="S22" s="1219">
        <f t="shared" si="0"/>
        <v>0.29341759684832569</v>
      </c>
      <c r="T22" s="95"/>
      <c r="U22" s="96"/>
      <c r="V22" s="6"/>
      <c r="W22" s="1222"/>
      <c r="X22" s="6"/>
      <c r="Y22" s="6"/>
      <c r="Z22" s="6"/>
      <c r="AA22" s="6"/>
      <c r="AB22" s="6"/>
    </row>
    <row r="23" spans="1:31" ht="16.2" hidden="1" x14ac:dyDescent="0.25">
      <c r="A23" s="9"/>
      <c r="B23" s="1216" t="s">
        <v>821</v>
      </c>
      <c r="C23" s="1217"/>
      <c r="D23" s="1217"/>
      <c r="E23" s="1217"/>
      <c r="F23" s="1217"/>
      <c r="G23" s="1226"/>
      <c r="H23" s="1226"/>
      <c r="I23" s="1226"/>
      <c r="J23" s="1226"/>
      <c r="K23" s="1226"/>
      <c r="L23" s="1226"/>
      <c r="M23" s="1226"/>
      <c r="N23" s="1226"/>
      <c r="O23" s="1226"/>
      <c r="P23" s="1226"/>
      <c r="Q23" s="1226"/>
      <c r="R23" s="1226"/>
      <c r="S23" s="1219"/>
      <c r="T23" s="92"/>
      <c r="U23" s="1215"/>
      <c r="V23" s="6"/>
      <c r="W23" s="6"/>
      <c r="X23" s="6"/>
      <c r="Y23" s="6"/>
      <c r="Z23" s="6"/>
      <c r="AA23" s="6"/>
      <c r="AB23" s="6"/>
    </row>
    <row r="24" spans="1:31" ht="16.2" hidden="1" x14ac:dyDescent="0.3">
      <c r="A24" s="9"/>
      <c r="B24" s="527" t="s">
        <v>815</v>
      </c>
      <c r="C24" s="1220"/>
      <c r="D24" s="1220"/>
      <c r="E24" s="1220"/>
      <c r="F24" s="1220"/>
      <c r="G24" s="1221"/>
      <c r="H24" s="1221"/>
      <c r="I24" s="1221"/>
      <c r="J24" s="1606">
        <v>64</v>
      </c>
      <c r="K24" s="1606">
        <v>101</v>
      </c>
      <c r="L24" s="1606">
        <f>SUM(J24:K24)</f>
        <v>165</v>
      </c>
      <c r="M24" s="1606">
        <v>102</v>
      </c>
      <c r="N24" s="1606">
        <v>104</v>
      </c>
      <c r="O24" s="1606">
        <f>SUM(M24:N24)</f>
        <v>206</v>
      </c>
      <c r="P24" s="1606">
        <v>103</v>
      </c>
      <c r="Q24" s="1606">
        <v>154</v>
      </c>
      <c r="R24" s="1606">
        <f>P24+Q24</f>
        <v>257</v>
      </c>
      <c r="S24" s="1219">
        <f t="shared" ref="S24:S29" si="2">J24/L24</f>
        <v>0.38787878787878788</v>
      </c>
      <c r="T24" s="92"/>
      <c r="U24" s="1215"/>
      <c r="V24" s="1227" t="s">
        <v>822</v>
      </c>
      <c r="W24" s="1228">
        <v>0.54900000000000004</v>
      </c>
      <c r="X24" s="1229">
        <v>0.55000000000000004</v>
      </c>
      <c r="Y24" s="6"/>
      <c r="Z24" s="6"/>
      <c r="AA24" s="6"/>
      <c r="AB24" s="6"/>
    </row>
    <row r="25" spans="1:31" ht="16.2" hidden="1" x14ac:dyDescent="0.3">
      <c r="A25" s="9"/>
      <c r="B25" s="527" t="s">
        <v>816</v>
      </c>
      <c r="C25" s="1220"/>
      <c r="D25" s="1220"/>
      <c r="E25" s="1220"/>
      <c r="F25" s="1220"/>
      <c r="G25" s="1221"/>
      <c r="H25" s="1221"/>
      <c r="I25" s="1221"/>
      <c r="J25" s="1606">
        <v>77</v>
      </c>
      <c r="K25" s="1606">
        <v>91</v>
      </c>
      <c r="L25" s="1606">
        <f>SUM(J25:K25)</f>
        <v>168</v>
      </c>
      <c r="M25" s="1606"/>
      <c r="N25" s="1606"/>
      <c r="O25" s="1606"/>
      <c r="P25" s="1606"/>
      <c r="Q25" s="1606"/>
      <c r="R25" s="1606"/>
      <c r="S25" s="1219">
        <f t="shared" si="2"/>
        <v>0.45833333333333331</v>
      </c>
      <c r="T25" s="93"/>
      <c r="U25" s="1230"/>
      <c r="V25" s="6" t="s">
        <v>823</v>
      </c>
      <c r="W25" s="1228">
        <v>8.3000000000000004E-2</v>
      </c>
      <c r="X25" s="1229">
        <v>0.08</v>
      </c>
      <c r="Y25" s="6"/>
      <c r="Z25" s="6"/>
      <c r="AA25" s="6"/>
      <c r="AB25" s="6"/>
    </row>
    <row r="26" spans="1:31" ht="16.2" hidden="1" x14ac:dyDescent="0.3">
      <c r="A26" s="9"/>
      <c r="B26" s="527" t="s">
        <v>817</v>
      </c>
      <c r="C26" s="1220"/>
      <c r="D26" s="1220"/>
      <c r="E26" s="1220"/>
      <c r="F26" s="1220"/>
      <c r="G26" s="1221"/>
      <c r="H26" s="1221"/>
      <c r="I26" s="1221"/>
      <c r="J26" s="1221">
        <v>13</v>
      </c>
      <c r="K26" s="1221">
        <v>13</v>
      </c>
      <c r="L26" s="1221">
        <f>SUM(J26:K26)</f>
        <v>26</v>
      </c>
      <c r="M26" s="1221">
        <v>30</v>
      </c>
      <c r="N26" s="1221">
        <v>44</v>
      </c>
      <c r="O26" s="1221">
        <f>SUM(M26:N26)</f>
        <v>74</v>
      </c>
      <c r="P26" s="1221">
        <v>4</v>
      </c>
      <c r="Q26" s="1221">
        <v>51</v>
      </c>
      <c r="R26" s="1221">
        <f>P26+Q26</f>
        <v>55</v>
      </c>
      <c r="S26" s="1219">
        <f t="shared" si="2"/>
        <v>0.5</v>
      </c>
      <c r="T26" s="93"/>
      <c r="U26" s="1230"/>
      <c r="V26" s="6" t="s">
        <v>824</v>
      </c>
      <c r="W26" s="1228">
        <v>0.111</v>
      </c>
      <c r="X26" s="1229">
        <v>0.11</v>
      </c>
      <c r="Y26" s="6"/>
      <c r="Z26" s="6"/>
      <c r="AA26" s="6"/>
      <c r="AB26" s="6"/>
    </row>
    <row r="27" spans="1:31" s="1231" customFormat="1" ht="16.2" hidden="1" x14ac:dyDescent="0.3">
      <c r="A27" s="9"/>
      <c r="B27" s="527" t="s">
        <v>818</v>
      </c>
      <c r="C27" s="1220"/>
      <c r="D27" s="1220"/>
      <c r="E27" s="1220"/>
      <c r="F27" s="1220"/>
      <c r="G27" s="1221"/>
      <c r="H27" s="1221"/>
      <c r="I27" s="1221"/>
      <c r="J27" s="1221">
        <v>10</v>
      </c>
      <c r="K27" s="1221">
        <v>10</v>
      </c>
      <c r="L27" s="1221">
        <f>SUM(J27:K27)</f>
        <v>20</v>
      </c>
      <c r="M27" s="1221">
        <v>10</v>
      </c>
      <c r="N27" s="1221">
        <v>12</v>
      </c>
      <c r="O27" s="1221">
        <f>SUM(M27:N27)</f>
        <v>22</v>
      </c>
      <c r="P27" s="1221">
        <v>14</v>
      </c>
      <c r="Q27" s="1221">
        <v>13</v>
      </c>
      <c r="R27" s="1221">
        <f>P27+Q27</f>
        <v>27</v>
      </c>
      <c r="S27" s="1219">
        <f t="shared" si="2"/>
        <v>0.5</v>
      </c>
      <c r="T27" s="93"/>
      <c r="U27" s="1230"/>
      <c r="V27" s="6" t="s">
        <v>817</v>
      </c>
      <c r="W27" s="1228">
        <v>0.17299999999999999</v>
      </c>
      <c r="X27" s="1229">
        <v>0.17</v>
      </c>
      <c r="Y27" s="6"/>
      <c r="Z27" s="6"/>
      <c r="AA27" s="6"/>
      <c r="AB27" s="6"/>
      <c r="AC27" s="2"/>
      <c r="AD27" s="2"/>
      <c r="AE27" s="2"/>
    </row>
    <row r="28" spans="1:31" ht="16.2" hidden="1" x14ac:dyDescent="0.3">
      <c r="A28" s="9"/>
      <c r="B28" s="527" t="s">
        <v>819</v>
      </c>
      <c r="C28" s="1220"/>
      <c r="D28" s="1220"/>
      <c r="E28" s="1220"/>
      <c r="F28" s="1220"/>
      <c r="G28" s="1221"/>
      <c r="H28" s="1221"/>
      <c r="I28" s="1221"/>
      <c r="J28" s="1221">
        <v>34</v>
      </c>
      <c r="K28" s="1221">
        <v>41</v>
      </c>
      <c r="L28" s="1221">
        <f>SUM(J28:K28)</f>
        <v>75</v>
      </c>
      <c r="M28" s="1221">
        <v>28</v>
      </c>
      <c r="N28" s="1221">
        <v>20</v>
      </c>
      <c r="O28" s="1221">
        <f>SUM(M28:N28)</f>
        <v>48</v>
      </c>
      <c r="P28" s="1221">
        <v>19</v>
      </c>
      <c r="Q28" s="1221">
        <v>24</v>
      </c>
      <c r="R28" s="1221">
        <f>P28+Q28</f>
        <v>43</v>
      </c>
      <c r="S28" s="1219">
        <f t="shared" si="2"/>
        <v>0.45333333333333331</v>
      </c>
      <c r="T28" s="93"/>
      <c r="U28" s="1230"/>
      <c r="V28" s="6" t="s">
        <v>819</v>
      </c>
      <c r="W28" s="1228">
        <v>8.4000000000000005E-2</v>
      </c>
      <c r="X28" s="1229">
        <v>0.09</v>
      </c>
      <c r="Y28" s="6"/>
      <c r="Z28" s="6"/>
      <c r="AA28" s="6"/>
      <c r="AB28" s="6"/>
    </row>
    <row r="29" spans="1:31" ht="16.2" hidden="1" x14ac:dyDescent="0.3">
      <c r="A29" s="9"/>
      <c r="B29" s="1224" t="s">
        <v>820</v>
      </c>
      <c r="C29" s="1225"/>
      <c r="D29" s="1225"/>
      <c r="E29" s="1225"/>
      <c r="F29" s="1225"/>
      <c r="G29" s="1221"/>
      <c r="H29" s="1221"/>
      <c r="I29" s="1221"/>
      <c r="J29" s="1221">
        <f t="shared" ref="J29:Q29" si="3">SUM(J24:J28)</f>
        <v>198</v>
      </c>
      <c r="K29" s="1221">
        <f t="shared" si="3"/>
        <v>256</v>
      </c>
      <c r="L29" s="1221">
        <f t="shared" si="3"/>
        <v>454</v>
      </c>
      <c r="M29" s="1221">
        <f t="shared" si="3"/>
        <v>170</v>
      </c>
      <c r="N29" s="1221">
        <f t="shared" si="3"/>
        <v>180</v>
      </c>
      <c r="O29" s="1221">
        <f t="shared" si="3"/>
        <v>350</v>
      </c>
      <c r="P29" s="1221">
        <f t="shared" si="3"/>
        <v>140</v>
      </c>
      <c r="Q29" s="1221">
        <f t="shared" si="3"/>
        <v>242</v>
      </c>
      <c r="R29" s="1221">
        <f>P29+Q29</f>
        <v>382</v>
      </c>
      <c r="S29" s="1219">
        <f t="shared" si="2"/>
        <v>0.43612334801762115</v>
      </c>
      <c r="T29" s="61"/>
      <c r="U29" s="1215"/>
      <c r="V29" s="6"/>
      <c r="W29" s="1228">
        <f>SUM(W24:W28)</f>
        <v>0.99999999999999989</v>
      </c>
      <c r="X29" s="1232">
        <f>SUM(X24:X28)</f>
        <v>1</v>
      </c>
      <c r="Y29" s="6"/>
      <c r="Z29" s="6"/>
      <c r="AA29" s="6"/>
      <c r="AB29" s="6"/>
    </row>
    <row r="30" spans="1:31" ht="16.2" x14ac:dyDescent="0.3">
      <c r="A30" s="9"/>
      <c r="B30" s="1216" t="s">
        <v>825</v>
      </c>
      <c r="C30" s="1233"/>
      <c r="D30" s="1233"/>
      <c r="E30" s="1233"/>
      <c r="F30" s="1233"/>
      <c r="G30" s="961"/>
      <c r="H30" s="961"/>
      <c r="I30" s="961"/>
      <c r="J30" s="962"/>
      <c r="K30" s="962"/>
      <c r="L30" s="962"/>
      <c r="M30" s="962"/>
      <c r="N30" s="962"/>
      <c r="O30" s="962"/>
      <c r="P30" s="962"/>
      <c r="Q30" s="962"/>
      <c r="R30" s="962"/>
      <c r="S30" s="1234"/>
      <c r="T30" s="61"/>
      <c r="U30" s="1215"/>
      <c r="V30" s="6"/>
      <c r="W30" s="6"/>
      <c r="X30" s="6"/>
      <c r="Y30" s="6"/>
      <c r="Z30" s="6"/>
      <c r="AA30" s="6"/>
      <c r="AB30" s="6"/>
      <c r="AC30" s="664"/>
      <c r="AD30" s="664"/>
      <c r="AE30" s="664"/>
    </row>
    <row r="31" spans="1:31" ht="16.2" x14ac:dyDescent="0.3">
      <c r="A31" s="9"/>
      <c r="B31" s="527" t="s">
        <v>815</v>
      </c>
      <c r="C31" s="1235">
        <v>1018</v>
      </c>
      <c r="D31" s="1235">
        <v>2468</v>
      </c>
      <c r="E31" s="1235">
        <v>0</v>
      </c>
      <c r="F31" s="1235">
        <v>3486</v>
      </c>
      <c r="G31" s="1236">
        <v>1166</v>
      </c>
      <c r="H31" s="1236">
        <v>2713</v>
      </c>
      <c r="I31" s="1236">
        <f t="shared" ref="I31:I40" si="4">SUM(G31:H31)</f>
        <v>3879</v>
      </c>
      <c r="J31" s="1605">
        <f t="shared" ref="J31:R31" si="5">J17+J24</f>
        <v>1180</v>
      </c>
      <c r="K31" s="1605">
        <f t="shared" si="5"/>
        <v>2899</v>
      </c>
      <c r="L31" s="1605">
        <f t="shared" si="5"/>
        <v>4079</v>
      </c>
      <c r="M31" s="1605">
        <f t="shared" si="5"/>
        <v>2435</v>
      </c>
      <c r="N31" s="1605">
        <f t="shared" si="5"/>
        <v>5005</v>
      </c>
      <c r="O31" s="1605">
        <f t="shared" si="5"/>
        <v>7440</v>
      </c>
      <c r="P31" s="1605">
        <f t="shared" si="5"/>
        <v>2447</v>
      </c>
      <c r="Q31" s="1605">
        <f t="shared" si="5"/>
        <v>5383</v>
      </c>
      <c r="R31" s="1605">
        <f t="shared" si="5"/>
        <v>7830</v>
      </c>
      <c r="S31" s="1238">
        <f>C31/F31</f>
        <v>0.29202524383247275</v>
      </c>
      <c r="T31" s="61"/>
      <c r="U31" s="1215"/>
      <c r="V31" s="6" t="str">
        <f>B31</f>
        <v xml:space="preserve">UK </v>
      </c>
      <c r="W31" s="1222">
        <f>F31</f>
        <v>3486</v>
      </c>
      <c r="X31" s="1229">
        <f>F31/$F$36</f>
        <v>0.3432453721937771</v>
      </c>
      <c r="Y31" s="1232">
        <f>X31+X32</f>
        <v>0.57463568333989756</v>
      </c>
      <c r="Z31" s="6" t="str">
        <f>B31</f>
        <v xml:space="preserve">UK </v>
      </c>
      <c r="AA31" s="1239">
        <f>F31/$F$36</f>
        <v>0.3432453721937771</v>
      </c>
      <c r="AB31" s="6"/>
      <c r="AC31" s="664" t="s">
        <v>822</v>
      </c>
      <c r="AD31" s="664"/>
      <c r="AE31" s="1240">
        <f>(F31+F32)/F36</f>
        <v>0.57463568333989756</v>
      </c>
    </row>
    <row r="32" spans="1:31" ht="16.2" x14ac:dyDescent="0.3">
      <c r="A32" s="9"/>
      <c r="B32" s="527" t="s">
        <v>816</v>
      </c>
      <c r="C32" s="1235">
        <v>869</v>
      </c>
      <c r="D32" s="1235">
        <v>1456</v>
      </c>
      <c r="E32" s="1235">
        <v>25</v>
      </c>
      <c r="F32" s="1235">
        <v>2350</v>
      </c>
      <c r="G32" s="1236">
        <v>1194</v>
      </c>
      <c r="H32" s="1236">
        <v>1682</v>
      </c>
      <c r="I32" s="1236">
        <f t="shared" si="4"/>
        <v>2876</v>
      </c>
      <c r="J32" s="1605">
        <f t="shared" ref="J32:L35" si="6">J18+J25</f>
        <v>1165</v>
      </c>
      <c r="K32" s="1605">
        <f t="shared" si="6"/>
        <v>1693</v>
      </c>
      <c r="L32" s="1605">
        <f t="shared" si="6"/>
        <v>2858</v>
      </c>
      <c r="M32" s="1605"/>
      <c r="N32" s="1605"/>
      <c r="O32" s="1605"/>
      <c r="P32" s="1605"/>
      <c r="Q32" s="1605"/>
      <c r="R32" s="1605"/>
      <c r="S32" s="1238">
        <f>C32/F32</f>
        <v>0.3697872340425532</v>
      </c>
      <c r="T32" s="61"/>
      <c r="U32" s="1215"/>
      <c r="V32" s="6" t="str">
        <f>B32</f>
        <v>Rest of Europe</v>
      </c>
      <c r="W32" s="1222">
        <f>F32</f>
        <v>2350</v>
      </c>
      <c r="X32" s="1229">
        <f>F32/$F$36</f>
        <v>0.23139031114612052</v>
      </c>
      <c r="Y32" s="6"/>
      <c r="Z32" s="6" t="str">
        <f>B32</f>
        <v>Rest of Europe</v>
      </c>
      <c r="AA32" s="1239">
        <f>F32/$F$36</f>
        <v>0.23139031114612052</v>
      </c>
      <c r="AB32" s="6"/>
      <c r="AC32" s="664" t="s">
        <v>817</v>
      </c>
      <c r="AD32" s="664"/>
      <c r="AE32" s="1240">
        <f>F33/F36</f>
        <v>0.19446632532493108</v>
      </c>
    </row>
    <row r="33" spans="1:31" ht="16.2" x14ac:dyDescent="0.3">
      <c r="A33" s="9"/>
      <c r="B33" s="527" t="s">
        <v>817</v>
      </c>
      <c r="C33" s="1235">
        <v>448</v>
      </c>
      <c r="D33" s="1235">
        <v>1487</v>
      </c>
      <c r="E33" s="1235">
        <v>40</v>
      </c>
      <c r="F33" s="1235">
        <v>1975</v>
      </c>
      <c r="G33" s="1236">
        <v>544</v>
      </c>
      <c r="H33" s="1236">
        <v>1470</v>
      </c>
      <c r="I33" s="1236">
        <f t="shared" si="4"/>
        <v>2014</v>
      </c>
      <c r="J33" s="1237">
        <f t="shared" si="6"/>
        <v>567</v>
      </c>
      <c r="K33" s="1237">
        <f t="shared" si="6"/>
        <v>1619</v>
      </c>
      <c r="L33" s="1237">
        <f t="shared" si="6"/>
        <v>2186</v>
      </c>
      <c r="M33" s="1237">
        <f t="shared" ref="M33:R35" si="7">M19+M26</f>
        <v>715</v>
      </c>
      <c r="N33" s="1237">
        <f t="shared" si="7"/>
        <v>2120</v>
      </c>
      <c r="O33" s="1237">
        <f t="shared" si="7"/>
        <v>2835</v>
      </c>
      <c r="P33" s="1237">
        <f t="shared" si="7"/>
        <v>664</v>
      </c>
      <c r="Q33" s="1237">
        <f t="shared" si="7"/>
        <v>2129</v>
      </c>
      <c r="R33" s="1237">
        <f t="shared" si="7"/>
        <v>2793</v>
      </c>
      <c r="S33" s="1238">
        <f t="shared" ref="S33:S34" si="8">C33/F33</f>
        <v>0.22683544303797468</v>
      </c>
      <c r="T33" s="61"/>
      <c r="U33" s="1215"/>
      <c r="V33" s="6" t="str">
        <f>B33</f>
        <v>North America</v>
      </c>
      <c r="W33" s="1222">
        <f>F33</f>
        <v>1975</v>
      </c>
      <c r="X33" s="1229">
        <f>F33/$F$36</f>
        <v>0.19446632532493108</v>
      </c>
      <c r="Y33" s="1232">
        <f>X33</f>
        <v>0.19446632532493108</v>
      </c>
      <c r="Z33" s="6" t="str">
        <f>B33</f>
        <v>North America</v>
      </c>
      <c r="AA33" s="1239">
        <f>F33/$F$36</f>
        <v>0.19446632532493108</v>
      </c>
      <c r="AB33" s="6"/>
      <c r="AC33" s="664" t="s">
        <v>823</v>
      </c>
      <c r="AD33" s="664"/>
      <c r="AE33" s="1240">
        <f>W34/$F$36</f>
        <v>7.7392674281213075E-2</v>
      </c>
    </row>
    <row r="34" spans="1:31" ht="16.2" x14ac:dyDescent="0.3">
      <c r="A34" s="9"/>
      <c r="B34" s="527" t="s">
        <v>818</v>
      </c>
      <c r="C34" s="1235">
        <v>475</v>
      </c>
      <c r="D34" s="1235">
        <v>1690</v>
      </c>
      <c r="E34" s="1235">
        <v>7</v>
      </c>
      <c r="F34" s="1235">
        <v>2172</v>
      </c>
      <c r="G34" s="1236">
        <v>506</v>
      </c>
      <c r="H34" s="1236">
        <v>1791</v>
      </c>
      <c r="I34" s="1236">
        <f t="shared" si="4"/>
        <v>2297</v>
      </c>
      <c r="J34" s="1237">
        <f t="shared" si="6"/>
        <v>547</v>
      </c>
      <c r="K34" s="1237">
        <f t="shared" si="6"/>
        <v>1912</v>
      </c>
      <c r="L34" s="1237">
        <f t="shared" si="6"/>
        <v>2459</v>
      </c>
      <c r="M34" s="1237">
        <f t="shared" si="7"/>
        <v>520</v>
      </c>
      <c r="N34" s="1237">
        <f t="shared" si="7"/>
        <v>1977</v>
      </c>
      <c r="O34" s="1237">
        <f t="shared" si="7"/>
        <v>2497</v>
      </c>
      <c r="P34" s="1237">
        <f t="shared" si="7"/>
        <v>455</v>
      </c>
      <c r="Q34" s="1237">
        <f t="shared" si="7"/>
        <v>1926</v>
      </c>
      <c r="R34" s="1237">
        <f t="shared" si="7"/>
        <v>2381</v>
      </c>
      <c r="S34" s="1238">
        <f t="shared" si="8"/>
        <v>0.21869244935543278</v>
      </c>
      <c r="T34" s="61"/>
      <c r="U34" s="1215"/>
      <c r="V34" s="6" t="s">
        <v>823</v>
      </c>
      <c r="W34" s="1241">
        <v>786</v>
      </c>
      <c r="X34" s="1229">
        <f>W34/$F$36</f>
        <v>7.7392674281213075E-2</v>
      </c>
      <c r="Y34" s="1232">
        <f t="shared" ref="Y34:Y36" si="9">X34</f>
        <v>7.7392674281213075E-2</v>
      </c>
      <c r="Z34" s="6" t="str">
        <f>B34</f>
        <v>Asia</v>
      </c>
      <c r="AA34" s="1239">
        <f>F34/$F$36</f>
        <v>0.21386372587632926</v>
      </c>
      <c r="AB34" s="6"/>
      <c r="AC34" s="664" t="s">
        <v>824</v>
      </c>
      <c r="AD34" s="664"/>
      <c r="AE34" s="1240">
        <f>W35/$F$36</f>
        <v>0.13647105159511619</v>
      </c>
    </row>
    <row r="35" spans="1:31" ht="16.2" x14ac:dyDescent="0.3">
      <c r="A35" s="1205"/>
      <c r="B35" s="527" t="s">
        <v>819</v>
      </c>
      <c r="C35" s="1235">
        <v>39</v>
      </c>
      <c r="D35" s="1235">
        <v>126</v>
      </c>
      <c r="E35" s="1235">
        <v>8</v>
      </c>
      <c r="F35" s="1235">
        <v>173</v>
      </c>
      <c r="G35" s="1236">
        <v>167</v>
      </c>
      <c r="H35" s="1236">
        <v>452</v>
      </c>
      <c r="I35" s="1236">
        <f t="shared" si="4"/>
        <v>619</v>
      </c>
      <c r="J35" s="1237">
        <f t="shared" si="6"/>
        <v>314</v>
      </c>
      <c r="K35" s="1237">
        <f t="shared" si="6"/>
        <v>742</v>
      </c>
      <c r="L35" s="1237">
        <f t="shared" si="6"/>
        <v>1056</v>
      </c>
      <c r="M35" s="1237">
        <f t="shared" si="7"/>
        <v>228</v>
      </c>
      <c r="N35" s="1237">
        <f t="shared" si="7"/>
        <v>430</v>
      </c>
      <c r="O35" s="1237">
        <f t="shared" si="7"/>
        <v>658</v>
      </c>
      <c r="P35" s="1237">
        <f t="shared" si="7"/>
        <v>217</v>
      </c>
      <c r="Q35" s="1237">
        <f t="shared" si="7"/>
        <v>420</v>
      </c>
      <c r="R35" s="1237">
        <f t="shared" si="7"/>
        <v>637</v>
      </c>
      <c r="S35" s="1238">
        <f>C35/F35</f>
        <v>0.22543352601156069</v>
      </c>
      <c r="T35" s="61"/>
      <c r="U35" s="1215"/>
      <c r="V35" s="6" t="s">
        <v>824</v>
      </c>
      <c r="W35" s="1222">
        <v>1386</v>
      </c>
      <c r="X35" s="1229">
        <f>W35/$F$36</f>
        <v>0.13647105159511619</v>
      </c>
      <c r="Y35" s="1232">
        <f t="shared" si="9"/>
        <v>0.13647105159511619</v>
      </c>
      <c r="Z35" s="6" t="str">
        <f>B35</f>
        <v>Rest of World</v>
      </c>
      <c r="AA35" s="1239">
        <f>F35/$F$36</f>
        <v>1.7034265458842065E-2</v>
      </c>
      <c r="AB35" s="6"/>
      <c r="AC35" s="664" t="s">
        <v>819</v>
      </c>
      <c r="AD35" s="664"/>
      <c r="AE35" s="1240">
        <f>F35/F36</f>
        <v>1.7034265458842065E-2</v>
      </c>
    </row>
    <row r="36" spans="1:31" ht="16.2" x14ac:dyDescent="0.3">
      <c r="A36" s="378"/>
      <c r="B36" s="1242" t="s">
        <v>826</v>
      </c>
      <c r="C36" s="1243">
        <v>2849</v>
      </c>
      <c r="D36" s="1243">
        <v>7227</v>
      </c>
      <c r="E36" s="1243">
        <v>80</v>
      </c>
      <c r="F36" s="1243">
        <v>10156</v>
      </c>
      <c r="G36" s="1244">
        <f>SUM(G31:G35)</f>
        <v>3577</v>
      </c>
      <c r="H36" s="1244">
        <f>SUM(H31:H35)</f>
        <v>8108</v>
      </c>
      <c r="I36" s="1244">
        <f t="shared" si="4"/>
        <v>11685</v>
      </c>
      <c r="J36" s="1245">
        <f>J22+J29</f>
        <v>3773</v>
      </c>
      <c r="K36" s="1245">
        <f>K22+K29</f>
        <v>8865</v>
      </c>
      <c r="L36" s="1245">
        <f t="shared" ref="L36:L42" si="10">J36+K36</f>
        <v>12638</v>
      </c>
      <c r="M36" s="1245">
        <f>M22+M29</f>
        <v>3898</v>
      </c>
      <c r="N36" s="1245">
        <f>N22+N29</f>
        <v>9532</v>
      </c>
      <c r="O36" s="1245">
        <f t="shared" ref="O36:O42" si="11">M36+N36</f>
        <v>13430</v>
      </c>
      <c r="P36" s="1245">
        <f>P22+P29</f>
        <v>3783</v>
      </c>
      <c r="Q36" s="1245">
        <f>Q22+Q29</f>
        <v>9858</v>
      </c>
      <c r="R36" s="1245">
        <f t="shared" ref="R36:R42" si="12">P36+Q36</f>
        <v>13641</v>
      </c>
      <c r="S36" s="1246">
        <f>C36/F36</f>
        <v>0.28052382827884992</v>
      </c>
      <c r="T36" s="61"/>
      <c r="U36" s="1215"/>
      <c r="V36" s="6" t="str">
        <f>B35</f>
        <v>Rest of World</v>
      </c>
      <c r="W36" s="1222">
        <f>F35</f>
        <v>173</v>
      </c>
      <c r="X36" s="1229">
        <f>F35/$F$36</f>
        <v>1.7034265458842065E-2</v>
      </c>
      <c r="Y36" s="1232">
        <f t="shared" si="9"/>
        <v>1.7034265458842065E-2</v>
      </c>
      <c r="Z36" s="6"/>
      <c r="AA36" s="1232">
        <f>SUM(AA31:AA35)</f>
        <v>0.99999999999999989</v>
      </c>
      <c r="AB36" s="6"/>
      <c r="AC36" s="664"/>
      <c r="AD36" s="664"/>
      <c r="AE36" s="664"/>
    </row>
    <row r="37" spans="1:31" ht="16.2" x14ac:dyDescent="0.25">
      <c r="A37" s="1205"/>
      <c r="B37" s="1247" t="s">
        <v>827</v>
      </c>
      <c r="C37" s="1235">
        <v>4</v>
      </c>
      <c r="D37" s="1235">
        <v>5</v>
      </c>
      <c r="E37" s="1235">
        <v>0</v>
      </c>
      <c r="F37" s="1235">
        <v>9</v>
      </c>
      <c r="G37" s="1236">
        <v>4</v>
      </c>
      <c r="H37" s="1236">
        <v>5</v>
      </c>
      <c r="I37" s="1236">
        <f t="shared" si="4"/>
        <v>9</v>
      </c>
      <c r="J37" s="1237">
        <v>3</v>
      </c>
      <c r="K37" s="1237">
        <v>6</v>
      </c>
      <c r="L37" s="1237">
        <f t="shared" si="10"/>
        <v>9</v>
      </c>
      <c r="M37" s="1237">
        <v>3</v>
      </c>
      <c r="N37" s="1237">
        <v>6</v>
      </c>
      <c r="O37" s="1237">
        <f t="shared" si="11"/>
        <v>9</v>
      </c>
      <c r="P37" s="1237">
        <v>2</v>
      </c>
      <c r="Q37" s="1237">
        <v>5</v>
      </c>
      <c r="R37" s="1237">
        <f t="shared" si="12"/>
        <v>7</v>
      </c>
      <c r="S37" s="1248">
        <f>C37/F37</f>
        <v>0.44444444444444442</v>
      </c>
      <c r="T37" s="743"/>
      <c r="U37" s="1215"/>
      <c r="V37" s="6"/>
      <c r="W37" s="1222">
        <f>SUM(W31:W36)</f>
        <v>10156</v>
      </c>
      <c r="X37" s="1232">
        <f>SUM(X31:X36)</f>
        <v>0.99999999999999989</v>
      </c>
      <c r="Y37" s="1232">
        <f>SUM(Y31:Y36)</f>
        <v>0.99999999999999989</v>
      </c>
      <c r="Z37" s="6"/>
      <c r="AA37" s="6"/>
      <c r="AB37" s="6"/>
      <c r="AC37" s="664"/>
      <c r="AD37" s="664"/>
      <c r="AE37" s="664"/>
    </row>
    <row r="38" spans="1:31" ht="16.2" x14ac:dyDescent="0.25">
      <c r="A38" s="1205"/>
      <c r="B38" s="1247" t="s">
        <v>828</v>
      </c>
      <c r="C38" s="1235">
        <v>2</v>
      </c>
      <c r="D38" s="1235">
        <v>7</v>
      </c>
      <c r="E38" s="1235">
        <v>0</v>
      </c>
      <c r="F38" s="1235">
        <v>9</v>
      </c>
      <c r="G38" s="1236">
        <v>4</v>
      </c>
      <c r="H38" s="1236">
        <v>9</v>
      </c>
      <c r="I38" s="1236">
        <f t="shared" si="4"/>
        <v>13</v>
      </c>
      <c r="J38" s="1237">
        <v>3</v>
      </c>
      <c r="K38" s="1237">
        <v>9</v>
      </c>
      <c r="L38" s="1237">
        <f t="shared" si="10"/>
        <v>12</v>
      </c>
      <c r="M38" s="1237">
        <v>2</v>
      </c>
      <c r="N38" s="1237">
        <v>6</v>
      </c>
      <c r="O38" s="1237">
        <f t="shared" si="11"/>
        <v>8</v>
      </c>
      <c r="P38" s="1237">
        <v>4</v>
      </c>
      <c r="Q38" s="1237">
        <v>5</v>
      </c>
      <c r="R38" s="1237">
        <f t="shared" si="12"/>
        <v>9</v>
      </c>
      <c r="S38" s="1238">
        <f t="shared" ref="S38:S40" si="13">C38/F38</f>
        <v>0.22222222222222221</v>
      </c>
      <c r="T38" s="9"/>
      <c r="U38" s="1215"/>
      <c r="V38" s="6"/>
      <c r="W38" s="6"/>
      <c r="X38" s="6"/>
      <c r="Y38" s="6"/>
      <c r="Z38" s="6"/>
      <c r="AA38" s="6"/>
      <c r="AB38" s="6"/>
      <c r="AC38" s="664"/>
      <c r="AD38" s="664"/>
      <c r="AE38" s="664"/>
    </row>
    <row r="39" spans="1:31" s="1249" customFormat="1" ht="16.2" x14ac:dyDescent="0.25">
      <c r="A39" s="1205"/>
      <c r="B39" s="529" t="s">
        <v>829</v>
      </c>
      <c r="C39" s="1235">
        <v>27</v>
      </c>
      <c r="D39" s="1235">
        <v>65</v>
      </c>
      <c r="E39" s="1235">
        <v>0</v>
      </c>
      <c r="F39" s="1235">
        <v>92</v>
      </c>
      <c r="G39" s="1236">
        <v>23</v>
      </c>
      <c r="H39" s="1236">
        <v>74</v>
      </c>
      <c r="I39" s="1236">
        <f t="shared" si="4"/>
        <v>97</v>
      </c>
      <c r="J39" s="1237">
        <v>13</v>
      </c>
      <c r="K39" s="1237">
        <v>86</v>
      </c>
      <c r="L39" s="1237">
        <f t="shared" si="10"/>
        <v>99</v>
      </c>
      <c r="M39" s="1237">
        <v>17</v>
      </c>
      <c r="N39" s="1237">
        <v>100</v>
      </c>
      <c r="O39" s="1237">
        <f t="shared" si="11"/>
        <v>117</v>
      </c>
      <c r="P39" s="1237">
        <v>16</v>
      </c>
      <c r="Q39" s="1237">
        <v>95</v>
      </c>
      <c r="R39" s="1237">
        <f t="shared" si="12"/>
        <v>111</v>
      </c>
      <c r="S39" s="1238">
        <f t="shared" si="13"/>
        <v>0.29347826086956524</v>
      </c>
      <c r="T39" s="9"/>
      <c r="U39" s="1215"/>
      <c r="V39" s="63"/>
      <c r="W39" s="63"/>
      <c r="X39" s="63"/>
      <c r="Y39" s="63"/>
      <c r="Z39" s="63"/>
      <c r="AA39" s="63"/>
      <c r="AB39" s="63"/>
      <c r="AC39" s="9"/>
      <c r="AD39" s="9"/>
      <c r="AE39" s="9"/>
    </row>
    <row r="40" spans="1:31" ht="16.2" x14ac:dyDescent="0.25">
      <c r="A40" s="1205"/>
      <c r="B40" s="529" t="s">
        <v>830</v>
      </c>
      <c r="C40" s="1235">
        <v>42</v>
      </c>
      <c r="D40" s="1235">
        <v>35</v>
      </c>
      <c r="E40" s="1235">
        <v>0</v>
      </c>
      <c r="F40" s="1235">
        <v>77</v>
      </c>
      <c r="G40" s="1236">
        <v>30</v>
      </c>
      <c r="H40" s="1236">
        <v>48</v>
      </c>
      <c r="I40" s="1236">
        <f t="shared" si="4"/>
        <v>78</v>
      </c>
      <c r="J40" s="1237">
        <v>31</v>
      </c>
      <c r="K40" s="1237">
        <v>52</v>
      </c>
      <c r="L40" s="1237">
        <f t="shared" si="10"/>
        <v>83</v>
      </c>
      <c r="M40" s="1237">
        <v>22</v>
      </c>
      <c r="N40" s="1237">
        <v>38</v>
      </c>
      <c r="O40" s="1237">
        <f t="shared" si="11"/>
        <v>60</v>
      </c>
      <c r="P40" s="1237">
        <v>21</v>
      </c>
      <c r="Q40" s="1237">
        <v>41</v>
      </c>
      <c r="R40" s="1237">
        <f>P40+Q40</f>
        <v>62</v>
      </c>
      <c r="S40" s="1238">
        <f t="shared" si="13"/>
        <v>0.54545454545454541</v>
      </c>
      <c r="T40" s="9"/>
      <c r="U40" s="61"/>
    </row>
    <row r="41" spans="1:31" ht="32.4" x14ac:dyDescent="0.25">
      <c r="A41" s="1205"/>
      <c r="B41" s="529" t="s">
        <v>831</v>
      </c>
      <c r="C41" s="1243">
        <v>542</v>
      </c>
      <c r="D41" s="1243">
        <v>1149</v>
      </c>
      <c r="E41" s="1243">
        <v>2</v>
      </c>
      <c r="F41" s="1243">
        <v>1693</v>
      </c>
      <c r="G41" s="1244">
        <v>507</v>
      </c>
      <c r="H41" s="1244">
        <v>1190</v>
      </c>
      <c r="I41" s="1244">
        <f>G41+H41</f>
        <v>1697</v>
      </c>
      <c r="J41" s="1245">
        <v>478</v>
      </c>
      <c r="K41" s="1245">
        <v>1223</v>
      </c>
      <c r="L41" s="1245">
        <f t="shared" si="10"/>
        <v>1701</v>
      </c>
      <c r="M41" s="1245">
        <v>487</v>
      </c>
      <c r="N41" s="1245">
        <v>1302</v>
      </c>
      <c r="O41" s="1245">
        <f t="shared" si="11"/>
        <v>1789</v>
      </c>
      <c r="P41" s="1117"/>
      <c r="Q41" s="1117"/>
      <c r="R41" s="1117"/>
      <c r="S41" s="1246">
        <f>C41/F41</f>
        <v>0.32014176018901358</v>
      </c>
      <c r="T41" s="1250"/>
      <c r="U41" s="1251"/>
    </row>
    <row r="42" spans="1:31" ht="16.2" x14ac:dyDescent="0.25">
      <c r="A42" s="378"/>
      <c r="B42" s="1247" t="s">
        <v>832</v>
      </c>
      <c r="C42" s="1235">
        <v>398</v>
      </c>
      <c r="D42" s="1235">
        <v>672</v>
      </c>
      <c r="E42" s="1235">
        <v>26</v>
      </c>
      <c r="F42" s="1243">
        <v>1096</v>
      </c>
      <c r="G42" s="1236">
        <v>765</v>
      </c>
      <c r="H42" s="1236">
        <v>1232</v>
      </c>
      <c r="I42" s="1244">
        <f>G42+H42</f>
        <v>1997</v>
      </c>
      <c r="J42" s="1237">
        <v>748</v>
      </c>
      <c r="K42" s="1237">
        <v>1496</v>
      </c>
      <c r="L42" s="1237">
        <f t="shared" si="10"/>
        <v>2244</v>
      </c>
      <c r="M42" s="1237">
        <v>718</v>
      </c>
      <c r="N42" s="1237">
        <v>1355</v>
      </c>
      <c r="O42" s="1237">
        <f t="shared" si="11"/>
        <v>2073</v>
      </c>
      <c r="P42" s="1237">
        <v>475</v>
      </c>
      <c r="Q42" s="1237">
        <v>1117</v>
      </c>
      <c r="R42" s="1237">
        <f t="shared" si="12"/>
        <v>1592</v>
      </c>
      <c r="S42" s="1238">
        <f>C42/F42</f>
        <v>0.36313868613138683</v>
      </c>
      <c r="T42" s="9"/>
      <c r="U42" s="61"/>
    </row>
    <row r="43" spans="1:31" ht="13.8" x14ac:dyDescent="0.25">
      <c r="A43" s="378"/>
      <c r="B43" s="91"/>
      <c r="C43" s="91"/>
      <c r="D43" s="64"/>
      <c r="E43" s="1252"/>
      <c r="F43" s="1253"/>
      <c r="G43" s="1252"/>
      <c r="H43" s="1252"/>
      <c r="I43" s="1253"/>
      <c r="J43" s="1252"/>
      <c r="K43" s="1252"/>
      <c r="L43" s="1253"/>
      <c r="M43" s="1252"/>
      <c r="N43" s="1254"/>
      <c r="O43" s="1253"/>
      <c r="P43" s="61"/>
    </row>
    <row r="44" spans="1:31" ht="17.399999999999999" x14ac:dyDescent="0.25">
      <c r="A44" s="1205"/>
      <c r="B44" s="1255" t="s">
        <v>833</v>
      </c>
      <c r="C44" s="1621" t="s">
        <v>431</v>
      </c>
      <c r="D44" s="1621"/>
      <c r="E44" s="1621"/>
      <c r="F44" s="1621"/>
      <c r="G44" s="1603" t="s">
        <v>432</v>
      </c>
      <c r="H44" s="1603"/>
      <c r="I44" s="1603"/>
      <c r="J44" s="1603" t="s">
        <v>433</v>
      </c>
      <c r="K44" s="1603"/>
      <c r="L44" s="1603"/>
      <c r="M44" s="1603" t="s">
        <v>434</v>
      </c>
      <c r="N44" s="1603"/>
      <c r="O44" s="1603"/>
      <c r="P44" s="1603" t="s">
        <v>435</v>
      </c>
      <c r="Q44" s="1603"/>
      <c r="R44" s="1603"/>
      <c r="S44" s="1604" t="s">
        <v>808</v>
      </c>
      <c r="U44" s="61"/>
      <c r="V44" s="61"/>
    </row>
    <row r="45" spans="1:31" ht="32.4" x14ac:dyDescent="0.3">
      <c r="A45" s="1205"/>
      <c r="B45" s="1213" t="s">
        <v>809</v>
      </c>
      <c r="C45" s="1214" t="s">
        <v>810</v>
      </c>
      <c r="D45" s="1214" t="s">
        <v>811</v>
      </c>
      <c r="E45" s="1214" t="s">
        <v>812</v>
      </c>
      <c r="F45" s="1214" t="s">
        <v>708</v>
      </c>
      <c r="G45" s="1214" t="s">
        <v>810</v>
      </c>
      <c r="H45" s="1214" t="s">
        <v>811</v>
      </c>
      <c r="I45" s="1214" t="s">
        <v>708</v>
      </c>
      <c r="J45" s="1214" t="s">
        <v>810</v>
      </c>
      <c r="K45" s="1214" t="s">
        <v>811</v>
      </c>
      <c r="L45" s="1214" t="s">
        <v>708</v>
      </c>
      <c r="M45" s="1214" t="s">
        <v>810</v>
      </c>
      <c r="N45" s="1214" t="s">
        <v>811</v>
      </c>
      <c r="O45" s="1214" t="s">
        <v>708</v>
      </c>
      <c r="P45" s="1214" t="s">
        <v>810</v>
      </c>
      <c r="Q45" s="1214" t="s">
        <v>811</v>
      </c>
      <c r="R45" s="1214" t="s">
        <v>708</v>
      </c>
      <c r="S45" s="1604"/>
      <c r="U45" s="92" t="s">
        <v>813</v>
      </c>
      <c r="Z45"/>
    </row>
    <row r="46" spans="1:31" ht="16.2" x14ac:dyDescent="0.3">
      <c r="A46" s="1205"/>
      <c r="B46" s="1216" t="s">
        <v>834</v>
      </c>
      <c r="C46" s="1256"/>
      <c r="D46" s="1256"/>
      <c r="E46" s="1256"/>
      <c r="F46" s="1256"/>
      <c r="G46" s="1257"/>
      <c r="H46" s="1257"/>
      <c r="I46" s="1257"/>
      <c r="J46" s="1258"/>
      <c r="K46" s="1258"/>
      <c r="L46" s="1258"/>
      <c r="M46" s="1218"/>
      <c r="N46" s="1218"/>
      <c r="O46" s="1218"/>
      <c r="P46" s="1218"/>
      <c r="Q46" s="1218"/>
      <c r="R46" s="1259"/>
      <c r="S46" s="1607"/>
      <c r="T46" s="92"/>
    </row>
    <row r="47" spans="1:31" ht="16.2" x14ac:dyDescent="0.3">
      <c r="A47" s="1205"/>
      <c r="B47" s="1260" t="s">
        <v>835</v>
      </c>
      <c r="C47" s="1261" t="s">
        <v>836</v>
      </c>
      <c r="D47" s="1261" t="s">
        <v>836</v>
      </c>
      <c r="E47" s="1261" t="s">
        <v>836</v>
      </c>
      <c r="F47" s="1261">
        <v>0</v>
      </c>
      <c r="G47" s="1262">
        <v>0</v>
      </c>
      <c r="H47" s="1262">
        <v>0</v>
      </c>
      <c r="I47" s="1262">
        <f t="shared" ref="I47:I55" si="14">SUM(G47:H47)</f>
        <v>0</v>
      </c>
      <c r="J47" s="1263">
        <v>0</v>
      </c>
      <c r="K47" s="1263">
        <v>0</v>
      </c>
      <c r="L47" s="1263">
        <f>J47+K47</f>
        <v>0</v>
      </c>
      <c r="M47" s="1237">
        <v>0</v>
      </c>
      <c r="N47" s="1237">
        <v>0</v>
      </c>
      <c r="O47" s="1237">
        <f>M47+N47</f>
        <v>0</v>
      </c>
      <c r="P47" s="1237">
        <v>1</v>
      </c>
      <c r="Q47" s="1237">
        <v>0</v>
      </c>
      <c r="R47" s="1237">
        <v>1</v>
      </c>
      <c r="S47" s="1607"/>
      <c r="T47" s="9"/>
      <c r="U47" s="61"/>
    </row>
    <row r="48" spans="1:31" ht="16.2" x14ac:dyDescent="0.3">
      <c r="A48" s="1205"/>
      <c r="B48" s="1260" t="s">
        <v>837</v>
      </c>
      <c r="C48" s="1235">
        <v>1</v>
      </c>
      <c r="D48" s="1235">
        <v>2</v>
      </c>
      <c r="E48" s="1235">
        <v>0</v>
      </c>
      <c r="F48" s="1235">
        <v>3</v>
      </c>
      <c r="G48" s="1262">
        <v>0</v>
      </c>
      <c r="H48" s="1262">
        <v>2</v>
      </c>
      <c r="I48" s="1262">
        <f t="shared" si="14"/>
        <v>2</v>
      </c>
      <c r="J48" s="1263">
        <v>0</v>
      </c>
      <c r="K48" s="1263">
        <v>3</v>
      </c>
      <c r="L48" s="1263">
        <f>J48+K48</f>
        <v>3</v>
      </c>
      <c r="M48" s="1237">
        <v>0</v>
      </c>
      <c r="N48" s="1237">
        <v>3</v>
      </c>
      <c r="O48" s="1237">
        <f>M48+N48</f>
        <v>3</v>
      </c>
      <c r="P48" s="1237">
        <v>0</v>
      </c>
      <c r="Q48" s="1237">
        <v>2</v>
      </c>
      <c r="R48" s="1237">
        <v>2</v>
      </c>
      <c r="S48" s="1607"/>
      <c r="T48" s="9"/>
      <c r="U48" s="61"/>
    </row>
    <row r="49" spans="1:31" ht="16.2" x14ac:dyDescent="0.3">
      <c r="A49" s="1205"/>
      <c r="B49" s="1260" t="s">
        <v>838</v>
      </c>
      <c r="C49" s="1235">
        <v>0</v>
      </c>
      <c r="D49" s="1235">
        <v>2</v>
      </c>
      <c r="E49" s="1235">
        <v>0</v>
      </c>
      <c r="F49" s="1235">
        <v>2</v>
      </c>
      <c r="G49" s="1262"/>
      <c r="H49" s="1262">
        <v>2</v>
      </c>
      <c r="I49" s="1262">
        <f t="shared" si="14"/>
        <v>2</v>
      </c>
      <c r="J49" s="1263">
        <v>0</v>
      </c>
      <c r="K49" s="1263">
        <v>2</v>
      </c>
      <c r="L49" s="1263">
        <f>J49+K49</f>
        <v>2</v>
      </c>
      <c r="M49" s="1237">
        <v>0</v>
      </c>
      <c r="N49" s="1237">
        <v>2</v>
      </c>
      <c r="O49" s="1237">
        <f>M49+N49</f>
        <v>2</v>
      </c>
      <c r="P49" s="1237">
        <v>2</v>
      </c>
      <c r="Q49" s="1237">
        <v>4</v>
      </c>
      <c r="R49" s="1237">
        <v>6</v>
      </c>
      <c r="S49" s="1607"/>
      <c r="T49" s="9"/>
      <c r="U49" s="61"/>
    </row>
    <row r="50" spans="1:31" ht="16.2" x14ac:dyDescent="0.3">
      <c r="B50" s="1260" t="s">
        <v>839</v>
      </c>
      <c r="C50" s="1235">
        <v>3</v>
      </c>
      <c r="D50" s="1235">
        <v>1</v>
      </c>
      <c r="E50" s="1235">
        <v>0</v>
      </c>
      <c r="F50" s="1235">
        <v>4</v>
      </c>
      <c r="G50" s="1262">
        <v>4</v>
      </c>
      <c r="H50" s="1262">
        <v>1</v>
      </c>
      <c r="I50" s="1262">
        <f t="shared" si="14"/>
        <v>5</v>
      </c>
      <c r="J50" s="1263">
        <v>3</v>
      </c>
      <c r="K50" s="1263">
        <v>1</v>
      </c>
      <c r="L50" s="1263">
        <f>J50+K50</f>
        <v>4</v>
      </c>
      <c r="M50" s="1237">
        <v>3</v>
      </c>
      <c r="N50" s="1237">
        <v>1</v>
      </c>
      <c r="O50" s="1237">
        <f>M50+N50</f>
        <v>4</v>
      </c>
      <c r="P50" s="1237">
        <v>0</v>
      </c>
      <c r="Q50" s="1237">
        <v>0</v>
      </c>
      <c r="R50" s="1237">
        <v>0</v>
      </c>
      <c r="S50" s="1264"/>
      <c r="T50" s="9"/>
      <c r="U50" s="61"/>
    </row>
    <row r="51" spans="1:31" ht="16.2" x14ac:dyDescent="0.25">
      <c r="B51" s="1265" t="s">
        <v>840</v>
      </c>
      <c r="C51" s="1266">
        <v>4</v>
      </c>
      <c r="D51" s="1266">
        <v>5</v>
      </c>
      <c r="E51" s="1266" t="s">
        <v>836</v>
      </c>
      <c r="F51" s="1266">
        <v>9</v>
      </c>
      <c r="G51" s="1267">
        <f>SUM(G47:G50)</f>
        <v>4</v>
      </c>
      <c r="H51" s="1267">
        <f>SUM(H47:H50)</f>
        <v>5</v>
      </c>
      <c r="I51" s="1267">
        <f t="shared" si="14"/>
        <v>9</v>
      </c>
      <c r="J51" s="1268">
        <f t="shared" ref="J51:Q51" si="15">SUM(J47:J50)</f>
        <v>3</v>
      </c>
      <c r="K51" s="1268">
        <f t="shared" si="15"/>
        <v>6</v>
      </c>
      <c r="L51" s="1268">
        <f t="shared" si="15"/>
        <v>9</v>
      </c>
      <c r="M51" s="1245">
        <f t="shared" si="15"/>
        <v>3</v>
      </c>
      <c r="N51" s="1245">
        <f t="shared" si="15"/>
        <v>6</v>
      </c>
      <c r="O51" s="1245">
        <f t="shared" si="15"/>
        <v>9</v>
      </c>
      <c r="P51" s="1245">
        <f t="shared" si="15"/>
        <v>3</v>
      </c>
      <c r="Q51" s="1245">
        <f t="shared" si="15"/>
        <v>6</v>
      </c>
      <c r="R51" s="1245">
        <v>9</v>
      </c>
      <c r="S51" s="1269">
        <f>C51/F51</f>
        <v>0.44444444444444442</v>
      </c>
      <c r="T51" s="9"/>
      <c r="U51" s="1251"/>
    </row>
    <row r="52" spans="1:31" ht="16.2" x14ac:dyDescent="0.25">
      <c r="A52" s="1205"/>
      <c r="B52" s="1270" t="s">
        <v>841</v>
      </c>
      <c r="C52" s="1235">
        <v>529</v>
      </c>
      <c r="D52" s="1235">
        <v>1011</v>
      </c>
      <c r="E52" s="1235">
        <v>18</v>
      </c>
      <c r="F52" s="1235">
        <v>1558</v>
      </c>
      <c r="G52" s="1262">
        <v>659</v>
      </c>
      <c r="H52" s="1262">
        <v>1284</v>
      </c>
      <c r="I52" s="1262">
        <f t="shared" si="14"/>
        <v>1943</v>
      </c>
      <c r="J52" s="1263">
        <v>640</v>
      </c>
      <c r="K52" s="1263">
        <v>1388</v>
      </c>
      <c r="L52" s="1263">
        <f>J52+K52</f>
        <v>2028</v>
      </c>
      <c r="M52" s="1263">
        <v>719</v>
      </c>
      <c r="N52" s="1263">
        <v>1509</v>
      </c>
      <c r="O52" s="1263">
        <f>M52+N52</f>
        <v>2228</v>
      </c>
      <c r="P52" s="1263">
        <v>730</v>
      </c>
      <c r="Q52" s="1263">
        <v>1608</v>
      </c>
      <c r="R52" s="1263">
        <f>P52+Q52</f>
        <v>2338</v>
      </c>
      <c r="S52" s="1238">
        <f t="shared" ref="S52:S56" si="16">C52/F52</f>
        <v>0.33953786906290118</v>
      </c>
      <c r="T52" s="9"/>
      <c r="U52" s="61"/>
    </row>
    <row r="53" spans="1:31" ht="16.2" x14ac:dyDescent="0.25">
      <c r="A53" s="1205"/>
      <c r="B53" s="1270" t="s">
        <v>842</v>
      </c>
      <c r="C53" s="1235">
        <v>1562</v>
      </c>
      <c r="D53" s="1235">
        <v>3731</v>
      </c>
      <c r="E53" s="1235">
        <v>22</v>
      </c>
      <c r="F53" s="1235">
        <v>5315</v>
      </c>
      <c r="G53" s="1262">
        <v>1855</v>
      </c>
      <c r="H53" s="1262">
        <v>4090</v>
      </c>
      <c r="I53" s="1262">
        <f t="shared" si="14"/>
        <v>5945</v>
      </c>
      <c r="J53" s="1608">
        <v>1971</v>
      </c>
      <c r="K53" s="1608">
        <v>4463</v>
      </c>
      <c r="L53" s="1608">
        <f>J53+K53</f>
        <v>6434</v>
      </c>
      <c r="M53" s="1608">
        <v>2477</v>
      </c>
      <c r="N53" s="1608">
        <v>6050</v>
      </c>
      <c r="O53" s="1608">
        <f>M53+N53</f>
        <v>8527</v>
      </c>
      <c r="P53" s="1608">
        <v>2331</v>
      </c>
      <c r="Q53" s="1608">
        <v>5927</v>
      </c>
      <c r="R53" s="1608">
        <f>P53+Q53</f>
        <v>8258</v>
      </c>
      <c r="S53" s="1238">
        <f t="shared" si="16"/>
        <v>0.29388523047977422</v>
      </c>
      <c r="T53" s="9"/>
      <c r="U53" s="61"/>
    </row>
    <row r="54" spans="1:31" ht="16.2" x14ac:dyDescent="0.25">
      <c r="A54" s="1205"/>
      <c r="B54" s="1270" t="s">
        <v>843</v>
      </c>
      <c r="C54" s="1235">
        <v>681</v>
      </c>
      <c r="D54" s="1235">
        <v>2082</v>
      </c>
      <c r="E54" s="1235">
        <v>2</v>
      </c>
      <c r="F54" s="1235">
        <v>2765</v>
      </c>
      <c r="G54" s="1262">
        <v>917</v>
      </c>
      <c r="H54" s="1262">
        <v>2272</v>
      </c>
      <c r="I54" s="1262">
        <f t="shared" si="14"/>
        <v>3189</v>
      </c>
      <c r="J54" s="1608">
        <v>962</v>
      </c>
      <c r="K54" s="1608">
        <v>2456</v>
      </c>
      <c r="L54" s="1608">
        <f>J54+K54</f>
        <v>3418</v>
      </c>
      <c r="M54" s="1608"/>
      <c r="N54" s="1608"/>
      <c r="O54" s="1608"/>
      <c r="P54" s="1608"/>
      <c r="Q54" s="1608"/>
      <c r="R54" s="1608"/>
      <c r="S54" s="1238">
        <f t="shared" si="16"/>
        <v>0.24629294755877035</v>
      </c>
      <c r="T54" s="9"/>
      <c r="U54" s="61"/>
    </row>
    <row r="55" spans="1:31" s="1231" customFormat="1" ht="16.2" x14ac:dyDescent="0.25">
      <c r="A55" s="1205"/>
      <c r="B55" s="1270" t="s">
        <v>844</v>
      </c>
      <c r="C55" s="1235">
        <v>77</v>
      </c>
      <c r="D55" s="1235">
        <v>405</v>
      </c>
      <c r="E55" s="1235">
        <v>0</v>
      </c>
      <c r="F55" s="1235">
        <v>482</v>
      </c>
      <c r="G55" s="1262">
        <v>118</v>
      </c>
      <c r="H55" s="1262">
        <v>415</v>
      </c>
      <c r="I55" s="1262">
        <f t="shared" si="14"/>
        <v>533</v>
      </c>
      <c r="J55" s="1263">
        <v>123</v>
      </c>
      <c r="K55" s="1263">
        <v>434</v>
      </c>
      <c r="L55" s="1263">
        <f>J55+K55</f>
        <v>557</v>
      </c>
      <c r="M55" s="1263">
        <v>703</v>
      </c>
      <c r="N55" s="1263">
        <v>1972</v>
      </c>
      <c r="O55" s="1263">
        <f>M55+N55</f>
        <v>2675</v>
      </c>
      <c r="P55" s="1263">
        <v>722</v>
      </c>
      <c r="Q55" s="1263">
        <v>2322</v>
      </c>
      <c r="R55" s="1263">
        <f>P55+Q55</f>
        <v>3044</v>
      </c>
      <c r="S55" s="1238">
        <f t="shared" si="16"/>
        <v>0.15975103734439833</v>
      </c>
      <c r="T55" s="9"/>
      <c r="U55" s="61"/>
      <c r="V55" s="2"/>
      <c r="W55" s="2"/>
      <c r="X55" s="2"/>
      <c r="Y55" s="2"/>
      <c r="Z55" s="2"/>
      <c r="AA55" s="2"/>
      <c r="AB55" s="2"/>
      <c r="AC55" s="2"/>
      <c r="AD55" s="2"/>
      <c r="AE55" s="2"/>
    </row>
    <row r="56" spans="1:31" s="1271" customFormat="1" ht="16.2" x14ac:dyDescent="0.25">
      <c r="A56" s="371"/>
      <c r="B56" s="1026" t="s">
        <v>845</v>
      </c>
      <c r="C56" s="1243">
        <v>2849</v>
      </c>
      <c r="D56" s="1243">
        <v>7227</v>
      </c>
      <c r="E56" s="1243">
        <v>42</v>
      </c>
      <c r="F56" s="1243">
        <v>10118</v>
      </c>
      <c r="G56" s="1267">
        <f t="shared" ref="G56:R56" si="17">SUM(G52:G55)</f>
        <v>3549</v>
      </c>
      <c r="H56" s="1267">
        <f t="shared" si="17"/>
        <v>8061</v>
      </c>
      <c r="I56" s="1267">
        <f t="shared" si="17"/>
        <v>11610</v>
      </c>
      <c r="J56" s="1268">
        <f t="shared" si="17"/>
        <v>3696</v>
      </c>
      <c r="K56" s="1268">
        <f t="shared" si="17"/>
        <v>8741</v>
      </c>
      <c r="L56" s="1268">
        <f t="shared" si="17"/>
        <v>12437</v>
      </c>
      <c r="M56" s="1268">
        <f t="shared" si="17"/>
        <v>3899</v>
      </c>
      <c r="N56" s="1268">
        <f t="shared" si="17"/>
        <v>9531</v>
      </c>
      <c r="O56" s="1268">
        <f t="shared" si="17"/>
        <v>13430</v>
      </c>
      <c r="P56" s="1268">
        <f t="shared" si="17"/>
        <v>3783</v>
      </c>
      <c r="Q56" s="1268">
        <f t="shared" si="17"/>
        <v>9857</v>
      </c>
      <c r="R56" s="1268">
        <f t="shared" si="17"/>
        <v>13640</v>
      </c>
      <c r="S56" s="1246">
        <f t="shared" si="16"/>
        <v>0.28157738683534295</v>
      </c>
      <c r="T56" s="72"/>
      <c r="U56" s="73"/>
      <c r="V56" s="72"/>
      <c r="W56" s="72"/>
      <c r="X56" s="72"/>
      <c r="Y56" s="72"/>
      <c r="Z56" s="72"/>
      <c r="AA56" s="72"/>
      <c r="AB56" s="72"/>
      <c r="AC56" s="72"/>
      <c r="AD56" s="72"/>
      <c r="AE56" s="72"/>
    </row>
    <row r="57" spans="1:31" ht="16.2" x14ac:dyDescent="0.25">
      <c r="A57" s="1205"/>
      <c r="B57" s="1270" t="s">
        <v>846</v>
      </c>
      <c r="C57" s="1235"/>
      <c r="D57" s="1235"/>
      <c r="E57" s="1235">
        <v>38</v>
      </c>
      <c r="F57" s="1235">
        <v>38</v>
      </c>
      <c r="G57" s="1262"/>
      <c r="H57" s="1262"/>
      <c r="I57" s="1262">
        <v>75</v>
      </c>
      <c r="J57" s="1263"/>
      <c r="K57" s="1263"/>
      <c r="L57" s="1263">
        <v>201</v>
      </c>
      <c r="M57" s="1117"/>
      <c r="N57" s="1117"/>
      <c r="O57" s="1117"/>
      <c r="P57" s="1117"/>
      <c r="Q57" s="1117"/>
      <c r="R57" s="1117"/>
      <c r="S57" s="1238"/>
      <c r="T57" s="9"/>
      <c r="U57" s="61"/>
    </row>
    <row r="58" spans="1:31" ht="16.2" x14ac:dyDescent="0.25">
      <c r="A58" s="1205"/>
      <c r="B58" s="1272"/>
      <c r="C58" s="1272"/>
      <c r="D58" s="1273"/>
      <c r="E58" s="1274"/>
      <c r="F58" s="1274"/>
      <c r="G58" s="1275"/>
      <c r="H58" s="1274"/>
      <c r="I58" s="1274"/>
      <c r="J58" s="1275"/>
      <c r="K58" s="1274"/>
      <c r="L58" s="1274"/>
      <c r="M58" s="1275"/>
      <c r="N58" s="1274"/>
      <c r="O58" s="1274"/>
      <c r="P58" s="1274"/>
      <c r="Q58" s="1274"/>
      <c r="R58" s="1274"/>
    </row>
    <row r="59" spans="1:31" ht="17.399999999999999" x14ac:dyDescent="0.25">
      <c r="A59" s="1205"/>
      <c r="B59" s="1276" t="s">
        <v>847</v>
      </c>
      <c r="C59" s="1602" t="s">
        <v>431</v>
      </c>
      <c r="D59" s="1602"/>
      <c r="E59" s="1275"/>
      <c r="F59" s="1275"/>
      <c r="G59" s="1275"/>
      <c r="H59" s="1275"/>
      <c r="I59" s="1275"/>
      <c r="J59" s="1275"/>
      <c r="K59" s="1274"/>
      <c r="L59" s="1274"/>
      <c r="M59" s="1275"/>
      <c r="N59" s="1274"/>
      <c r="O59" s="1274"/>
      <c r="P59" s="1274"/>
      <c r="Q59" s="1274"/>
      <c r="R59" s="1274"/>
    </row>
    <row r="60" spans="1:31" ht="16.2" x14ac:dyDescent="0.25">
      <c r="A60" s="1205"/>
      <c r="B60" s="1277"/>
      <c r="C60" s="1278" t="s">
        <v>848</v>
      </c>
      <c r="D60" s="1278" t="s">
        <v>849</v>
      </c>
      <c r="E60" s="1275"/>
      <c r="F60" s="1275"/>
      <c r="G60" s="1275"/>
      <c r="H60" s="1275"/>
      <c r="I60" s="1275"/>
      <c r="J60" s="1275"/>
      <c r="K60" s="1274"/>
      <c r="L60" s="1274"/>
      <c r="M60" s="1275"/>
      <c r="N60" s="1274"/>
      <c r="O60" s="1274"/>
      <c r="P60" s="1274"/>
      <c r="Q60" s="1274"/>
      <c r="R60" s="1274"/>
    </row>
    <row r="61" spans="1:31" ht="16.2" x14ac:dyDescent="0.25">
      <c r="A61" s="1205"/>
      <c r="B61" s="1279" t="s">
        <v>850</v>
      </c>
      <c r="C61" s="1280">
        <v>46</v>
      </c>
      <c r="D61" s="1281">
        <f>C61/$C$67</f>
        <v>0.59740259740259738</v>
      </c>
      <c r="E61" s="1275"/>
      <c r="F61" s="1275"/>
      <c r="G61" s="1275"/>
      <c r="H61" s="1275"/>
      <c r="I61" s="1275"/>
      <c r="J61" s="1275"/>
      <c r="K61" s="1274"/>
      <c r="L61" s="1274"/>
      <c r="M61" s="1275"/>
      <c r="N61" s="1274"/>
      <c r="O61" s="1274"/>
      <c r="P61" s="1274"/>
      <c r="Q61" s="1274"/>
      <c r="R61" s="1274"/>
    </row>
    <row r="62" spans="1:31" ht="16.2" x14ac:dyDescent="0.25">
      <c r="A62" s="1205"/>
      <c r="B62" s="1279" t="s">
        <v>851</v>
      </c>
      <c r="C62" s="1282">
        <v>1</v>
      </c>
      <c r="D62" s="1281">
        <v>1.29E-2</v>
      </c>
      <c r="E62" s="1275"/>
      <c r="F62" s="1275"/>
      <c r="G62" s="1275"/>
      <c r="H62" s="1275"/>
      <c r="I62" s="1275"/>
      <c r="J62" s="1275"/>
      <c r="K62" s="1274"/>
      <c r="L62" s="1274"/>
      <c r="M62" s="1275"/>
      <c r="N62" s="1274"/>
      <c r="O62" s="1274"/>
      <c r="P62" s="1274"/>
      <c r="Q62" s="1274"/>
      <c r="R62" s="1274"/>
    </row>
    <row r="63" spans="1:31" ht="16.2" x14ac:dyDescent="0.25">
      <c r="A63" s="1205"/>
      <c r="B63" s="1279" t="s">
        <v>852</v>
      </c>
      <c r="C63" s="1280">
        <v>9</v>
      </c>
      <c r="D63" s="1281">
        <v>0.1169</v>
      </c>
      <c r="E63" s="1283"/>
      <c r="F63" s="1283"/>
      <c r="G63" s="1283"/>
      <c r="H63" s="1283"/>
      <c r="I63" s="1283"/>
      <c r="J63" s="1283"/>
      <c r="K63" s="1274"/>
      <c r="L63" s="1274"/>
      <c r="M63" s="1275"/>
      <c r="N63" s="1274"/>
      <c r="O63" s="1274"/>
      <c r="P63" s="1274"/>
      <c r="Q63" s="1274"/>
      <c r="R63" s="1274"/>
    </row>
    <row r="64" spans="1:31" ht="16.2" x14ac:dyDescent="0.25">
      <c r="A64" s="1205"/>
      <c r="B64" s="1279" t="s">
        <v>853</v>
      </c>
      <c r="C64" s="1282">
        <v>0</v>
      </c>
      <c r="D64" s="1281">
        <f t="shared" ref="D64:D66" si="18">C64/$C$67</f>
        <v>0</v>
      </c>
      <c r="E64" s="1275"/>
      <c r="F64" s="1275"/>
      <c r="G64" s="1275"/>
      <c r="H64" s="1275"/>
      <c r="I64" s="1275"/>
      <c r="J64" s="1275"/>
      <c r="K64" s="1274"/>
      <c r="L64" s="1274"/>
      <c r="M64" s="1275"/>
      <c r="N64" s="1274"/>
      <c r="O64" s="1274"/>
      <c r="P64" s="1274"/>
      <c r="Q64" s="1274"/>
      <c r="R64" s="1274"/>
    </row>
    <row r="65" spans="1:18" ht="16.2" x14ac:dyDescent="0.25">
      <c r="A65" s="1205"/>
      <c r="B65" s="1284" t="s">
        <v>854</v>
      </c>
      <c r="C65" s="1282">
        <v>0</v>
      </c>
      <c r="D65" s="1281">
        <f t="shared" si="18"/>
        <v>0</v>
      </c>
      <c r="E65" s="1275"/>
      <c r="F65" s="1275"/>
      <c r="G65" s="1275"/>
      <c r="H65" s="1275"/>
      <c r="I65" s="1275"/>
      <c r="J65" s="1275"/>
      <c r="K65" s="1274"/>
      <c r="L65" s="1274"/>
      <c r="M65" s="1275"/>
      <c r="N65" s="1274"/>
      <c r="O65" s="1274"/>
      <c r="P65" s="1274"/>
      <c r="Q65" s="1274"/>
      <c r="R65" s="1274"/>
    </row>
    <row r="66" spans="1:18" ht="16.2" x14ac:dyDescent="0.25">
      <c r="A66" s="1205"/>
      <c r="B66" s="1285" t="s">
        <v>855</v>
      </c>
      <c r="C66" s="1282">
        <v>21</v>
      </c>
      <c r="D66" s="1281">
        <f t="shared" si="18"/>
        <v>0.27272727272727271</v>
      </c>
      <c r="E66" s="1275"/>
      <c r="F66" s="1275"/>
      <c r="G66" s="1275"/>
      <c r="H66" s="1275"/>
      <c r="I66" s="1275"/>
      <c r="J66" s="1275"/>
      <c r="K66" s="1274"/>
      <c r="L66" s="1274"/>
      <c r="M66" s="1275"/>
      <c r="N66" s="1274"/>
      <c r="O66" s="1274"/>
      <c r="P66" s="1274"/>
      <c r="Q66" s="1274"/>
      <c r="R66" s="1274"/>
    </row>
    <row r="67" spans="1:18" ht="16.2" x14ac:dyDescent="0.25">
      <c r="A67" s="1205"/>
      <c r="B67" s="1286" t="s">
        <v>708</v>
      </c>
      <c r="C67" s="1287">
        <f>SUM(C61:C66)</f>
        <v>77</v>
      </c>
      <c r="D67" s="1288">
        <f t="shared" ref="D67" si="19">SUM(D61:D66)</f>
        <v>0.99992987012987011</v>
      </c>
      <c r="E67" s="1275"/>
      <c r="F67" s="1275"/>
      <c r="G67" s="1275"/>
      <c r="H67" s="1275"/>
      <c r="I67" s="1275"/>
      <c r="J67" s="1275"/>
      <c r="K67" s="1274"/>
      <c r="L67" s="1274"/>
      <c r="M67" s="1275"/>
      <c r="N67" s="1274"/>
      <c r="O67" s="1274"/>
      <c r="P67" s="1274"/>
      <c r="Q67" s="1274"/>
      <c r="R67" s="1274"/>
    </row>
    <row r="68" spans="1:18" ht="16.2" x14ac:dyDescent="0.25">
      <c r="A68" s="1205"/>
      <c r="B68" s="1272"/>
      <c r="C68" s="1272"/>
      <c r="D68" s="1273"/>
      <c r="E68" s="1274"/>
      <c r="F68" s="1274"/>
      <c r="G68" s="1275"/>
      <c r="H68" s="1274"/>
      <c r="I68" s="1274"/>
      <c r="J68" s="1275"/>
      <c r="K68" s="1274"/>
      <c r="L68" s="1274"/>
      <c r="M68" s="1275"/>
      <c r="N68" s="1274"/>
      <c r="O68" s="1274"/>
      <c r="P68" s="1274"/>
      <c r="Q68" s="1274"/>
      <c r="R68" s="1274"/>
    </row>
    <row r="69" spans="1:18" ht="17.399999999999999" x14ac:dyDescent="0.25">
      <c r="A69" s="1205"/>
      <c r="B69" s="1255" t="s">
        <v>856</v>
      </c>
      <c r="C69" s="1621" t="s">
        <v>431</v>
      </c>
      <c r="D69" s="1621"/>
      <c r="E69" s="1613" t="s">
        <v>432</v>
      </c>
      <c r="F69" s="1613"/>
      <c r="G69" s="1614" t="s">
        <v>433</v>
      </c>
      <c r="H69" s="1614"/>
      <c r="I69" s="1613" t="s">
        <v>434</v>
      </c>
      <c r="J69" s="1613"/>
      <c r="K69" s="1275"/>
      <c r="L69" s="1275"/>
      <c r="M69" s="1275"/>
      <c r="N69" s="1275"/>
      <c r="O69" s="1289"/>
      <c r="Q69" s="61"/>
    </row>
    <row r="70" spans="1:18" ht="16.2" hidden="1" x14ac:dyDescent="0.25">
      <c r="B70" s="1290" t="s">
        <v>857</v>
      </c>
      <c r="C70" s="1290"/>
      <c r="D70" s="1290"/>
      <c r="E70" s="1291" t="s">
        <v>848</v>
      </c>
      <c r="F70" s="1291" t="s">
        <v>849</v>
      </c>
      <c r="G70" s="1291" t="s">
        <v>848</v>
      </c>
      <c r="H70" s="1291" t="s">
        <v>849</v>
      </c>
      <c r="I70" s="1291" t="s">
        <v>848</v>
      </c>
      <c r="J70" s="1291" t="s">
        <v>849</v>
      </c>
      <c r="P70" s="2"/>
    </row>
    <row r="71" spans="1:18" ht="16.2" x14ac:dyDescent="0.25">
      <c r="B71" s="1290"/>
      <c r="C71" s="1291" t="s">
        <v>848</v>
      </c>
      <c r="D71" s="1291" t="s">
        <v>849</v>
      </c>
      <c r="E71" s="1291" t="s">
        <v>848</v>
      </c>
      <c r="F71" s="1291" t="s">
        <v>849</v>
      </c>
      <c r="G71" s="1291" t="s">
        <v>848</v>
      </c>
      <c r="H71" s="1291" t="s">
        <v>849</v>
      </c>
      <c r="I71" s="1291" t="s">
        <v>848</v>
      </c>
      <c r="J71" s="1291" t="s">
        <v>849</v>
      </c>
      <c r="P71" s="2"/>
    </row>
    <row r="72" spans="1:18" ht="16.2" x14ac:dyDescent="0.25">
      <c r="A72" s="1205"/>
      <c r="B72" s="1270" t="s">
        <v>858</v>
      </c>
      <c r="C72" s="1235">
        <v>1</v>
      </c>
      <c r="D72" s="1292">
        <f>C72/$C$75</f>
        <v>0.1111111111111111</v>
      </c>
      <c r="E72" s="1262">
        <v>1</v>
      </c>
      <c r="F72" s="1293">
        <v>11</v>
      </c>
      <c r="G72" s="1263">
        <v>1</v>
      </c>
      <c r="H72" s="1294">
        <v>11</v>
      </c>
      <c r="I72" s="1263">
        <v>1</v>
      </c>
      <c r="J72" s="1294">
        <v>11</v>
      </c>
      <c r="K72" s="1275"/>
      <c r="L72" s="1295"/>
      <c r="M72" s="1275"/>
      <c r="N72" s="1275"/>
      <c r="O72" s="1289"/>
      <c r="Q72" s="61"/>
    </row>
    <row r="73" spans="1:18" ht="16.2" x14ac:dyDescent="0.25">
      <c r="A73" s="1205"/>
      <c r="B73" s="1270" t="s">
        <v>859</v>
      </c>
      <c r="C73" s="1235">
        <v>2</v>
      </c>
      <c r="D73" s="1292">
        <f t="shared" ref="D73:D74" si="20">C73/$C$75</f>
        <v>0.22222222222222221</v>
      </c>
      <c r="E73" s="1262">
        <v>2</v>
      </c>
      <c r="F73" s="1293">
        <v>22</v>
      </c>
      <c r="G73" s="1263">
        <v>2</v>
      </c>
      <c r="H73" s="1294">
        <v>22</v>
      </c>
      <c r="I73" s="1263">
        <v>2</v>
      </c>
      <c r="J73" s="1294">
        <v>22</v>
      </c>
      <c r="K73" s="1275"/>
      <c r="L73" s="1296"/>
      <c r="M73" s="1275"/>
      <c r="N73" s="1275"/>
      <c r="O73" s="1289"/>
      <c r="Q73" s="61"/>
    </row>
    <row r="74" spans="1:18" ht="16.2" x14ac:dyDescent="0.25">
      <c r="A74" s="1205"/>
      <c r="B74" s="1297" t="s">
        <v>860</v>
      </c>
      <c r="C74" s="1298">
        <v>6</v>
      </c>
      <c r="D74" s="1292">
        <f t="shared" si="20"/>
        <v>0.66666666666666663</v>
      </c>
      <c r="E74" s="1299">
        <v>6</v>
      </c>
      <c r="F74" s="1300">
        <v>67</v>
      </c>
      <c r="G74" s="1301">
        <v>6</v>
      </c>
      <c r="H74" s="1302">
        <v>67</v>
      </c>
      <c r="I74" s="1301">
        <v>6</v>
      </c>
      <c r="J74" s="1302">
        <v>67</v>
      </c>
      <c r="K74" s="1275"/>
      <c r="L74" s="1296"/>
      <c r="M74" s="1275"/>
      <c r="N74" s="1275"/>
      <c r="O74" s="1289"/>
      <c r="Q74" s="61"/>
    </row>
    <row r="75" spans="1:18" ht="16.2" x14ac:dyDescent="0.25">
      <c r="A75" s="1205"/>
      <c r="B75" s="1303" t="s">
        <v>708</v>
      </c>
      <c r="C75" s="1243">
        <f t="shared" ref="C75:J75" si="21">SUM(C72:C74)</f>
        <v>9</v>
      </c>
      <c r="D75" s="1304">
        <f>SUM(D72:D74)</f>
        <v>1</v>
      </c>
      <c r="E75" s="1267">
        <f t="shared" si="21"/>
        <v>9</v>
      </c>
      <c r="F75" s="1305">
        <f t="shared" si="21"/>
        <v>100</v>
      </c>
      <c r="G75" s="1245">
        <f t="shared" si="21"/>
        <v>9</v>
      </c>
      <c r="H75" s="1306">
        <f t="shared" si="21"/>
        <v>100</v>
      </c>
      <c r="I75" s="1245">
        <f t="shared" si="21"/>
        <v>9</v>
      </c>
      <c r="J75" s="1306">
        <f t="shared" si="21"/>
        <v>100</v>
      </c>
      <c r="K75" s="1275"/>
      <c r="L75" s="1275"/>
      <c r="M75" s="1275"/>
      <c r="N75" s="1275"/>
      <c r="O75" s="1289"/>
      <c r="Q75" s="61"/>
    </row>
    <row r="76" spans="1:18" ht="16.2" x14ac:dyDescent="0.25">
      <c r="A76" s="1205"/>
      <c r="B76" s="1290" t="s">
        <v>861</v>
      </c>
      <c r="C76" s="1291" t="s">
        <v>848</v>
      </c>
      <c r="D76" s="1291" t="s">
        <v>849</v>
      </c>
      <c r="E76" s="1291" t="s">
        <v>848</v>
      </c>
      <c r="F76" s="1291" t="s">
        <v>849</v>
      </c>
      <c r="G76" s="1291" t="s">
        <v>848</v>
      </c>
      <c r="H76" s="1291" t="s">
        <v>849</v>
      </c>
      <c r="I76" s="1291" t="s">
        <v>848</v>
      </c>
      <c r="J76" s="1291" t="s">
        <v>849</v>
      </c>
      <c r="K76" s="1275"/>
      <c r="L76" s="1275"/>
      <c r="M76" s="1275"/>
      <c r="N76" s="1275"/>
      <c r="O76" s="1289"/>
      <c r="Q76" s="61"/>
    </row>
    <row r="77" spans="1:18" ht="16.2" x14ac:dyDescent="0.25">
      <c r="A77" s="1205"/>
      <c r="B77" s="1270" t="s">
        <v>862</v>
      </c>
      <c r="C77" s="1235">
        <v>2</v>
      </c>
      <c r="D77" s="1307">
        <f>C77/$C$80</f>
        <v>0.2857142857142857</v>
      </c>
      <c r="E77" s="1308">
        <v>2</v>
      </c>
      <c r="F77" s="1309">
        <v>28.6</v>
      </c>
      <c r="G77" s="1310">
        <v>1</v>
      </c>
      <c r="H77" s="1311">
        <v>14</v>
      </c>
      <c r="I77" s="1310">
        <v>4</v>
      </c>
      <c r="J77" s="1311">
        <v>57</v>
      </c>
      <c r="K77" s="1275"/>
      <c r="L77" s="1275"/>
      <c r="M77" s="1275"/>
      <c r="N77" s="1275"/>
      <c r="O77" s="1289"/>
      <c r="Q77" s="61"/>
    </row>
    <row r="78" spans="1:18" ht="16.2" x14ac:dyDescent="0.25">
      <c r="A78" s="1205"/>
      <c r="B78" s="1270" t="s">
        <v>863</v>
      </c>
      <c r="C78" s="1235">
        <v>4</v>
      </c>
      <c r="D78" s="1307">
        <f t="shared" ref="D78:D79" si="22">C78/$C$80</f>
        <v>0.5714285714285714</v>
      </c>
      <c r="E78" s="1308">
        <v>4</v>
      </c>
      <c r="F78" s="1309">
        <v>57.1</v>
      </c>
      <c r="G78" s="1310">
        <v>5</v>
      </c>
      <c r="H78" s="1311">
        <v>72</v>
      </c>
      <c r="I78" s="1310">
        <v>3</v>
      </c>
      <c r="J78" s="1311">
        <v>43</v>
      </c>
      <c r="K78" s="1275"/>
      <c r="L78" s="1275"/>
      <c r="M78" s="1275"/>
      <c r="N78" s="1275"/>
      <c r="O78" s="1289"/>
      <c r="Q78" s="61"/>
    </row>
    <row r="79" spans="1:18" ht="16.2" x14ac:dyDescent="0.25">
      <c r="A79" s="1205"/>
      <c r="B79" s="1270" t="s">
        <v>864</v>
      </c>
      <c r="C79" s="1235">
        <v>1</v>
      </c>
      <c r="D79" s="1307">
        <f t="shared" si="22"/>
        <v>0.14285714285714285</v>
      </c>
      <c r="E79" s="1236">
        <v>1</v>
      </c>
      <c r="F79" s="1312">
        <v>14.3</v>
      </c>
      <c r="G79" s="1263">
        <v>1</v>
      </c>
      <c r="H79" s="1294">
        <v>14</v>
      </c>
      <c r="I79" s="1313">
        <v>0</v>
      </c>
      <c r="J79" s="1294">
        <v>0</v>
      </c>
      <c r="K79" s="1275"/>
      <c r="L79" s="1275"/>
      <c r="M79" s="1275"/>
      <c r="N79" s="1275"/>
      <c r="O79" s="1289"/>
      <c r="Q79" s="61"/>
    </row>
    <row r="80" spans="1:18" ht="16.2" x14ac:dyDescent="0.25">
      <c r="A80" s="1205"/>
      <c r="B80" s="1303" t="s">
        <v>708</v>
      </c>
      <c r="C80" s="1243">
        <v>7</v>
      </c>
      <c r="D80" s="1314">
        <f>SUM(D77:D79)</f>
        <v>1</v>
      </c>
      <c r="E80" s="1244">
        <f t="shared" ref="E80:J80" si="23">SUM(E77:E79)</f>
        <v>7</v>
      </c>
      <c r="F80" s="1315">
        <f t="shared" si="23"/>
        <v>100</v>
      </c>
      <c r="G80" s="1245">
        <f t="shared" si="23"/>
        <v>7</v>
      </c>
      <c r="H80" s="1306">
        <f t="shared" si="23"/>
        <v>100</v>
      </c>
      <c r="I80" s="1245">
        <f t="shared" si="23"/>
        <v>7</v>
      </c>
      <c r="J80" s="1306">
        <f t="shared" si="23"/>
        <v>100</v>
      </c>
      <c r="K80" s="1275"/>
      <c r="L80" s="1275"/>
      <c r="M80" s="1275"/>
      <c r="N80" s="1275"/>
      <c r="O80" s="1289"/>
      <c r="Q80" s="61"/>
    </row>
    <row r="81" spans="1:29" ht="16.2" x14ac:dyDescent="0.25">
      <c r="A81" s="1205"/>
      <c r="B81" s="1290" t="s">
        <v>865</v>
      </c>
      <c r="C81" s="1291" t="s">
        <v>848</v>
      </c>
      <c r="D81" s="1291" t="s">
        <v>849</v>
      </c>
      <c r="E81" s="1291" t="s">
        <v>848</v>
      </c>
      <c r="F81" s="1291" t="s">
        <v>849</v>
      </c>
      <c r="G81" s="1291" t="s">
        <v>848</v>
      </c>
      <c r="H81" s="1291" t="s">
        <v>849</v>
      </c>
      <c r="I81" s="1291" t="s">
        <v>848</v>
      </c>
      <c r="J81" s="1291" t="s">
        <v>849</v>
      </c>
      <c r="K81" s="1275"/>
      <c r="L81" s="1275"/>
      <c r="M81" s="1275"/>
      <c r="N81" s="1275"/>
      <c r="O81" s="1289"/>
      <c r="Q81" s="61"/>
    </row>
    <row r="82" spans="1:29" ht="16.2" x14ac:dyDescent="0.25">
      <c r="A82" s="1205"/>
      <c r="B82" s="533" t="s">
        <v>866</v>
      </c>
      <c r="C82" s="1235">
        <v>3</v>
      </c>
      <c r="D82" s="1316">
        <f>C82/$C$86</f>
        <v>0.33333333333333331</v>
      </c>
      <c r="E82" s="1308">
        <v>4</v>
      </c>
      <c r="F82" s="1309">
        <v>44.5</v>
      </c>
      <c r="G82" s="1317">
        <v>5</v>
      </c>
      <c r="H82" s="1318">
        <v>56</v>
      </c>
      <c r="I82" s="1317">
        <v>5</v>
      </c>
      <c r="J82" s="1318">
        <v>56</v>
      </c>
      <c r="K82" s="1275"/>
      <c r="L82" s="1275"/>
      <c r="M82" s="1275"/>
      <c r="N82" s="1275"/>
      <c r="O82" s="1289"/>
      <c r="Q82" s="61"/>
    </row>
    <row r="83" spans="1:29" ht="16.2" x14ac:dyDescent="0.25">
      <c r="A83" s="1205"/>
      <c r="B83" s="533" t="s">
        <v>867</v>
      </c>
      <c r="C83" s="1235">
        <v>3</v>
      </c>
      <c r="D83" s="1316">
        <f t="shared" ref="D83:D85" si="24">C83/$C$86</f>
        <v>0.33333333333333331</v>
      </c>
      <c r="E83" s="1308">
        <v>2</v>
      </c>
      <c r="F83" s="1309">
        <v>22.2</v>
      </c>
      <c r="G83" s="1317">
        <v>2</v>
      </c>
      <c r="H83" s="1318">
        <v>22</v>
      </c>
      <c r="I83" s="1317">
        <v>2</v>
      </c>
      <c r="J83" s="1318">
        <v>22</v>
      </c>
      <c r="K83" s="1275"/>
      <c r="L83" s="1275"/>
      <c r="M83" s="1275"/>
      <c r="N83" s="1275"/>
      <c r="O83" s="1289"/>
      <c r="Q83" s="61"/>
    </row>
    <row r="84" spans="1:29" ht="16.2" x14ac:dyDescent="0.25">
      <c r="A84" s="1205"/>
      <c r="B84" s="533" t="s">
        <v>868</v>
      </c>
      <c r="C84" s="1235">
        <v>2</v>
      </c>
      <c r="D84" s="1316">
        <f t="shared" si="24"/>
        <v>0.22222222222222221</v>
      </c>
      <c r="E84" s="1308">
        <v>2</v>
      </c>
      <c r="F84" s="1309">
        <v>22.2</v>
      </c>
      <c r="G84" s="1317">
        <v>2</v>
      </c>
      <c r="H84" s="1318">
        <v>22</v>
      </c>
      <c r="I84" s="1317">
        <v>2</v>
      </c>
      <c r="J84" s="1318">
        <v>22</v>
      </c>
      <c r="K84" s="1275"/>
      <c r="L84" s="1275"/>
      <c r="M84" s="1275"/>
      <c r="N84" s="1275"/>
      <c r="O84" s="1289"/>
      <c r="Q84" s="61"/>
    </row>
    <row r="85" spans="1:29" ht="16.2" x14ac:dyDescent="0.25">
      <c r="A85" s="1205"/>
      <c r="B85" s="533" t="s">
        <v>869</v>
      </c>
      <c r="C85" s="1235">
        <v>1</v>
      </c>
      <c r="D85" s="1316">
        <f t="shared" si="24"/>
        <v>0.1111111111111111</v>
      </c>
      <c r="E85" s="1308">
        <v>1</v>
      </c>
      <c r="F85" s="1309">
        <v>11.1</v>
      </c>
      <c r="G85" s="1317">
        <v>0</v>
      </c>
      <c r="H85" s="1318">
        <v>0</v>
      </c>
      <c r="I85" s="1317">
        <v>0</v>
      </c>
      <c r="J85" s="1318">
        <v>0</v>
      </c>
      <c r="K85" s="1275"/>
      <c r="L85" s="1275"/>
      <c r="M85" s="1275"/>
      <c r="N85" s="1275"/>
      <c r="O85" s="1289"/>
      <c r="Q85" s="61"/>
    </row>
    <row r="86" spans="1:29" ht="16.2" x14ac:dyDescent="0.25">
      <c r="A86" s="1205"/>
      <c r="B86" s="1303" t="s">
        <v>708</v>
      </c>
      <c r="C86" s="1243">
        <v>9</v>
      </c>
      <c r="D86" s="1314">
        <f>SUM(D82:D85)</f>
        <v>1</v>
      </c>
      <c r="E86" s="1244">
        <f t="shared" ref="E86:J86" si="25">SUM(E82:E85)</f>
        <v>9</v>
      </c>
      <c r="F86" s="1315">
        <f t="shared" si="25"/>
        <v>100</v>
      </c>
      <c r="G86" s="1245">
        <f t="shared" si="25"/>
        <v>9</v>
      </c>
      <c r="H86" s="1306">
        <f t="shared" si="25"/>
        <v>100</v>
      </c>
      <c r="I86" s="1245">
        <f t="shared" si="25"/>
        <v>9</v>
      </c>
      <c r="J86" s="1306">
        <f t="shared" si="25"/>
        <v>100</v>
      </c>
      <c r="K86" s="1275"/>
      <c r="L86" s="1275"/>
      <c r="M86" s="1275"/>
      <c r="N86" s="1275"/>
      <c r="O86" s="1289"/>
      <c r="Q86" s="61"/>
    </row>
    <row r="87" spans="1:29" ht="16.2" x14ac:dyDescent="0.25">
      <c r="A87" s="1205"/>
      <c r="B87" s="1290" t="s">
        <v>870</v>
      </c>
      <c r="C87" s="1291" t="s">
        <v>848</v>
      </c>
      <c r="D87" s="1291" t="s">
        <v>849</v>
      </c>
      <c r="E87" s="1291" t="s">
        <v>848</v>
      </c>
      <c r="F87" s="1291" t="s">
        <v>849</v>
      </c>
      <c r="G87" s="1291" t="s">
        <v>848</v>
      </c>
      <c r="H87" s="1291" t="s">
        <v>849</v>
      </c>
      <c r="I87" s="1291" t="s">
        <v>848</v>
      </c>
      <c r="J87" s="1291" t="s">
        <v>849</v>
      </c>
      <c r="K87" s="1275"/>
      <c r="L87" s="1275"/>
      <c r="M87" s="1275"/>
      <c r="N87" s="1275"/>
      <c r="O87" s="1289"/>
      <c r="Q87" s="61"/>
    </row>
    <row r="88" spans="1:29" ht="16.2" x14ac:dyDescent="0.25">
      <c r="A88" s="1205"/>
      <c r="B88" s="533" t="s">
        <v>850</v>
      </c>
      <c r="C88" s="1235">
        <v>8</v>
      </c>
      <c r="D88" s="1307">
        <f>C88/$C$94</f>
        <v>0.88888888888888884</v>
      </c>
      <c r="E88" s="1308">
        <v>8</v>
      </c>
      <c r="F88" s="1309">
        <v>88.9</v>
      </c>
      <c r="G88" s="545">
        <v>8</v>
      </c>
      <c r="H88" s="1319">
        <v>88.9</v>
      </c>
      <c r="I88" s="1117"/>
      <c r="J88" s="1117"/>
      <c r="K88" s="1275"/>
      <c r="L88" s="1275"/>
      <c r="M88" s="1275"/>
      <c r="N88" s="1275"/>
      <c r="O88" s="1289"/>
      <c r="Q88" s="61"/>
    </row>
    <row r="89" spans="1:29" ht="16.2" x14ac:dyDescent="0.25">
      <c r="A89" s="1205"/>
      <c r="B89" s="533" t="s">
        <v>851</v>
      </c>
      <c r="C89" s="1320">
        <v>0</v>
      </c>
      <c r="D89" s="1307">
        <f t="shared" ref="D89:D93" si="26">C89/$C$94</f>
        <v>0</v>
      </c>
      <c r="E89" s="1308">
        <v>0</v>
      </c>
      <c r="F89" s="1309">
        <v>0</v>
      </c>
      <c r="G89" s="545">
        <v>0</v>
      </c>
      <c r="H89" s="1319">
        <v>0</v>
      </c>
      <c r="I89" s="1117"/>
      <c r="J89" s="1117"/>
      <c r="K89" s="1275"/>
      <c r="L89" s="1275"/>
      <c r="M89" s="1275"/>
      <c r="N89" s="1275"/>
      <c r="O89" s="1289"/>
      <c r="Q89" s="61"/>
    </row>
    <row r="90" spans="1:29" ht="16.2" x14ac:dyDescent="0.25">
      <c r="A90" s="1205"/>
      <c r="B90" s="533" t="s">
        <v>852</v>
      </c>
      <c r="C90" s="1235">
        <v>1</v>
      </c>
      <c r="D90" s="1307">
        <f t="shared" si="26"/>
        <v>0.1111111111111111</v>
      </c>
      <c r="E90" s="1308">
        <v>1</v>
      </c>
      <c r="F90" s="1309">
        <v>11.1</v>
      </c>
      <c r="G90" s="545">
        <v>1</v>
      </c>
      <c r="H90" s="1319">
        <v>11.1</v>
      </c>
      <c r="I90" s="1117"/>
      <c r="J90" s="1117"/>
      <c r="K90" s="1275"/>
      <c r="L90" s="1275"/>
      <c r="M90" s="1275"/>
      <c r="N90" s="1275"/>
      <c r="O90" s="1289"/>
      <c r="Q90" s="61"/>
    </row>
    <row r="91" spans="1:29" ht="16.2" x14ac:dyDescent="0.25">
      <c r="A91" s="1205"/>
      <c r="B91" s="533" t="s">
        <v>853</v>
      </c>
      <c r="C91" s="1320">
        <v>0</v>
      </c>
      <c r="D91" s="1307">
        <f t="shared" si="26"/>
        <v>0</v>
      </c>
      <c r="E91" s="1308">
        <v>0</v>
      </c>
      <c r="F91" s="1309">
        <v>0</v>
      </c>
      <c r="G91" s="545">
        <v>0</v>
      </c>
      <c r="H91" s="1319">
        <v>0</v>
      </c>
      <c r="I91" s="1117"/>
      <c r="J91" s="1117"/>
      <c r="K91" s="1275"/>
      <c r="L91" s="1275"/>
      <c r="M91" s="1275"/>
      <c r="N91" s="1275"/>
      <c r="O91" s="1289"/>
      <c r="Q91" s="61"/>
    </row>
    <row r="92" spans="1:29" ht="16.2" x14ac:dyDescent="0.25">
      <c r="A92" s="1205"/>
      <c r="B92" s="532" t="s">
        <v>854</v>
      </c>
      <c r="C92" s="1320">
        <v>0</v>
      </c>
      <c r="D92" s="1307">
        <f t="shared" si="26"/>
        <v>0</v>
      </c>
      <c r="E92" s="1308">
        <v>0</v>
      </c>
      <c r="F92" s="1309">
        <v>0</v>
      </c>
      <c r="G92" s="545">
        <v>0</v>
      </c>
      <c r="H92" s="1319">
        <v>0</v>
      </c>
      <c r="I92" s="1117"/>
      <c r="J92" s="1117"/>
      <c r="K92" s="1275"/>
      <c r="L92" s="1275"/>
      <c r="M92" s="1275"/>
      <c r="N92" s="1275"/>
      <c r="O92" s="1289"/>
      <c r="Q92" s="61"/>
    </row>
    <row r="93" spans="1:29" ht="16.2" x14ac:dyDescent="0.25">
      <c r="A93" s="1205"/>
      <c r="B93" s="1270" t="s">
        <v>855</v>
      </c>
      <c r="C93" s="1320">
        <v>0</v>
      </c>
      <c r="D93" s="1307">
        <f t="shared" si="26"/>
        <v>0</v>
      </c>
      <c r="E93" s="1308">
        <v>0</v>
      </c>
      <c r="F93" s="1309">
        <v>0</v>
      </c>
      <c r="G93" s="545">
        <v>0</v>
      </c>
      <c r="H93" s="1319">
        <v>0</v>
      </c>
      <c r="I93" s="1117"/>
      <c r="J93" s="1117"/>
      <c r="K93" s="1275"/>
      <c r="L93" s="1275"/>
      <c r="M93" s="1275"/>
      <c r="N93" s="1275"/>
      <c r="O93" s="1289"/>
      <c r="Q93" s="61"/>
    </row>
    <row r="94" spans="1:29" ht="16.2" x14ac:dyDescent="0.25">
      <c r="A94" s="1205"/>
      <c r="B94" s="1321" t="s">
        <v>708</v>
      </c>
      <c r="C94" s="1322">
        <f t="shared" ref="C94:H94" si="27">SUM(C88:C93)</f>
        <v>9</v>
      </c>
      <c r="D94" s="1323">
        <f>SUM(D88:D93)</f>
        <v>1</v>
      </c>
      <c r="E94" s="1322">
        <f t="shared" si="27"/>
        <v>9</v>
      </c>
      <c r="F94" s="1324">
        <f t="shared" si="27"/>
        <v>100</v>
      </c>
      <c r="G94" s="1325">
        <f t="shared" si="27"/>
        <v>9</v>
      </c>
      <c r="H94" s="1326">
        <f t="shared" si="27"/>
        <v>100</v>
      </c>
      <c r="I94" s="1117"/>
      <c r="J94" s="1117"/>
      <c r="K94" s="1275"/>
      <c r="L94" s="1275"/>
      <c r="M94" s="1275"/>
      <c r="N94" s="1275"/>
      <c r="O94" s="1289"/>
      <c r="Q94" s="61"/>
    </row>
    <row r="95" spans="1:29" s="1271" customFormat="1" ht="13.8" hidden="1" x14ac:dyDescent="0.25">
      <c r="A95" s="371"/>
      <c r="B95" s="1327"/>
      <c r="C95" s="1327"/>
      <c r="D95" s="1328"/>
      <c r="E95" s="1329"/>
      <c r="F95" s="1329"/>
      <c r="G95" s="1328"/>
      <c r="H95" s="1329"/>
      <c r="I95" s="1329"/>
      <c r="J95" s="1329"/>
      <c r="K95" s="1329"/>
      <c r="L95" s="1329"/>
      <c r="M95" s="1329"/>
      <c r="N95" s="1329"/>
      <c r="O95" s="1329"/>
      <c r="P95" s="1329"/>
      <c r="Q95" s="1254"/>
      <c r="R95" s="72"/>
      <c r="S95" s="73"/>
      <c r="T95" s="72"/>
      <c r="U95" s="72"/>
      <c r="V95" s="72"/>
      <c r="W95" s="72"/>
      <c r="X95" s="72"/>
      <c r="Y95" s="72"/>
      <c r="Z95" s="72"/>
      <c r="AA95" s="72"/>
      <c r="AB95" s="72"/>
      <c r="AC95" s="72"/>
    </row>
    <row r="96" spans="1:29" s="1271" customFormat="1" ht="13.8" x14ac:dyDescent="0.25">
      <c r="A96" s="371"/>
      <c r="B96" s="1327"/>
      <c r="C96" s="1327"/>
      <c r="D96" s="1328"/>
      <c r="E96" s="1329"/>
      <c r="F96" s="1329"/>
      <c r="G96" s="1328"/>
      <c r="H96" s="1329"/>
      <c r="I96" s="1329"/>
      <c r="J96" s="1329"/>
      <c r="K96" s="1329"/>
      <c r="L96" s="1329"/>
      <c r="M96" s="1329"/>
      <c r="N96" s="1329"/>
      <c r="O96" s="1329"/>
      <c r="P96" s="1329"/>
      <c r="Q96" s="1254"/>
      <c r="R96" s="72"/>
      <c r="S96" s="73"/>
      <c r="T96" s="72"/>
      <c r="U96" s="72"/>
      <c r="V96" s="72"/>
      <c r="W96" s="72"/>
      <c r="X96" s="72"/>
      <c r="Y96" s="72"/>
      <c r="Z96" s="72"/>
      <c r="AA96" s="72"/>
      <c r="AB96" s="72"/>
      <c r="AC96" s="72"/>
    </row>
    <row r="97" spans="1:22" ht="17.399999999999999" x14ac:dyDescent="0.25">
      <c r="B97" s="1255" t="s">
        <v>871</v>
      </c>
      <c r="C97" s="1621" t="s">
        <v>431</v>
      </c>
      <c r="D97" s="1621"/>
      <c r="E97" s="1621"/>
      <c r="F97" s="1621"/>
      <c r="G97" s="1603" t="s">
        <v>432</v>
      </c>
      <c r="H97" s="1603"/>
      <c r="I97" s="1603"/>
      <c r="J97" s="1603" t="s">
        <v>433</v>
      </c>
      <c r="K97" s="1603"/>
      <c r="L97" s="1603"/>
      <c r="M97" s="1603" t="s">
        <v>434</v>
      </c>
      <c r="N97" s="1603"/>
      <c r="O97" s="1603"/>
      <c r="P97" s="1603" t="s">
        <v>435</v>
      </c>
      <c r="Q97" s="1603"/>
      <c r="R97" s="1603"/>
      <c r="S97" s="1329"/>
      <c r="T97" s="9"/>
      <c r="U97" s="61"/>
      <c r="V97" s="61"/>
    </row>
    <row r="98" spans="1:22" ht="32.4" x14ac:dyDescent="0.25">
      <c r="A98" s="9"/>
      <c r="B98" s="1213" t="s">
        <v>809</v>
      </c>
      <c r="C98" s="1214" t="s">
        <v>810</v>
      </c>
      <c r="D98" s="1214" t="s">
        <v>811</v>
      </c>
      <c r="E98" s="1214" t="s">
        <v>812</v>
      </c>
      <c r="F98" s="1214" t="s">
        <v>708</v>
      </c>
      <c r="G98" s="1330" t="s">
        <v>810</v>
      </c>
      <c r="H98" s="1330" t="s">
        <v>811</v>
      </c>
      <c r="I98" s="1330" t="s">
        <v>708</v>
      </c>
      <c r="J98" s="1330" t="s">
        <v>810</v>
      </c>
      <c r="K98" s="1330" t="s">
        <v>811</v>
      </c>
      <c r="L98" s="1330" t="s">
        <v>708</v>
      </c>
      <c r="M98" s="1330" t="s">
        <v>810</v>
      </c>
      <c r="N98" s="1330" t="s">
        <v>811</v>
      </c>
      <c r="O98" s="1330" t="s">
        <v>708</v>
      </c>
      <c r="P98" s="1330" t="s">
        <v>810</v>
      </c>
      <c r="Q98" s="1330" t="s">
        <v>811</v>
      </c>
      <c r="R98" s="1330" t="s">
        <v>708</v>
      </c>
      <c r="S98" s="1329"/>
      <c r="T98" s="9"/>
      <c r="U98" s="92" t="s">
        <v>813</v>
      </c>
    </row>
    <row r="99" spans="1:22" ht="16.2" x14ac:dyDescent="0.25">
      <c r="B99" s="528" t="s">
        <v>832</v>
      </c>
      <c r="C99" s="1235">
        <v>398</v>
      </c>
      <c r="D99" s="1235">
        <v>672</v>
      </c>
      <c r="E99" s="1235">
        <v>26</v>
      </c>
      <c r="F99" s="1243">
        <v>1096</v>
      </c>
      <c r="G99" s="1236">
        <v>765</v>
      </c>
      <c r="H99" s="1236">
        <v>1232</v>
      </c>
      <c r="I99" s="1236">
        <f>SUM(G99:H99)</f>
        <v>1997</v>
      </c>
      <c r="J99" s="1263">
        <v>748</v>
      </c>
      <c r="K99" s="1263">
        <v>1496</v>
      </c>
      <c r="L99" s="1331">
        <f>J99+K99</f>
        <v>2244</v>
      </c>
      <c r="M99" s="1263">
        <v>718</v>
      </c>
      <c r="N99" s="1263">
        <v>1355</v>
      </c>
      <c r="O99" s="1263">
        <f>M99+N99</f>
        <v>2073</v>
      </c>
      <c r="P99" s="1263">
        <v>475</v>
      </c>
      <c r="Q99" s="1263">
        <v>1117</v>
      </c>
      <c r="R99" s="1263">
        <f>P99+Q99</f>
        <v>1592</v>
      </c>
      <c r="S99" s="61"/>
      <c r="T99" s="9"/>
      <c r="U99" s="61"/>
    </row>
    <row r="100" spans="1:22" ht="16.2" x14ac:dyDescent="0.25">
      <c r="B100" s="528" t="s">
        <v>872</v>
      </c>
      <c r="C100" s="1235">
        <v>217</v>
      </c>
      <c r="D100" s="1235">
        <v>517</v>
      </c>
      <c r="E100" s="1235">
        <v>8</v>
      </c>
      <c r="F100" s="1235">
        <v>739</v>
      </c>
      <c r="G100" s="1236">
        <v>405</v>
      </c>
      <c r="H100" s="1236">
        <v>817</v>
      </c>
      <c r="I100" s="1236">
        <f>SUM(G100:H100)</f>
        <v>1222</v>
      </c>
      <c r="J100" s="1263">
        <v>449</v>
      </c>
      <c r="K100" s="1263">
        <v>1082</v>
      </c>
      <c r="L100" s="1331">
        <f>J100+K100</f>
        <v>1531</v>
      </c>
      <c r="M100" s="1263">
        <v>444</v>
      </c>
      <c r="N100" s="1263">
        <v>1115</v>
      </c>
      <c r="O100" s="1263">
        <f>M100+N100</f>
        <v>1559</v>
      </c>
      <c r="P100" s="1263">
        <v>317</v>
      </c>
      <c r="Q100" s="1263">
        <v>797</v>
      </c>
      <c r="R100" s="1263">
        <f>P100+Q100</f>
        <v>1114</v>
      </c>
      <c r="S100" s="61"/>
      <c r="T100" s="9"/>
      <c r="U100" s="61"/>
    </row>
    <row r="101" spans="1:22" ht="16.2" hidden="1" x14ac:dyDescent="0.25">
      <c r="B101" s="1087" t="s">
        <v>873</v>
      </c>
      <c r="C101" s="1235"/>
      <c r="D101" s="1235"/>
      <c r="E101" s="1235"/>
      <c r="F101" s="1235"/>
      <c r="G101" s="1236">
        <v>2</v>
      </c>
      <c r="H101" s="1236">
        <v>0</v>
      </c>
      <c r="I101" s="1236">
        <f>SUM(G101:H101)</f>
        <v>2</v>
      </c>
      <c r="J101" s="1263"/>
      <c r="K101" s="1263"/>
      <c r="L101" s="1331"/>
      <c r="M101" s="1263"/>
      <c r="N101" s="1263"/>
      <c r="O101" s="1263"/>
      <c r="P101" s="1263"/>
      <c r="Q101" s="1263"/>
      <c r="R101" s="1263"/>
      <c r="S101" s="61"/>
      <c r="T101" s="9"/>
      <c r="U101" s="61"/>
    </row>
    <row r="102" spans="1:22" ht="16.2" x14ac:dyDescent="0.25">
      <c r="B102" s="528" t="s">
        <v>874</v>
      </c>
      <c r="C102" s="1235">
        <v>781</v>
      </c>
      <c r="D102" s="1235">
        <v>912</v>
      </c>
      <c r="E102" s="1235">
        <v>17</v>
      </c>
      <c r="F102" s="1235">
        <v>1710</v>
      </c>
      <c r="G102" s="1236">
        <v>442</v>
      </c>
      <c r="H102" s="1236">
        <v>1025</v>
      </c>
      <c r="I102" s="1236">
        <f>SUM(G102:H102)</f>
        <v>1467</v>
      </c>
      <c r="J102" s="1263">
        <v>375</v>
      </c>
      <c r="K102" s="1263">
        <v>996</v>
      </c>
      <c r="L102" s="1331">
        <f>J102+K102</f>
        <v>1371</v>
      </c>
      <c r="M102" s="1263">
        <v>115</v>
      </c>
      <c r="N102" s="1263">
        <v>396</v>
      </c>
      <c r="O102" s="1263">
        <f>M102+N102</f>
        <v>511</v>
      </c>
      <c r="P102" s="1263">
        <v>230</v>
      </c>
      <c r="Q102" s="1263">
        <v>782</v>
      </c>
      <c r="R102" s="1263">
        <f>P102+Q102</f>
        <v>1012</v>
      </c>
      <c r="S102" s="61"/>
      <c r="T102" s="9"/>
      <c r="U102" s="61"/>
    </row>
    <row r="103" spans="1:22" ht="16.2" hidden="1" x14ac:dyDescent="0.25">
      <c r="B103" s="1087" t="s">
        <v>875</v>
      </c>
      <c r="C103" s="1235"/>
      <c r="D103" s="1235"/>
      <c r="E103" s="1235"/>
      <c r="F103" s="1235"/>
      <c r="G103" s="1236">
        <v>36</v>
      </c>
      <c r="H103" s="1236">
        <v>15</v>
      </c>
      <c r="I103" s="1236">
        <f>SUM(G103:H103)</f>
        <v>51</v>
      </c>
      <c r="J103" s="1263"/>
      <c r="K103" s="1263"/>
      <c r="L103" s="1331"/>
      <c r="M103" s="1263"/>
      <c r="N103" s="1263"/>
      <c r="O103" s="1263"/>
      <c r="P103" s="1263"/>
      <c r="Q103" s="1263"/>
      <c r="R103" s="1263"/>
      <c r="S103" s="61"/>
      <c r="T103" s="9"/>
      <c r="U103" s="61"/>
    </row>
    <row r="104" spans="1:22" ht="16.2" x14ac:dyDescent="0.25">
      <c r="B104" s="717" t="s">
        <v>876</v>
      </c>
      <c r="C104" s="1307">
        <v>7.0000000000000007E-2</v>
      </c>
      <c r="D104" s="1307">
        <v>7.0000000000000007E-2</v>
      </c>
      <c r="E104" s="1307">
        <v>0.12</v>
      </c>
      <c r="F104" s="1307">
        <v>7.0000000000000007E-2</v>
      </c>
      <c r="G104" s="1332">
        <v>0.114</v>
      </c>
      <c r="H104" s="1332">
        <v>9.7000000000000003E-2</v>
      </c>
      <c r="I104" s="1332">
        <v>0.105</v>
      </c>
      <c r="J104" s="1333">
        <v>0.123</v>
      </c>
      <c r="K104" s="1333">
        <v>0.121</v>
      </c>
      <c r="L104" s="1333">
        <v>0.122</v>
      </c>
      <c r="M104" s="1618">
        <v>0.11550000000000001</v>
      </c>
      <c r="N104" s="1618"/>
      <c r="O104" s="1618"/>
      <c r="P104" s="1618">
        <v>8.2000000000000003E-2</v>
      </c>
      <c r="Q104" s="1618"/>
      <c r="R104" s="1618"/>
      <c r="S104" s="61"/>
      <c r="T104" s="9"/>
      <c r="U104" s="61"/>
    </row>
    <row r="105" spans="1:22" ht="16.2" x14ac:dyDescent="0.25">
      <c r="B105" s="717" t="s">
        <v>877</v>
      </c>
      <c r="C105" s="1307">
        <v>0.27</v>
      </c>
      <c r="D105" s="1307">
        <v>0.12</v>
      </c>
      <c r="E105" s="1307">
        <v>0.24</v>
      </c>
      <c r="F105" s="1307">
        <v>0.16</v>
      </c>
      <c r="G105" s="1332">
        <v>0.127</v>
      </c>
      <c r="H105" s="1332">
        <v>0.125</v>
      </c>
      <c r="I105" s="1332">
        <v>0.126</v>
      </c>
      <c r="J105" s="1333">
        <v>0.10299999999999999</v>
      </c>
      <c r="K105" s="1333">
        <v>0.111</v>
      </c>
      <c r="L105" s="1333">
        <v>0.109</v>
      </c>
      <c r="M105" s="1618">
        <v>3.7900000000000003E-2</v>
      </c>
      <c r="N105" s="1618"/>
      <c r="O105" s="1618"/>
      <c r="P105" s="1618">
        <v>7.4999999999999997E-2</v>
      </c>
      <c r="Q105" s="1618"/>
      <c r="R105" s="1618"/>
      <c r="S105" s="61"/>
      <c r="T105" s="9"/>
      <c r="U105" s="61"/>
    </row>
    <row r="106" spans="1:22" ht="16.2" x14ac:dyDescent="0.25">
      <c r="B106" s="718" t="s">
        <v>878</v>
      </c>
      <c r="C106" s="1314">
        <v>0.35</v>
      </c>
      <c r="D106" s="1314">
        <v>0.19</v>
      </c>
      <c r="E106" s="1314">
        <v>0.36</v>
      </c>
      <c r="F106" s="1314">
        <v>0.23</v>
      </c>
      <c r="G106" s="1334">
        <f t="shared" ref="G106:M106" si="28">G104+G105</f>
        <v>0.24099999999999999</v>
      </c>
      <c r="H106" s="1334">
        <f t="shared" si="28"/>
        <v>0.222</v>
      </c>
      <c r="I106" s="1335">
        <f t="shared" si="28"/>
        <v>0.23099999999999998</v>
      </c>
      <c r="J106" s="1336">
        <f t="shared" si="28"/>
        <v>0.22599999999999998</v>
      </c>
      <c r="K106" s="1336">
        <f t="shared" si="28"/>
        <v>0.23199999999999998</v>
      </c>
      <c r="L106" s="1337">
        <f t="shared" si="28"/>
        <v>0.23099999999999998</v>
      </c>
      <c r="M106" s="1617">
        <f t="shared" si="28"/>
        <v>0.15340000000000001</v>
      </c>
      <c r="N106" s="1617"/>
      <c r="O106" s="1617"/>
      <c r="P106" s="1617">
        <f>P104+P105</f>
        <v>0.157</v>
      </c>
      <c r="Q106" s="1617"/>
      <c r="R106" s="1617"/>
      <c r="S106" s="61"/>
      <c r="T106" s="9"/>
      <c r="U106" s="61"/>
    </row>
    <row r="107" spans="1:22" ht="13.8" x14ac:dyDescent="0.25">
      <c r="B107" s="1338" t="s">
        <v>879</v>
      </c>
      <c r="C107" s="1338"/>
      <c r="D107" s="96"/>
      <c r="E107" s="63"/>
      <c r="F107" s="63"/>
      <c r="G107" s="63"/>
      <c r="H107" s="1339"/>
      <c r="I107" s="63"/>
      <c r="J107" s="63"/>
      <c r="K107" s="63"/>
      <c r="L107" s="63"/>
      <c r="M107" s="63"/>
      <c r="N107" s="63"/>
      <c r="P107" s="61"/>
      <c r="Q107" s="61"/>
    </row>
    <row r="108" spans="1:22" ht="13.8" hidden="1" x14ac:dyDescent="0.25">
      <c r="B108" s="1338" t="s">
        <v>880</v>
      </c>
      <c r="C108" s="1338"/>
      <c r="D108" s="96"/>
      <c r="E108" s="63"/>
      <c r="F108" s="63"/>
      <c r="G108" s="63"/>
      <c r="H108" s="1339"/>
      <c r="I108" s="63"/>
      <c r="J108" s="63"/>
      <c r="K108" s="63"/>
      <c r="L108" s="63"/>
      <c r="M108" s="63"/>
      <c r="N108" s="63"/>
      <c r="P108" s="61"/>
      <c r="Q108" s="61"/>
    </row>
    <row r="109" spans="1:22" ht="13.8" hidden="1" x14ac:dyDescent="0.25">
      <c r="B109" s="61"/>
      <c r="C109" s="61"/>
      <c r="D109" s="61"/>
      <c r="E109" s="61"/>
      <c r="F109" s="61"/>
      <c r="G109" s="61"/>
      <c r="H109" s="61"/>
      <c r="I109" s="61"/>
      <c r="J109" s="61"/>
      <c r="K109" s="61"/>
      <c r="L109" s="61"/>
      <c r="M109" s="61"/>
      <c r="N109" s="61"/>
      <c r="P109" s="61"/>
      <c r="Q109" s="61"/>
    </row>
    <row r="110" spans="1:22" ht="17.399999999999999" hidden="1" x14ac:dyDescent="0.25">
      <c r="B110" s="1615" t="s">
        <v>881</v>
      </c>
      <c r="C110" s="1340"/>
      <c r="D110" s="1616" t="s">
        <v>432</v>
      </c>
      <c r="E110" s="1616"/>
      <c r="F110" s="1616"/>
      <c r="G110" s="1616" t="s">
        <v>433</v>
      </c>
      <c r="H110" s="1616"/>
      <c r="I110" s="1616"/>
      <c r="J110" s="63"/>
      <c r="K110" s="63"/>
      <c r="L110" s="63"/>
      <c r="N110" s="63"/>
      <c r="O110" s="2"/>
      <c r="P110" s="2"/>
    </row>
    <row r="111" spans="1:22" ht="55.2" hidden="1" x14ac:dyDescent="0.25">
      <c r="B111" s="1615"/>
      <c r="C111" s="1340"/>
      <c r="D111" s="1341" t="s">
        <v>882</v>
      </c>
      <c r="E111" s="707" t="s">
        <v>883</v>
      </c>
      <c r="F111" s="707" t="s">
        <v>884</v>
      </c>
      <c r="G111" s="1341" t="s">
        <v>882</v>
      </c>
      <c r="H111" s="707" t="s">
        <v>883</v>
      </c>
      <c r="I111" s="707" t="s">
        <v>884</v>
      </c>
      <c r="J111" s="63"/>
      <c r="K111" s="63"/>
      <c r="N111" s="63"/>
      <c r="O111" s="2"/>
      <c r="P111" s="2"/>
    </row>
    <row r="112" spans="1:22" ht="16.2" hidden="1" x14ac:dyDescent="0.3">
      <c r="B112" s="962" t="s">
        <v>815</v>
      </c>
      <c r="C112" s="962"/>
      <c r="D112" s="1342">
        <v>4035</v>
      </c>
      <c r="E112" s="1343">
        <v>810</v>
      </c>
      <c r="F112" s="1344">
        <f t="shared" ref="F112:F117" si="29">E112/D112</f>
        <v>0.20074349442379183</v>
      </c>
      <c r="G112" s="1345">
        <v>4162</v>
      </c>
      <c r="H112" s="1085">
        <v>893</v>
      </c>
      <c r="I112" s="1346">
        <f t="shared" ref="I112:I117" si="30">H112/(G112)</f>
        <v>0.2145603075444498</v>
      </c>
      <c r="J112" s="63"/>
      <c r="K112" s="63"/>
      <c r="L112" s="63"/>
      <c r="M112" s="63"/>
      <c r="N112" s="63"/>
      <c r="O112" s="2"/>
      <c r="P112" s="2"/>
    </row>
    <row r="113" spans="2:18" ht="16.2" hidden="1" x14ac:dyDescent="0.3">
      <c r="B113" s="962" t="s">
        <v>816</v>
      </c>
      <c r="C113" s="962"/>
      <c r="D113" s="1342">
        <v>2840</v>
      </c>
      <c r="E113" s="1343">
        <v>709</v>
      </c>
      <c r="F113" s="1344">
        <f t="shared" si="29"/>
        <v>0.24964788732394366</v>
      </c>
      <c r="G113" s="1345">
        <v>2734</v>
      </c>
      <c r="H113" s="1085">
        <v>668</v>
      </c>
      <c r="I113" s="1346">
        <f t="shared" si="30"/>
        <v>0.24433065106071689</v>
      </c>
      <c r="J113" s="1347"/>
      <c r="K113" s="63"/>
      <c r="L113" s="63"/>
      <c r="M113" s="63"/>
      <c r="N113" s="63"/>
      <c r="O113" s="2"/>
      <c r="P113" s="2"/>
    </row>
    <row r="114" spans="2:18" ht="16.2" hidden="1" x14ac:dyDescent="0.3">
      <c r="B114" s="962" t="s">
        <v>817</v>
      </c>
      <c r="C114" s="962"/>
      <c r="D114" s="1342">
        <v>2025</v>
      </c>
      <c r="E114" s="1343">
        <v>407</v>
      </c>
      <c r="F114" s="1344">
        <f t="shared" si="29"/>
        <v>0.20098765432098764</v>
      </c>
      <c r="G114" s="1345">
        <v>2271</v>
      </c>
      <c r="H114" s="1085">
        <v>397</v>
      </c>
      <c r="I114" s="1346">
        <f t="shared" si="30"/>
        <v>0.17481285777190664</v>
      </c>
      <c r="J114" s="1347"/>
      <c r="K114" s="63"/>
      <c r="L114" s="63"/>
      <c r="M114" s="63"/>
      <c r="N114" s="63"/>
      <c r="O114" s="2"/>
      <c r="P114" s="2"/>
    </row>
    <row r="115" spans="2:18" ht="16.2" hidden="1" x14ac:dyDescent="0.3">
      <c r="B115" s="962" t="s">
        <v>818</v>
      </c>
      <c r="C115" s="962"/>
      <c r="D115" s="1342">
        <v>2384</v>
      </c>
      <c r="E115" s="1343">
        <v>677</v>
      </c>
      <c r="F115" s="1344">
        <f t="shared" si="29"/>
        <v>0.28397651006711411</v>
      </c>
      <c r="G115" s="1345">
        <v>2442</v>
      </c>
      <c r="H115" s="1085">
        <v>660</v>
      </c>
      <c r="I115" s="1346">
        <f t="shared" si="30"/>
        <v>0.27027027027027029</v>
      </c>
      <c r="J115" s="1347"/>
      <c r="K115" s="63"/>
      <c r="L115" s="63"/>
      <c r="M115" s="63"/>
      <c r="N115" s="63"/>
      <c r="O115" s="2"/>
      <c r="P115" s="2"/>
    </row>
    <row r="116" spans="2:18" ht="16.2" hidden="1" x14ac:dyDescent="0.3">
      <c r="B116" s="962" t="s">
        <v>819</v>
      </c>
      <c r="C116" s="962"/>
      <c r="D116" s="1342">
        <v>824</v>
      </c>
      <c r="E116" s="1343">
        <v>411</v>
      </c>
      <c r="F116" s="1344">
        <f t="shared" si="29"/>
        <v>0.49878640776699029</v>
      </c>
      <c r="G116" s="1345">
        <v>1057</v>
      </c>
      <c r="H116" s="1085">
        <v>545</v>
      </c>
      <c r="I116" s="1346">
        <f t="shared" si="30"/>
        <v>0.51561021759697256</v>
      </c>
      <c r="J116" s="1347"/>
      <c r="K116" s="63"/>
      <c r="L116" s="63"/>
      <c r="M116" s="63"/>
      <c r="N116" s="63"/>
      <c r="O116" s="2"/>
      <c r="P116" s="2"/>
    </row>
    <row r="117" spans="2:18" ht="16.2" hidden="1" x14ac:dyDescent="0.3">
      <c r="B117" s="1348" t="s">
        <v>885</v>
      </c>
      <c r="C117" s="1348"/>
      <c r="D117" s="1343">
        <v>12206</v>
      </c>
      <c r="E117" s="1343">
        <f>SUM(E112:E116)</f>
        <v>3014</v>
      </c>
      <c r="F117" s="1344">
        <f t="shared" si="29"/>
        <v>0.24692774045551369</v>
      </c>
      <c r="G117" s="1085">
        <f>SUM(G112:G116)</f>
        <v>12666</v>
      </c>
      <c r="H117" s="1085">
        <f>SUM(H112:H116)</f>
        <v>3163</v>
      </c>
      <c r="I117" s="1346">
        <f t="shared" si="30"/>
        <v>0.24972366966682458</v>
      </c>
      <c r="J117" s="1347"/>
      <c r="K117" s="63"/>
      <c r="L117" s="63"/>
      <c r="M117" s="63"/>
      <c r="N117" s="63"/>
      <c r="O117" s="2"/>
      <c r="P117" s="2"/>
    </row>
    <row r="118" spans="2:18" ht="13.8" x14ac:dyDescent="0.25">
      <c r="D118" s="91"/>
    </row>
    <row r="119" spans="2:18" ht="13.8" x14ac:dyDescent="0.25">
      <c r="B119" s="1635" t="s">
        <v>881</v>
      </c>
      <c r="C119" s="1634" t="s">
        <v>431</v>
      </c>
      <c r="D119" s="1634"/>
      <c r="E119" s="1634"/>
      <c r="F119" s="1626" t="s">
        <v>432</v>
      </c>
      <c r="G119" s="1626"/>
      <c r="H119" s="1626"/>
      <c r="I119" s="1626" t="s">
        <v>433</v>
      </c>
      <c r="J119" s="1626"/>
      <c r="K119" s="1626"/>
      <c r="Q119" s="9"/>
      <c r="R119" s="9"/>
    </row>
    <row r="120" spans="2:18" ht="41.4" x14ac:dyDescent="0.25">
      <c r="B120" s="1635"/>
      <c r="C120" s="1350" t="s">
        <v>825</v>
      </c>
      <c r="D120" s="1349" t="s">
        <v>886</v>
      </c>
      <c r="E120" s="1349" t="s">
        <v>884</v>
      </c>
      <c r="F120" s="1350" t="s">
        <v>825</v>
      </c>
      <c r="G120" s="1349" t="s">
        <v>886</v>
      </c>
      <c r="H120" s="1349" t="s">
        <v>884</v>
      </c>
      <c r="I120" s="1350" t="s">
        <v>825</v>
      </c>
      <c r="J120" s="1349" t="s">
        <v>886</v>
      </c>
      <c r="K120" s="1349" t="s">
        <v>884</v>
      </c>
      <c r="Q120" s="9"/>
      <c r="R120" s="9"/>
    </row>
    <row r="121" spans="2:18" ht="16.2" x14ac:dyDescent="0.3">
      <c r="B121" s="962" t="s">
        <v>815</v>
      </c>
      <c r="C121" s="1342">
        <v>3485</v>
      </c>
      <c r="D121" s="1343">
        <v>687</v>
      </c>
      <c r="E121" s="1344">
        <v>0.2</v>
      </c>
      <c r="F121" s="1351">
        <v>3879</v>
      </c>
      <c r="G121" s="1352">
        <v>775</v>
      </c>
      <c r="H121" s="1353">
        <f>G121/F121</f>
        <v>0.19979376127868007</v>
      </c>
      <c r="I121" s="1345">
        <v>4079</v>
      </c>
      <c r="J121" s="1085">
        <v>835</v>
      </c>
      <c r="K121" s="1346">
        <f>J121/(I121)</f>
        <v>0.20470703603824467</v>
      </c>
      <c r="Q121" s="9"/>
      <c r="R121" s="9"/>
    </row>
    <row r="122" spans="2:18" ht="16.2" x14ac:dyDescent="0.3">
      <c r="B122" s="962" t="s">
        <v>816</v>
      </c>
      <c r="C122" s="1342">
        <v>2350</v>
      </c>
      <c r="D122" s="1343">
        <v>706</v>
      </c>
      <c r="E122" s="1344">
        <v>0.3</v>
      </c>
      <c r="F122" s="1351">
        <v>2876</v>
      </c>
      <c r="G122" s="1352">
        <v>722</v>
      </c>
      <c r="H122" s="1353">
        <f t="shared" ref="H122:H127" si="31">G122/F122</f>
        <v>0.25104311543810848</v>
      </c>
      <c r="I122" s="1345">
        <v>2858</v>
      </c>
      <c r="J122" s="1085">
        <v>688</v>
      </c>
      <c r="K122" s="1346">
        <f t="shared" ref="K122:K127" si="32">J122/(I122)</f>
        <v>0.24072778166550035</v>
      </c>
      <c r="Q122" s="9"/>
      <c r="R122" s="9"/>
    </row>
    <row r="123" spans="2:18" ht="16.2" x14ac:dyDescent="0.3">
      <c r="B123" s="962" t="s">
        <v>817</v>
      </c>
      <c r="C123" s="1342">
        <v>1975</v>
      </c>
      <c r="D123" s="1343">
        <v>481</v>
      </c>
      <c r="E123" s="1344">
        <v>0.24</v>
      </c>
      <c r="F123" s="1351">
        <v>2014</v>
      </c>
      <c r="G123" s="1352">
        <v>400</v>
      </c>
      <c r="H123" s="1353">
        <f t="shared" si="31"/>
        <v>0.19860973187686196</v>
      </c>
      <c r="I123" s="1345">
        <v>2186</v>
      </c>
      <c r="J123" s="1085">
        <v>419</v>
      </c>
      <c r="K123" s="1346">
        <f t="shared" si="32"/>
        <v>0.19167429094236046</v>
      </c>
      <c r="Q123" s="9"/>
      <c r="R123" s="9"/>
    </row>
    <row r="124" spans="2:18" ht="16.2" x14ac:dyDescent="0.3">
      <c r="B124" s="962" t="s">
        <v>818</v>
      </c>
      <c r="C124" s="1342">
        <v>2172</v>
      </c>
      <c r="D124" s="1343">
        <v>743</v>
      </c>
      <c r="E124" s="1344">
        <v>0.34</v>
      </c>
      <c r="F124" s="1351">
        <f>1361+936</f>
        <v>2297</v>
      </c>
      <c r="G124" s="1352">
        <v>689</v>
      </c>
      <c r="H124" s="1353">
        <f t="shared" si="31"/>
        <v>0.29995646495428818</v>
      </c>
      <c r="I124" s="1345">
        <f>1404+1055</f>
        <v>2459</v>
      </c>
      <c r="J124" s="1085">
        <v>664</v>
      </c>
      <c r="K124" s="1346">
        <f t="shared" si="32"/>
        <v>0.27002846685644571</v>
      </c>
      <c r="Q124" s="9"/>
      <c r="R124" s="9"/>
    </row>
    <row r="125" spans="2:18" ht="16.2" hidden="1" x14ac:dyDescent="0.3">
      <c r="B125" s="962" t="s">
        <v>823</v>
      </c>
      <c r="C125" s="1342"/>
      <c r="D125" s="1343"/>
      <c r="E125" s="1344"/>
      <c r="F125" s="1351">
        <v>936</v>
      </c>
      <c r="G125" s="1352">
        <v>0</v>
      </c>
      <c r="H125" s="1353">
        <f t="shared" si="31"/>
        <v>0</v>
      </c>
      <c r="I125" s="1345">
        <v>1055</v>
      </c>
      <c r="J125" s="1085">
        <v>0</v>
      </c>
      <c r="K125" s="1346">
        <f t="shared" si="32"/>
        <v>0</v>
      </c>
      <c r="Q125" s="9"/>
      <c r="R125" s="9"/>
    </row>
    <row r="126" spans="2:18" ht="16.2" x14ac:dyDescent="0.3">
      <c r="B126" s="962" t="s">
        <v>819</v>
      </c>
      <c r="C126" s="1342">
        <v>173</v>
      </c>
      <c r="D126" s="1343">
        <v>81</v>
      </c>
      <c r="E126" s="1344">
        <v>0.47</v>
      </c>
      <c r="F126" s="1351">
        <v>619</v>
      </c>
      <c r="G126" s="1352">
        <v>278</v>
      </c>
      <c r="H126" s="1353">
        <f t="shared" si="31"/>
        <v>0.44911147011308561</v>
      </c>
      <c r="I126" s="1345">
        <v>1056</v>
      </c>
      <c r="J126" s="1085">
        <v>538</v>
      </c>
      <c r="K126" s="1346">
        <f t="shared" si="32"/>
        <v>0.50946969696969702</v>
      </c>
      <c r="Q126" s="9"/>
      <c r="R126" s="9"/>
    </row>
    <row r="127" spans="2:18" ht="16.2" x14ac:dyDescent="0.3">
      <c r="B127" s="1348" t="s">
        <v>885</v>
      </c>
      <c r="C127" s="1343">
        <v>10156</v>
      </c>
      <c r="D127" s="1343">
        <v>2698</v>
      </c>
      <c r="E127" s="1344">
        <v>0.27</v>
      </c>
      <c r="F127" s="1352">
        <v>11685</v>
      </c>
      <c r="G127" s="1352">
        <v>2864</v>
      </c>
      <c r="H127" s="1353">
        <f t="shared" si="31"/>
        <v>0.24510055626872057</v>
      </c>
      <c r="I127" s="1085">
        <v>12638</v>
      </c>
      <c r="J127" s="1085">
        <f>SUM(J121:J126)</f>
        <v>3144</v>
      </c>
      <c r="K127" s="1346">
        <f t="shared" si="32"/>
        <v>0.24877354011710714</v>
      </c>
      <c r="Q127" s="9"/>
      <c r="R127" s="9"/>
    </row>
    <row r="128" spans="2:18" ht="16.2" x14ac:dyDescent="0.3">
      <c r="B128" s="661"/>
      <c r="C128" s="661"/>
      <c r="D128" s="661"/>
      <c r="E128" s="661"/>
      <c r="F128" s="661"/>
      <c r="G128" s="661"/>
      <c r="H128" s="661"/>
      <c r="I128" s="661"/>
      <c r="J128" s="661"/>
      <c r="K128" s="661"/>
    </row>
    <row r="129" spans="1:23" ht="17.399999999999999" x14ac:dyDescent="0.25">
      <c r="B129" s="1193" t="s">
        <v>887</v>
      </c>
      <c r="C129" s="1621" t="s">
        <v>431</v>
      </c>
      <c r="D129" s="1621"/>
      <c r="E129" s="1621"/>
      <c r="F129" s="1621"/>
      <c r="G129" s="1621"/>
      <c r="H129" s="1613" t="s">
        <v>432</v>
      </c>
      <c r="I129" s="1613"/>
      <c r="J129" s="1613"/>
      <c r="K129" s="1603" t="s">
        <v>433</v>
      </c>
      <c r="L129" s="1603"/>
      <c r="M129" s="1603"/>
      <c r="N129" s="1603"/>
      <c r="Q129" s="9"/>
      <c r="R129" s="9"/>
      <c r="S129" s="9"/>
      <c r="T129" s="9"/>
      <c r="U129" s="9"/>
      <c r="V129" s="9"/>
    </row>
    <row r="130" spans="1:23" ht="32.4" x14ac:dyDescent="0.25">
      <c r="B130" s="1213" t="s">
        <v>809</v>
      </c>
      <c r="C130" s="1214" t="s">
        <v>810</v>
      </c>
      <c r="D130" s="1214" t="s">
        <v>811</v>
      </c>
      <c r="E130" s="1214" t="s">
        <v>812</v>
      </c>
      <c r="F130" s="1214" t="s">
        <v>708</v>
      </c>
      <c r="G130" s="1330" t="s">
        <v>888</v>
      </c>
      <c r="H130" s="1330" t="s">
        <v>810</v>
      </c>
      <c r="I130" s="1330" t="s">
        <v>811</v>
      </c>
      <c r="J130" s="1330" t="s">
        <v>708</v>
      </c>
      <c r="K130" s="1330" t="s">
        <v>888</v>
      </c>
      <c r="L130" s="1330" t="s">
        <v>810</v>
      </c>
      <c r="M130" s="1330" t="s">
        <v>811</v>
      </c>
      <c r="N130" s="1330" t="s">
        <v>708</v>
      </c>
      <c r="O130" s="1330" t="s">
        <v>888</v>
      </c>
      <c r="Q130" s="9"/>
      <c r="R130" s="9"/>
      <c r="S130" s="9"/>
      <c r="T130" s="9"/>
      <c r="U130" s="9"/>
      <c r="V130" s="9"/>
      <c r="W130" s="9"/>
    </row>
    <row r="131" spans="1:23" ht="16.2" x14ac:dyDescent="0.3">
      <c r="B131" s="962" t="s">
        <v>815</v>
      </c>
      <c r="C131" s="1235">
        <v>123</v>
      </c>
      <c r="D131" s="1235">
        <v>290</v>
      </c>
      <c r="E131" s="1235">
        <v>0</v>
      </c>
      <c r="F131" s="1235">
        <v>413</v>
      </c>
      <c r="G131" s="1304">
        <f>F131/F31</f>
        <v>0.11847389558232932</v>
      </c>
      <c r="H131" s="1236">
        <v>135</v>
      </c>
      <c r="I131" s="1236">
        <v>271</v>
      </c>
      <c r="J131" s="1236">
        <f t="shared" ref="J131:J136" si="33">SUM(H131:I131)</f>
        <v>406</v>
      </c>
      <c r="K131" s="1354">
        <f>J131/I31</f>
        <v>0.10466615106986336</v>
      </c>
      <c r="L131" s="1263">
        <v>215</v>
      </c>
      <c r="M131" s="1263">
        <v>370</v>
      </c>
      <c r="N131" s="1263">
        <v>585</v>
      </c>
      <c r="O131" s="1355">
        <f>N131/L31</f>
        <v>0.14341750429026723</v>
      </c>
      <c r="Q131" s="9"/>
      <c r="R131" s="9"/>
      <c r="S131" s="9"/>
      <c r="T131" s="9"/>
      <c r="U131" s="9"/>
      <c r="V131" s="9"/>
      <c r="W131" s="9"/>
    </row>
    <row r="132" spans="1:23" ht="16.2" x14ac:dyDescent="0.3">
      <c r="B132" s="962" t="s">
        <v>816</v>
      </c>
      <c r="C132" s="1235">
        <v>78</v>
      </c>
      <c r="D132" s="1235">
        <v>111</v>
      </c>
      <c r="E132" s="1235">
        <v>1</v>
      </c>
      <c r="F132" s="1235">
        <v>190</v>
      </c>
      <c r="G132" s="1304">
        <f t="shared" ref="G132:G136" si="34">F132/F32</f>
        <v>8.085106382978724E-2</v>
      </c>
      <c r="H132" s="1236">
        <v>76</v>
      </c>
      <c r="I132" s="1236">
        <v>113</v>
      </c>
      <c r="J132" s="1236">
        <f t="shared" si="33"/>
        <v>189</v>
      </c>
      <c r="K132" s="1354">
        <f>J132/I32</f>
        <v>6.5716272600834486E-2</v>
      </c>
      <c r="L132" s="1263">
        <v>83</v>
      </c>
      <c r="M132" s="1263">
        <v>102</v>
      </c>
      <c r="N132" s="1263">
        <v>185</v>
      </c>
      <c r="O132" s="1355">
        <f t="shared" ref="O132:O136" si="35">N132/L32</f>
        <v>6.4730580825752268E-2</v>
      </c>
      <c r="Q132" s="9"/>
      <c r="R132" s="9"/>
      <c r="S132" s="9"/>
      <c r="T132" s="9"/>
      <c r="U132" s="9"/>
      <c r="V132" s="9"/>
      <c r="W132" s="9"/>
    </row>
    <row r="133" spans="1:23" ht="16.2" x14ac:dyDescent="0.3">
      <c r="B133" s="962" t="s">
        <v>817</v>
      </c>
      <c r="C133" s="1235">
        <v>77</v>
      </c>
      <c r="D133" s="1235">
        <v>129</v>
      </c>
      <c r="E133" s="1235">
        <v>8</v>
      </c>
      <c r="F133" s="1235">
        <v>214</v>
      </c>
      <c r="G133" s="1304">
        <f t="shared" si="34"/>
        <v>0.10835443037974683</v>
      </c>
      <c r="H133" s="1236">
        <v>77</v>
      </c>
      <c r="I133" s="1236">
        <v>252</v>
      </c>
      <c r="J133" s="1236">
        <f t="shared" si="33"/>
        <v>329</v>
      </c>
      <c r="K133" s="1354">
        <f t="shared" ref="K133:K136" si="36">J133/I33</f>
        <v>0.16335650446871897</v>
      </c>
      <c r="L133" s="1263">
        <v>99</v>
      </c>
      <c r="M133" s="1263">
        <v>205</v>
      </c>
      <c r="N133" s="1263">
        <v>304</v>
      </c>
      <c r="O133" s="1355">
        <f t="shared" si="35"/>
        <v>0.13906678865507777</v>
      </c>
      <c r="Q133" s="9"/>
      <c r="R133" s="9"/>
      <c r="S133" s="9"/>
      <c r="T133" s="9"/>
      <c r="U133" s="9"/>
      <c r="V133" s="9"/>
      <c r="W133" s="9"/>
    </row>
    <row r="134" spans="1:23" ht="16.2" x14ac:dyDescent="0.3">
      <c r="B134" s="962" t="s">
        <v>818</v>
      </c>
      <c r="C134" s="1235">
        <v>27</v>
      </c>
      <c r="D134" s="1235">
        <v>90</v>
      </c>
      <c r="E134" s="1235">
        <v>0</v>
      </c>
      <c r="F134" s="1235">
        <v>117</v>
      </c>
      <c r="G134" s="1304">
        <f t="shared" si="34"/>
        <v>5.3867403314917128E-2</v>
      </c>
      <c r="H134" s="1236">
        <v>43</v>
      </c>
      <c r="I134" s="1236">
        <v>133</v>
      </c>
      <c r="J134" s="1236">
        <f t="shared" si="33"/>
        <v>176</v>
      </c>
      <c r="K134" s="1354">
        <f t="shared" si="36"/>
        <v>7.6621680452764476E-2</v>
      </c>
      <c r="L134" s="1263">
        <v>42</v>
      </c>
      <c r="M134" s="1263">
        <v>111</v>
      </c>
      <c r="N134" s="1263">
        <v>153</v>
      </c>
      <c r="O134" s="1355">
        <f t="shared" si="35"/>
        <v>6.2220414802765349E-2</v>
      </c>
      <c r="Q134" s="9"/>
      <c r="R134" s="9"/>
      <c r="S134" s="9"/>
      <c r="T134" s="9"/>
      <c r="U134" s="9"/>
      <c r="V134" s="9"/>
      <c r="W134" s="9"/>
    </row>
    <row r="135" spans="1:23" ht="16.2" x14ac:dyDescent="0.3">
      <c r="B135" s="962" t="s">
        <v>819</v>
      </c>
      <c r="C135" s="1235">
        <v>2</v>
      </c>
      <c r="D135" s="1235">
        <v>7</v>
      </c>
      <c r="E135" s="1235">
        <v>1</v>
      </c>
      <c r="F135" s="1235">
        <v>10</v>
      </c>
      <c r="G135" s="1304">
        <f t="shared" si="34"/>
        <v>5.7803468208092484E-2</v>
      </c>
      <c r="H135" s="1236">
        <v>10</v>
      </c>
      <c r="I135" s="1236">
        <v>71</v>
      </c>
      <c r="J135" s="1236">
        <f t="shared" si="33"/>
        <v>81</v>
      </c>
      <c r="K135" s="1354">
        <f t="shared" si="36"/>
        <v>0.13085621970920841</v>
      </c>
      <c r="L135" s="1263">
        <v>13</v>
      </c>
      <c r="M135" s="1263">
        <v>38</v>
      </c>
      <c r="N135" s="1263">
        <v>51</v>
      </c>
      <c r="O135" s="1355">
        <f t="shared" si="35"/>
        <v>4.8295454545454544E-2</v>
      </c>
      <c r="Q135" s="9"/>
      <c r="R135" s="9"/>
      <c r="S135" s="9"/>
      <c r="T135" s="9"/>
      <c r="U135" s="9"/>
      <c r="V135" s="9"/>
      <c r="W135" s="9"/>
    </row>
    <row r="136" spans="1:23" ht="16.2" x14ac:dyDescent="0.3">
      <c r="B136" s="1348" t="s">
        <v>885</v>
      </c>
      <c r="C136" s="1356">
        <v>303</v>
      </c>
      <c r="D136" s="1356">
        <v>626</v>
      </c>
      <c r="E136" s="1235">
        <v>10</v>
      </c>
      <c r="F136" s="1356">
        <v>939</v>
      </c>
      <c r="G136" s="1304">
        <f t="shared" si="34"/>
        <v>9.2457660496258365E-2</v>
      </c>
      <c r="H136" s="1357">
        <v>341</v>
      </c>
      <c r="I136" s="1357">
        <v>840</v>
      </c>
      <c r="J136" s="1236">
        <f t="shared" si="33"/>
        <v>1181</v>
      </c>
      <c r="K136" s="1354">
        <f t="shared" si="36"/>
        <v>0.10106974753958066</v>
      </c>
      <c r="L136" s="1358">
        <f>SUM(L131:L135)</f>
        <v>452</v>
      </c>
      <c r="M136" s="1358">
        <f>SUM(M131:M135)</f>
        <v>826</v>
      </c>
      <c r="N136" s="1331">
        <f>SUM(N131:N135)</f>
        <v>1278</v>
      </c>
      <c r="O136" s="1355">
        <f t="shared" si="35"/>
        <v>0.10112359550561797</v>
      </c>
      <c r="Q136" s="9"/>
      <c r="R136" s="9"/>
      <c r="S136" s="9"/>
      <c r="T136" s="9"/>
      <c r="U136" s="9"/>
      <c r="V136" s="9"/>
      <c r="W136" s="9"/>
    </row>
    <row r="137" spans="1:23" ht="13.8" x14ac:dyDescent="0.25">
      <c r="D137" s="91"/>
    </row>
    <row r="138" spans="1:23" ht="17.399999999999999" x14ac:dyDescent="0.25">
      <c r="B138" s="1193" t="s">
        <v>889</v>
      </c>
      <c r="C138" s="1621" t="s">
        <v>431</v>
      </c>
      <c r="D138" s="1621"/>
      <c r="E138" s="1621"/>
      <c r="F138" s="1621"/>
      <c r="G138" s="1603" t="s">
        <v>432</v>
      </c>
      <c r="H138" s="1603"/>
      <c r="I138" s="1603"/>
      <c r="J138" s="1603" t="s">
        <v>433</v>
      </c>
      <c r="K138" s="1603"/>
      <c r="L138" s="1603"/>
      <c r="Q138" s="9"/>
      <c r="R138" s="9"/>
      <c r="S138" s="9"/>
    </row>
    <row r="139" spans="1:23" ht="32.4" x14ac:dyDescent="0.25">
      <c r="A139" s="9"/>
      <c r="B139" s="1213" t="s">
        <v>809</v>
      </c>
      <c r="C139" s="1214" t="s">
        <v>810</v>
      </c>
      <c r="D139" s="1214" t="s">
        <v>811</v>
      </c>
      <c r="E139" s="1214" t="s">
        <v>812</v>
      </c>
      <c r="F139" s="1214" t="s">
        <v>708</v>
      </c>
      <c r="G139" s="1330" t="s">
        <v>810</v>
      </c>
      <c r="H139" s="1330" t="s">
        <v>811</v>
      </c>
      <c r="I139" s="1330" t="s">
        <v>708</v>
      </c>
      <c r="J139" s="1330" t="s">
        <v>810</v>
      </c>
      <c r="K139" s="1330" t="s">
        <v>811</v>
      </c>
      <c r="L139" s="1330" t="s">
        <v>708</v>
      </c>
      <c r="Q139" s="9"/>
      <c r="R139" s="9"/>
      <c r="S139" s="9"/>
    </row>
    <row r="140" spans="1:23" ht="16.2" x14ac:dyDescent="0.25">
      <c r="B140" s="543" t="s">
        <v>890</v>
      </c>
      <c r="C140" s="1235">
        <v>109</v>
      </c>
      <c r="D140" s="1235">
        <v>177</v>
      </c>
      <c r="E140" s="1235">
        <v>0</v>
      </c>
      <c r="F140" s="1235">
        <v>286</v>
      </c>
      <c r="G140" s="1236">
        <v>37</v>
      </c>
      <c r="H140" s="1236">
        <v>118</v>
      </c>
      <c r="I140" s="1236">
        <f>SUM(G140:H140)</f>
        <v>155</v>
      </c>
      <c r="J140" s="1263">
        <v>14</v>
      </c>
      <c r="K140" s="1263">
        <v>85</v>
      </c>
      <c r="L140" s="1263">
        <f>SUM(J140:K140)</f>
        <v>99</v>
      </c>
      <c r="Q140" s="9"/>
      <c r="R140" s="9"/>
      <c r="S140" s="9"/>
    </row>
    <row r="141" spans="1:23" ht="32.4" x14ac:dyDescent="0.25">
      <c r="B141" s="529" t="s">
        <v>891</v>
      </c>
      <c r="C141" s="1235">
        <v>44</v>
      </c>
      <c r="D141" s="1235">
        <v>159</v>
      </c>
      <c r="E141" s="1235">
        <v>0</v>
      </c>
      <c r="F141" s="1235">
        <v>203</v>
      </c>
      <c r="G141" s="1236">
        <v>20</v>
      </c>
      <c r="H141" s="1236">
        <v>114</v>
      </c>
      <c r="I141" s="1236">
        <f>SUM(G141:H141)</f>
        <v>134</v>
      </c>
      <c r="J141" s="1263">
        <v>14</v>
      </c>
      <c r="K141" s="1263">
        <v>85</v>
      </c>
      <c r="L141" s="1263">
        <f>SUM(J141:K141)</f>
        <v>99</v>
      </c>
      <c r="Q141" s="9"/>
      <c r="R141" s="9"/>
      <c r="S141" s="9"/>
    </row>
    <row r="142" spans="1:23" ht="32.4" hidden="1" x14ac:dyDescent="0.25">
      <c r="B142" s="529" t="s">
        <v>892</v>
      </c>
      <c r="C142" s="1359"/>
      <c r="D142" s="1359"/>
      <c r="E142" s="1359"/>
      <c r="F142" s="1359"/>
      <c r="G142" s="1359"/>
      <c r="H142" s="1359"/>
      <c r="I142" s="1359"/>
    </row>
    <row r="143" spans="1:23" ht="16.2" hidden="1" x14ac:dyDescent="0.25">
      <c r="B143" s="543" t="s">
        <v>893</v>
      </c>
      <c r="C143" s="1360"/>
      <c r="D143" s="1360"/>
      <c r="E143" s="1360"/>
      <c r="F143" s="1359"/>
      <c r="G143" s="1360"/>
      <c r="H143" s="1360"/>
      <c r="I143" s="1359"/>
    </row>
    <row r="144" spans="1:23" ht="16.2" x14ac:dyDescent="0.25">
      <c r="B144" s="1272"/>
      <c r="C144" s="1272"/>
      <c r="D144" s="1361"/>
      <c r="E144" s="1361"/>
      <c r="F144" s="1362"/>
      <c r="G144" s="1361"/>
      <c r="H144" s="1361"/>
      <c r="I144" s="1362"/>
    </row>
    <row r="145" spans="1:28" ht="17.399999999999999" x14ac:dyDescent="0.25">
      <c r="B145" s="1193" t="s">
        <v>894</v>
      </c>
      <c r="C145" s="1621" t="s">
        <v>431</v>
      </c>
      <c r="D145" s="1621"/>
      <c r="E145" s="1621"/>
      <c r="F145" s="1621"/>
      <c r="G145" s="1603" t="s">
        <v>432</v>
      </c>
      <c r="H145" s="1603"/>
      <c r="I145" s="1603"/>
      <c r="J145" s="1361"/>
      <c r="K145" s="1361"/>
      <c r="L145" s="1362"/>
      <c r="Q145" s="9"/>
      <c r="R145" s="9"/>
      <c r="S145" s="9"/>
    </row>
    <row r="146" spans="1:28" ht="32.4" x14ac:dyDescent="0.25">
      <c r="B146" s="1213" t="s">
        <v>809</v>
      </c>
      <c r="C146" s="1214" t="s">
        <v>810</v>
      </c>
      <c r="D146" s="1214" t="s">
        <v>811</v>
      </c>
      <c r="E146" s="1214" t="s">
        <v>812</v>
      </c>
      <c r="F146" s="1214" t="s">
        <v>708</v>
      </c>
      <c r="G146" s="1330" t="s">
        <v>810</v>
      </c>
      <c r="H146" s="1330" t="s">
        <v>811</v>
      </c>
      <c r="I146" s="1330" t="s">
        <v>708</v>
      </c>
      <c r="J146" s="1361"/>
      <c r="K146" s="1361"/>
      <c r="L146" s="1362"/>
      <c r="Q146" s="9"/>
      <c r="R146" s="9"/>
      <c r="S146" s="9"/>
    </row>
    <row r="147" spans="1:28" ht="16.2" x14ac:dyDescent="0.25">
      <c r="B147" s="543" t="s">
        <v>895</v>
      </c>
      <c r="C147" s="1307">
        <f>C31/F36</f>
        <v>0.10023631350925562</v>
      </c>
      <c r="D147" s="1307">
        <f>D31/F36</f>
        <v>0.24300905868452147</v>
      </c>
      <c r="E147" s="1307">
        <f>E31/F36</f>
        <v>0</v>
      </c>
      <c r="F147" s="1307">
        <f>F31/F36</f>
        <v>0.3432453721937771</v>
      </c>
      <c r="G147" s="1332">
        <f>G31/I36</f>
        <v>9.9786050492083875E-2</v>
      </c>
      <c r="H147" s="1332">
        <f>H31/I36</f>
        <v>0.23217800599058622</v>
      </c>
      <c r="I147" s="1332">
        <f>I31/I36</f>
        <v>0.33196405648267008</v>
      </c>
      <c r="J147" s="1361"/>
      <c r="K147" s="1361"/>
      <c r="L147" s="1362"/>
      <c r="Q147" s="9"/>
      <c r="R147" s="9"/>
      <c r="S147" s="9"/>
    </row>
    <row r="148" spans="1:28" ht="13.8" x14ac:dyDescent="0.25">
      <c r="Q148" s="9"/>
      <c r="R148" s="9"/>
      <c r="S148" s="9"/>
    </row>
    <row r="149" spans="1:28" ht="17.399999999999999" x14ac:dyDescent="0.25">
      <c r="B149" s="1193" t="s">
        <v>896</v>
      </c>
      <c r="C149" s="1621" t="s">
        <v>431</v>
      </c>
      <c r="D149" s="1622"/>
      <c r="E149" s="1622"/>
      <c r="F149" s="1623"/>
      <c r="G149" s="1621" t="s">
        <v>431</v>
      </c>
      <c r="H149" s="1622"/>
      <c r="I149" s="1622"/>
      <c r="J149" s="1623"/>
      <c r="K149" s="1603" t="s">
        <v>432</v>
      </c>
      <c r="L149" s="1603"/>
      <c r="M149" s="1603"/>
      <c r="N149" s="1603" t="s">
        <v>432</v>
      </c>
      <c r="O149" s="1603"/>
      <c r="P149" s="1603"/>
      <c r="Q149" s="1603" t="s">
        <v>433</v>
      </c>
      <c r="R149" s="1603"/>
      <c r="S149" s="1603"/>
      <c r="T149" s="1603" t="s">
        <v>433</v>
      </c>
      <c r="U149" s="1603"/>
      <c r="V149" s="1603"/>
      <c r="W149" s="9"/>
      <c r="X149" s="9"/>
      <c r="Y149" s="9"/>
      <c r="Z149" s="9"/>
      <c r="AA149" s="9"/>
      <c r="AB149" s="9"/>
    </row>
    <row r="150" spans="1:28" ht="32.4" x14ac:dyDescent="0.25">
      <c r="A150" s="1627"/>
      <c r="B150" s="1213" t="s">
        <v>809</v>
      </c>
      <c r="C150" s="1214" t="s">
        <v>810</v>
      </c>
      <c r="D150" s="1214" t="s">
        <v>811</v>
      </c>
      <c r="E150" s="1214" t="s">
        <v>812</v>
      </c>
      <c r="F150" s="1214" t="s">
        <v>708</v>
      </c>
      <c r="G150" s="1214" t="s">
        <v>810</v>
      </c>
      <c r="H150" s="1214" t="s">
        <v>811</v>
      </c>
      <c r="I150" s="1214" t="s">
        <v>812</v>
      </c>
      <c r="J150" s="1214" t="s">
        <v>708</v>
      </c>
      <c r="K150" s="1330" t="s">
        <v>810</v>
      </c>
      <c r="L150" s="1330" t="s">
        <v>811</v>
      </c>
      <c r="M150" s="1330" t="s">
        <v>708</v>
      </c>
      <c r="N150" s="1330" t="s">
        <v>810</v>
      </c>
      <c r="O150" s="1330" t="s">
        <v>811</v>
      </c>
      <c r="P150" s="1330" t="s">
        <v>708</v>
      </c>
      <c r="Q150" s="1330" t="s">
        <v>810</v>
      </c>
      <c r="R150" s="1330" t="s">
        <v>811</v>
      </c>
      <c r="S150" s="1330" t="s">
        <v>708</v>
      </c>
      <c r="T150" s="1330" t="s">
        <v>810</v>
      </c>
      <c r="U150" s="1330" t="s">
        <v>811</v>
      </c>
      <c r="V150" s="1330" t="s">
        <v>708</v>
      </c>
      <c r="W150" s="9"/>
      <c r="X150" s="9"/>
      <c r="Y150" s="9"/>
      <c r="Z150" s="9"/>
      <c r="AA150" s="9"/>
      <c r="AB150" s="9"/>
    </row>
    <row r="151" spans="1:28" ht="16.2" x14ac:dyDescent="0.25">
      <c r="A151" s="1627"/>
      <c r="B151" s="543" t="s">
        <v>897</v>
      </c>
      <c r="C151" s="1363">
        <v>2450</v>
      </c>
      <c r="D151" s="1363">
        <v>5680</v>
      </c>
      <c r="E151" s="1364">
        <v>27</v>
      </c>
      <c r="F151" s="1364">
        <v>8140</v>
      </c>
      <c r="G151" s="1365">
        <v>0.92</v>
      </c>
      <c r="H151" s="1365">
        <v>0.81</v>
      </c>
      <c r="I151" s="1365">
        <v>0.45</v>
      </c>
      <c r="J151" s="1365">
        <v>0.84</v>
      </c>
      <c r="K151" s="1236">
        <v>3181</v>
      </c>
      <c r="L151" s="1236">
        <v>6748</v>
      </c>
      <c r="M151" s="1236">
        <f>SUM(K151:L151)</f>
        <v>9929</v>
      </c>
      <c r="N151" s="1332">
        <v>0.94799999999999995</v>
      </c>
      <c r="O151" s="1332">
        <v>0.92500000000000004</v>
      </c>
      <c r="P151" s="1332">
        <v>0.93300000000000005</v>
      </c>
      <c r="Q151" s="1263">
        <v>3509</v>
      </c>
      <c r="R151" s="1263">
        <v>7737</v>
      </c>
      <c r="S151" s="1263">
        <v>11246</v>
      </c>
      <c r="T151" s="1366">
        <v>0.98199999999999998</v>
      </c>
      <c r="U151" s="1366">
        <v>0.89900000000000002</v>
      </c>
      <c r="V151" s="1366">
        <v>0.92300000000000004</v>
      </c>
      <c r="W151" s="9"/>
      <c r="X151" s="9"/>
      <c r="Y151" s="9"/>
      <c r="Z151" s="9"/>
      <c r="AA151" s="9"/>
      <c r="AB151" s="9"/>
    </row>
    <row r="152" spans="1:28" ht="16.2" x14ac:dyDescent="0.25">
      <c r="B152" s="529" t="s">
        <v>898</v>
      </c>
      <c r="C152" s="1363">
        <v>113</v>
      </c>
      <c r="D152" s="1363">
        <v>122</v>
      </c>
      <c r="E152" s="1367">
        <v>0</v>
      </c>
      <c r="F152" s="1364">
        <v>235</v>
      </c>
      <c r="G152" s="1365">
        <v>0.63</v>
      </c>
      <c r="H152" s="1365">
        <v>0.54</v>
      </c>
      <c r="I152" s="1367">
        <v>0</v>
      </c>
      <c r="J152" s="1365">
        <v>0.55000000000000004</v>
      </c>
      <c r="K152" s="1236">
        <v>188</v>
      </c>
      <c r="L152" s="1236">
        <v>212</v>
      </c>
      <c r="M152" s="1236">
        <f>SUM(K152:L152)</f>
        <v>400</v>
      </c>
      <c r="N152" s="1332">
        <v>0.70699999999999996</v>
      </c>
      <c r="O152" s="1332">
        <v>0.75900000000000001</v>
      </c>
      <c r="P152" s="1332">
        <v>0.73499999999999999</v>
      </c>
      <c r="Q152" s="1263">
        <v>182</v>
      </c>
      <c r="R152" s="1263">
        <v>230</v>
      </c>
      <c r="S152" s="1263">
        <v>412</v>
      </c>
      <c r="T152" s="1366">
        <v>0.91900000000000004</v>
      </c>
      <c r="U152" s="1366">
        <v>0.89800000000000002</v>
      </c>
      <c r="V152" s="1366">
        <v>0.90700000000000003</v>
      </c>
      <c r="W152" s="9"/>
      <c r="X152" s="9"/>
      <c r="Y152" s="9"/>
      <c r="Z152" s="9"/>
      <c r="AA152" s="9"/>
      <c r="AB152" s="9"/>
    </row>
    <row r="153" spans="1:28" ht="16.2" x14ac:dyDescent="0.25">
      <c r="B153" s="529" t="s">
        <v>899</v>
      </c>
      <c r="C153" s="1368">
        <v>2563</v>
      </c>
      <c r="D153" s="1368">
        <v>2802</v>
      </c>
      <c r="E153" s="642">
        <v>27</v>
      </c>
      <c r="F153" s="642">
        <v>2392</v>
      </c>
      <c r="G153" s="1369">
        <v>0.9</v>
      </c>
      <c r="H153" s="1369">
        <v>0.8</v>
      </c>
      <c r="I153" s="1369">
        <v>0.34</v>
      </c>
      <c r="J153" s="1369">
        <v>0.83</v>
      </c>
      <c r="K153" s="1244">
        <f>SUM(K151:K152)</f>
        <v>3369</v>
      </c>
      <c r="L153" s="1244">
        <f>SUM(L151:L152)</f>
        <v>6960</v>
      </c>
      <c r="M153" s="1244">
        <f>SUM(M151:M152)</f>
        <v>10329</v>
      </c>
      <c r="N153" s="1334">
        <v>0.93500000000000005</v>
      </c>
      <c r="O153" s="1334">
        <v>0.84699999999999998</v>
      </c>
      <c r="P153" s="1334">
        <v>0.92500000000000004</v>
      </c>
      <c r="Q153" s="1268">
        <v>3691</v>
      </c>
      <c r="R153" s="1268">
        <v>7967</v>
      </c>
      <c r="S153" s="1268">
        <v>11658</v>
      </c>
      <c r="T153" s="1355">
        <v>0.97799999999999998</v>
      </c>
      <c r="U153" s="1355">
        <v>0.89900000000000002</v>
      </c>
      <c r="V153" s="1355">
        <v>0.92200000000000004</v>
      </c>
      <c r="W153" s="1370"/>
      <c r="X153" s="9"/>
      <c r="Y153" s="9"/>
      <c r="Z153" s="9"/>
      <c r="AA153" s="9"/>
      <c r="AB153" s="9"/>
    </row>
    <row r="154" spans="1:28" ht="13.8" x14ac:dyDescent="0.25">
      <c r="D154" s="91"/>
    </row>
    <row r="155" spans="1:28" ht="17.399999999999999" x14ac:dyDescent="0.25">
      <c r="B155" s="1255" t="s">
        <v>900</v>
      </c>
      <c r="C155" s="1410" t="s">
        <v>431</v>
      </c>
      <c r="D155" s="1411" t="s">
        <v>432</v>
      </c>
      <c r="E155" s="1411" t="s">
        <v>433</v>
      </c>
    </row>
    <row r="156" spans="1:28" ht="16.2" x14ac:dyDescent="0.25">
      <c r="A156" s="1371"/>
      <c r="B156" s="1372" t="s">
        <v>901</v>
      </c>
      <c r="C156" s="1373">
        <v>12.7</v>
      </c>
      <c r="D156" s="1374">
        <v>20.5</v>
      </c>
      <c r="E156" s="1628">
        <v>25.52</v>
      </c>
      <c r="O156" s="61"/>
      <c r="P156" s="61"/>
    </row>
    <row r="157" spans="1:28" ht="16.2" x14ac:dyDescent="0.25">
      <c r="A157" s="1371"/>
      <c r="B157" s="1372" t="s">
        <v>902</v>
      </c>
      <c r="C157" s="1373">
        <v>5.1100000000000003</v>
      </c>
      <c r="D157" s="1374">
        <v>6.3</v>
      </c>
      <c r="E157" s="1628"/>
      <c r="O157" s="61"/>
      <c r="P157" s="61"/>
    </row>
    <row r="158" spans="1:28" ht="16.2" x14ac:dyDescent="0.25">
      <c r="A158" s="1371"/>
      <c r="B158" s="716" t="s">
        <v>903</v>
      </c>
      <c r="C158" s="1364">
        <v>43</v>
      </c>
      <c r="D158" s="1375">
        <v>51</v>
      </c>
      <c r="E158" s="1376">
        <v>52</v>
      </c>
      <c r="O158" s="61"/>
      <c r="P158" s="61"/>
    </row>
    <row r="159" spans="1:28" ht="16.2" x14ac:dyDescent="0.25">
      <c r="A159" s="1371"/>
      <c r="B159" s="716" t="s">
        <v>904</v>
      </c>
      <c r="C159" s="1363">
        <v>1342</v>
      </c>
      <c r="D159" s="1375">
        <v>5405</v>
      </c>
      <c r="E159" s="1376">
        <v>3059</v>
      </c>
      <c r="O159" s="61"/>
      <c r="P159" s="61"/>
    </row>
    <row r="160" spans="1:28" ht="16.2" x14ac:dyDescent="0.25">
      <c r="A160" s="1371"/>
      <c r="B160" s="716" t="s">
        <v>905</v>
      </c>
      <c r="C160" s="1363">
        <v>6000</v>
      </c>
      <c r="D160" s="1375">
        <v>3544</v>
      </c>
      <c r="E160" s="1376">
        <v>134</v>
      </c>
      <c r="O160" s="61"/>
      <c r="P160" s="61"/>
    </row>
    <row r="161" spans="1:19" ht="16.2" x14ac:dyDescent="0.25">
      <c r="A161" s="1371"/>
      <c r="B161" s="754"/>
      <c r="C161" s="754"/>
      <c r="D161" s="1377"/>
      <c r="E161" s="1378"/>
      <c r="O161" s="61"/>
      <c r="P161" s="61"/>
    </row>
    <row r="162" spans="1:19" ht="13.8" x14ac:dyDescent="0.25">
      <c r="A162" s="1371"/>
      <c r="B162" s="1619" t="s">
        <v>906</v>
      </c>
      <c r="C162" s="1624" t="s">
        <v>431</v>
      </c>
      <c r="D162" s="1625"/>
      <c r="E162" s="1620" t="s">
        <v>432</v>
      </c>
      <c r="F162" s="1620"/>
      <c r="G162" s="1620" t="s">
        <v>433</v>
      </c>
      <c r="H162" s="1620"/>
      <c r="Q162" s="9"/>
      <c r="R162" s="61"/>
      <c r="S162" s="61"/>
    </row>
    <row r="163" spans="1:19" ht="27.6" x14ac:dyDescent="0.25">
      <c r="A163" s="1371"/>
      <c r="B163" s="1619"/>
      <c r="C163" s="1349" t="s">
        <v>907</v>
      </c>
      <c r="D163" s="1349" t="s">
        <v>908</v>
      </c>
      <c r="E163" s="1349" t="s">
        <v>907</v>
      </c>
      <c r="F163" s="1349" t="s">
        <v>908</v>
      </c>
      <c r="G163" s="1349" t="s">
        <v>907</v>
      </c>
      <c r="H163" s="1349" t="s">
        <v>908</v>
      </c>
      <c r="Q163" s="9"/>
      <c r="R163" s="61"/>
      <c r="S163" s="61"/>
    </row>
    <row r="164" spans="1:19" ht="16.2" x14ac:dyDescent="0.25">
      <c r="A164" s="1371"/>
      <c r="B164" s="716" t="s">
        <v>1408</v>
      </c>
      <c r="C164" s="1363">
        <v>10388</v>
      </c>
      <c r="D164" s="1365">
        <v>0.95</v>
      </c>
      <c r="E164" s="1379">
        <v>11719</v>
      </c>
      <c r="F164" s="1380">
        <v>0.873</v>
      </c>
      <c r="G164" s="1376">
        <v>11701</v>
      </c>
      <c r="H164" s="1366">
        <v>0.84</v>
      </c>
      <c r="I164" s="1381"/>
      <c r="J164" s="1382"/>
      <c r="K164" s="1382"/>
      <c r="Q164" s="9"/>
      <c r="R164" s="61"/>
      <c r="S164" s="61"/>
    </row>
    <row r="165" spans="1:19" ht="16.2" x14ac:dyDescent="0.25">
      <c r="A165" s="1371"/>
      <c r="B165" s="716" t="s">
        <v>909</v>
      </c>
      <c r="C165" s="1363">
        <v>380</v>
      </c>
      <c r="D165" s="1365">
        <v>0.96</v>
      </c>
      <c r="E165" s="1379">
        <v>2780</v>
      </c>
      <c r="F165" s="1380">
        <v>0.8</v>
      </c>
      <c r="G165" s="1376">
        <v>6123</v>
      </c>
      <c r="H165" s="1366">
        <v>0.64</v>
      </c>
      <c r="I165" s="1381"/>
      <c r="J165" s="1382"/>
      <c r="K165" s="1382"/>
      <c r="Q165" s="9"/>
      <c r="R165" s="61"/>
      <c r="S165" s="61"/>
    </row>
    <row r="166" spans="1:19" ht="16.2" x14ac:dyDescent="0.25">
      <c r="A166" s="1371"/>
      <c r="B166" s="716" t="s">
        <v>910</v>
      </c>
      <c r="C166" s="1235">
        <v>0</v>
      </c>
      <c r="D166" s="1235">
        <v>0</v>
      </c>
      <c r="E166" s="1379">
        <v>611</v>
      </c>
      <c r="F166" s="1380">
        <v>0.9</v>
      </c>
      <c r="G166" s="1376">
        <v>3240</v>
      </c>
      <c r="H166" s="1366">
        <v>0.72</v>
      </c>
      <c r="I166" s="1381"/>
      <c r="J166" s="1382"/>
      <c r="K166" s="1382"/>
      <c r="Q166" s="9"/>
      <c r="R166" s="61"/>
      <c r="S166" s="61"/>
    </row>
    <row r="167" spans="1:19" ht="16.2" x14ac:dyDescent="0.25">
      <c r="B167" s="716" t="s">
        <v>911</v>
      </c>
      <c r="C167" s="1363">
        <v>228</v>
      </c>
      <c r="D167" s="1365">
        <v>0.91</v>
      </c>
      <c r="E167" s="1379">
        <v>3122</v>
      </c>
      <c r="F167" s="1380">
        <v>0.35</v>
      </c>
      <c r="G167" s="1383"/>
      <c r="H167" s="1384"/>
      <c r="I167" s="1381"/>
      <c r="J167" s="1381"/>
      <c r="K167" s="1381"/>
      <c r="Q167" s="9"/>
    </row>
    <row r="168" spans="1:19" ht="16.2" x14ac:dyDescent="0.25">
      <c r="B168" s="716" t="s">
        <v>912</v>
      </c>
      <c r="C168" s="1363">
        <v>1162</v>
      </c>
      <c r="D168" s="1365">
        <v>0.73</v>
      </c>
      <c r="E168" s="1385"/>
      <c r="F168" s="1386"/>
      <c r="G168" s="1383"/>
      <c r="H168" s="1384"/>
      <c r="I168" s="1381"/>
      <c r="J168" s="1381"/>
      <c r="K168" s="1381"/>
      <c r="Q168" s="9"/>
    </row>
    <row r="169" spans="1:19" ht="16.2" x14ac:dyDescent="0.25">
      <c r="B169" s="716" t="s">
        <v>913</v>
      </c>
      <c r="C169" s="1363">
        <v>5456</v>
      </c>
      <c r="D169" s="1365">
        <v>0.96</v>
      </c>
      <c r="E169" s="1379">
        <v>2258</v>
      </c>
      <c r="F169" s="1380">
        <v>0.83</v>
      </c>
      <c r="G169" s="1383"/>
      <c r="H169" s="1384"/>
      <c r="I169" s="1381"/>
      <c r="J169" s="1387"/>
      <c r="K169" s="1382"/>
      <c r="Q169" s="9"/>
    </row>
    <row r="170" spans="1:19" ht="16.2" x14ac:dyDescent="0.25">
      <c r="B170" s="716" t="s">
        <v>914</v>
      </c>
      <c r="C170" s="1363">
        <v>9586</v>
      </c>
      <c r="D170" s="1365">
        <v>0.81</v>
      </c>
      <c r="E170" s="1379">
        <v>11004</v>
      </c>
      <c r="F170" s="1380">
        <v>0.82</v>
      </c>
      <c r="G170" s="1383"/>
      <c r="H170" s="1384"/>
      <c r="I170" s="1381"/>
      <c r="J170" s="1382"/>
      <c r="K170" s="1382"/>
      <c r="Q170" s="9"/>
    </row>
    <row r="171" spans="1:19" ht="33" customHeight="1" x14ac:dyDescent="0.25">
      <c r="B171" s="1632" t="s">
        <v>1409</v>
      </c>
      <c r="C171" s="1632"/>
      <c r="D171" s="1632"/>
      <c r="E171" s="1632"/>
      <c r="F171" s="1632"/>
      <c r="G171" s="1632"/>
      <c r="H171" s="1381"/>
      <c r="I171" s="1382"/>
      <c r="J171" s="1382"/>
    </row>
    <row r="172" spans="1:19" ht="7.95" customHeight="1" x14ac:dyDescent="0.25">
      <c r="B172" s="2"/>
      <c r="C172" s="2"/>
      <c r="D172" s="2"/>
      <c r="E172" s="2"/>
      <c r="F172" s="2"/>
      <c r="G172" s="2"/>
      <c r="H172" s="1381"/>
      <c r="I172" s="1382"/>
      <c r="J172" s="1382"/>
    </row>
    <row r="173" spans="1:19" ht="17.399999999999999" x14ac:dyDescent="0.25">
      <c r="B173" s="1255" t="s">
        <v>915</v>
      </c>
      <c r="C173" s="1412" t="s">
        <v>431</v>
      </c>
      <c r="D173" s="1410" t="s">
        <v>432</v>
      </c>
      <c r="E173" s="1411" t="s">
        <v>433</v>
      </c>
      <c r="F173" s="1413" t="s">
        <v>434</v>
      </c>
      <c r="G173" s="1411" t="s">
        <v>435</v>
      </c>
      <c r="H173" s="1411" t="s">
        <v>436</v>
      </c>
    </row>
    <row r="174" spans="1:19" ht="16.2" x14ac:dyDescent="0.3">
      <c r="B174" s="1348" t="s">
        <v>916</v>
      </c>
      <c r="C174" s="1365">
        <v>0.86</v>
      </c>
      <c r="D174" s="1365">
        <v>0.73</v>
      </c>
      <c r="E174" s="1388">
        <v>0.75</v>
      </c>
      <c r="F174" s="1633" t="s">
        <v>917</v>
      </c>
      <c r="G174" s="1389">
        <v>0.74</v>
      </c>
      <c r="H174" s="1390">
        <v>0.64</v>
      </c>
    </row>
    <row r="175" spans="1:19" ht="16.2" x14ac:dyDescent="0.3">
      <c r="B175" s="962" t="s">
        <v>918</v>
      </c>
      <c r="C175" s="1117"/>
      <c r="D175" s="1117"/>
      <c r="E175" s="1391"/>
      <c r="F175" s="1633"/>
      <c r="G175" s="1389">
        <v>0.65</v>
      </c>
      <c r="H175" s="1390">
        <v>0.63</v>
      </c>
    </row>
    <row r="176" spans="1:19" ht="16.2" x14ac:dyDescent="0.3">
      <c r="B176" s="962" t="s">
        <v>919</v>
      </c>
      <c r="C176" s="1392">
        <v>7.2</v>
      </c>
      <c r="D176" s="1117"/>
      <c r="E176" s="1393">
        <v>6.9</v>
      </c>
      <c r="F176" s="1633"/>
      <c r="G176" s="1394"/>
      <c r="H176" s="1117"/>
    </row>
    <row r="177" spans="2:8" ht="16.2" x14ac:dyDescent="0.3">
      <c r="B177" s="962" t="s">
        <v>920</v>
      </c>
      <c r="C177" s="1395" t="s">
        <v>917</v>
      </c>
      <c r="D177" s="1364">
        <v>7.2</v>
      </c>
      <c r="E177" s="1396" t="s">
        <v>917</v>
      </c>
      <c r="F177" s="1633"/>
      <c r="G177" s="1397" t="s">
        <v>917</v>
      </c>
      <c r="H177" s="1398" t="s">
        <v>917</v>
      </c>
    </row>
    <row r="179" spans="2:8" ht="34.799999999999997" x14ac:dyDescent="0.25">
      <c r="B179" s="1212" t="s">
        <v>1310</v>
      </c>
      <c r="C179" s="1412" t="s">
        <v>431</v>
      </c>
      <c r="D179" s="1411" t="s">
        <v>432</v>
      </c>
      <c r="E179" s="1411" t="s">
        <v>433</v>
      </c>
      <c r="F179" s="1411" t="s">
        <v>434</v>
      </c>
      <c r="G179" s="1411" t="s">
        <v>435</v>
      </c>
      <c r="H179" s="1411" t="s">
        <v>436</v>
      </c>
    </row>
    <row r="180" spans="2:8" ht="16.2" x14ac:dyDescent="0.3">
      <c r="B180" s="1348" t="s">
        <v>921</v>
      </c>
      <c r="C180" s="1399" t="s">
        <v>922</v>
      </c>
      <c r="D180" s="1400" t="s">
        <v>923</v>
      </c>
      <c r="E180" s="1400" t="s">
        <v>924</v>
      </c>
      <c r="F180" s="1400" t="s">
        <v>925</v>
      </c>
      <c r="G180" s="1400" t="s">
        <v>926</v>
      </c>
      <c r="H180" s="1400" t="s">
        <v>927</v>
      </c>
    </row>
    <row r="181" spans="2:8" ht="16.2" x14ac:dyDescent="0.3">
      <c r="B181" s="962" t="s">
        <v>928</v>
      </c>
      <c r="C181" s="1629"/>
      <c r="D181" s="1401" t="s">
        <v>929</v>
      </c>
      <c r="E181" s="1401" t="s">
        <v>930</v>
      </c>
      <c r="F181" s="1402" t="s">
        <v>931</v>
      </c>
      <c r="G181" s="1402" t="s">
        <v>932</v>
      </c>
      <c r="H181" s="1402" t="s">
        <v>933</v>
      </c>
    </row>
    <row r="182" spans="2:8" ht="16.2" x14ac:dyDescent="0.3">
      <c r="B182" s="962" t="s">
        <v>934</v>
      </c>
      <c r="C182" s="1630"/>
      <c r="D182" s="1401" t="s">
        <v>935</v>
      </c>
      <c r="E182" s="1401" t="s">
        <v>936</v>
      </c>
      <c r="F182" s="1402" t="s">
        <v>937</v>
      </c>
      <c r="G182" s="1402" t="s">
        <v>938</v>
      </c>
      <c r="H182" s="1402" t="s">
        <v>937</v>
      </c>
    </row>
    <row r="183" spans="2:8" ht="16.2" x14ac:dyDescent="0.3">
      <c r="B183" s="962" t="s">
        <v>939</v>
      </c>
      <c r="C183" s="1631"/>
      <c r="D183" s="1401" t="s">
        <v>940</v>
      </c>
      <c r="E183" s="1401" t="s">
        <v>941</v>
      </c>
      <c r="F183" s="1402" t="s">
        <v>932</v>
      </c>
      <c r="G183" s="1402" t="s">
        <v>942</v>
      </c>
      <c r="H183" s="1402" t="s">
        <v>943</v>
      </c>
    </row>
    <row r="185" spans="2:8" ht="34.799999999999997" x14ac:dyDescent="0.25">
      <c r="B185" s="1212" t="s">
        <v>1311</v>
      </c>
      <c r="C185" s="1412" t="s">
        <v>431</v>
      </c>
      <c r="D185" s="1411" t="s">
        <v>432</v>
      </c>
      <c r="E185" s="1411" t="s">
        <v>433</v>
      </c>
      <c r="F185" s="1411" t="s">
        <v>434</v>
      </c>
      <c r="G185" s="1411" t="s">
        <v>435</v>
      </c>
      <c r="H185" s="1411" t="s">
        <v>436</v>
      </c>
    </row>
    <row r="186" spans="2:8" ht="16.2" x14ac:dyDescent="0.3">
      <c r="B186" s="962" t="s">
        <v>928</v>
      </c>
      <c r="C186" s="1403" t="s">
        <v>944</v>
      </c>
      <c r="D186" s="1404" t="s">
        <v>945</v>
      </c>
      <c r="E186" s="1404" t="s">
        <v>946</v>
      </c>
      <c r="F186" s="1404" t="s">
        <v>947</v>
      </c>
      <c r="G186" s="1404" t="s">
        <v>948</v>
      </c>
      <c r="H186" s="1404" t="s">
        <v>933</v>
      </c>
    </row>
    <row r="187" spans="2:8" ht="16.2" x14ac:dyDescent="0.3">
      <c r="B187" s="962" t="s">
        <v>934</v>
      </c>
      <c r="C187" s="1403" t="s">
        <v>949</v>
      </c>
      <c r="D187" s="1404" t="s">
        <v>936</v>
      </c>
      <c r="E187" s="1404" t="s">
        <v>940</v>
      </c>
      <c r="F187" s="1404" t="s">
        <v>944</v>
      </c>
      <c r="G187" s="1404" t="s">
        <v>950</v>
      </c>
      <c r="H187" s="1404" t="s">
        <v>951</v>
      </c>
    </row>
    <row r="188" spans="2:8" ht="16.2" x14ac:dyDescent="0.3">
      <c r="B188" s="962" t="s">
        <v>939</v>
      </c>
      <c r="C188" s="1403" t="s">
        <v>952</v>
      </c>
      <c r="D188" s="1405" t="s">
        <v>941</v>
      </c>
      <c r="E188" s="1405" t="s">
        <v>953</v>
      </c>
      <c r="F188" s="1405" t="s">
        <v>954</v>
      </c>
      <c r="G188" s="1404" t="s">
        <v>955</v>
      </c>
      <c r="H188" s="1404" t="s">
        <v>946</v>
      </c>
    </row>
    <row r="190" spans="2:8" ht="17.399999999999999" x14ac:dyDescent="0.25">
      <c r="B190" s="1255" t="s">
        <v>956</v>
      </c>
      <c r="C190" s="1412" t="s">
        <v>431</v>
      </c>
      <c r="D190" s="1411" t="s">
        <v>432</v>
      </c>
      <c r="E190" s="1411" t="s">
        <v>433</v>
      </c>
      <c r="F190" s="1411" t="s">
        <v>434</v>
      </c>
      <c r="G190" s="1411" t="s">
        <v>435</v>
      </c>
      <c r="H190" s="1411" t="s">
        <v>436</v>
      </c>
    </row>
    <row r="191" spans="2:8" ht="16.2" x14ac:dyDescent="0.3">
      <c r="B191" s="962" t="s">
        <v>928</v>
      </c>
      <c r="C191" s="1406" t="s">
        <v>957</v>
      </c>
      <c r="D191" s="1407" t="s">
        <v>958</v>
      </c>
      <c r="E191" s="1407" t="s">
        <v>959</v>
      </c>
      <c r="F191" s="1407" t="s">
        <v>960</v>
      </c>
      <c r="G191" s="1407" t="s">
        <v>961</v>
      </c>
      <c r="H191" s="1407" t="s">
        <v>962</v>
      </c>
    </row>
    <row r="192" spans="2:8" ht="16.2" x14ac:dyDescent="0.3">
      <c r="B192" s="962" t="s">
        <v>934</v>
      </c>
      <c r="C192" s="1406" t="s">
        <v>963</v>
      </c>
      <c r="D192" s="1407" t="s">
        <v>964</v>
      </c>
      <c r="E192" s="1407" t="s">
        <v>965</v>
      </c>
      <c r="F192" s="1407" t="s">
        <v>966</v>
      </c>
      <c r="G192" s="1407" t="s">
        <v>967</v>
      </c>
      <c r="H192" s="1407" t="s">
        <v>968</v>
      </c>
    </row>
    <row r="193" spans="2:8" ht="16.2" x14ac:dyDescent="0.3">
      <c r="B193" s="962" t="s">
        <v>939</v>
      </c>
      <c r="C193" s="1406" t="s">
        <v>969</v>
      </c>
      <c r="D193" s="1408" t="s">
        <v>970</v>
      </c>
      <c r="E193" s="1408" t="s">
        <v>971</v>
      </c>
      <c r="F193" s="1408" t="s">
        <v>972</v>
      </c>
      <c r="G193" s="1407" t="s">
        <v>973</v>
      </c>
      <c r="H193" s="1407" t="s">
        <v>974</v>
      </c>
    </row>
  </sheetData>
  <sheetProtection algorithmName="SHA-512" hashValue="JNFx5O9+hvY66JfVwKdmbV9HusaDRj0ECSbzueitEmJKQLNFy4knh/3H5li3u1f+GfEdbxRYpMQkbkhss2n/RA==" saltValue="9uHzOAG7ILiDfhTilIxzZg==" spinCount="100000" sheet="1" objects="1" scenarios="1"/>
  <mergeCells count="99">
    <mergeCell ref="C181:C183"/>
    <mergeCell ref="B171:G171"/>
    <mergeCell ref="F174:F177"/>
    <mergeCell ref="C14:F14"/>
    <mergeCell ref="C44:F44"/>
    <mergeCell ref="C69:D69"/>
    <mergeCell ref="C97:F97"/>
    <mergeCell ref="C119:E119"/>
    <mergeCell ref="C129:G129"/>
    <mergeCell ref="C138:F138"/>
    <mergeCell ref="C145:F145"/>
    <mergeCell ref="G149:J149"/>
    <mergeCell ref="G138:I138"/>
    <mergeCell ref="J138:L138"/>
    <mergeCell ref="G145:I145"/>
    <mergeCell ref="B119:B120"/>
    <mergeCell ref="F119:H119"/>
    <mergeCell ref="Q149:S149"/>
    <mergeCell ref="T149:V149"/>
    <mergeCell ref="A150:A151"/>
    <mergeCell ref="E156:E157"/>
    <mergeCell ref="K149:M149"/>
    <mergeCell ref="N149:P149"/>
    <mergeCell ref="I119:K119"/>
    <mergeCell ref="K129:N129"/>
    <mergeCell ref="H129:J129"/>
    <mergeCell ref="B162:B163"/>
    <mergeCell ref="E162:F162"/>
    <mergeCell ref="G162:H162"/>
    <mergeCell ref="C149:F149"/>
    <mergeCell ref="C162:D162"/>
    <mergeCell ref="M106:O106"/>
    <mergeCell ref="P106:R106"/>
    <mergeCell ref="M97:O97"/>
    <mergeCell ref="P97:R97"/>
    <mergeCell ref="M104:O104"/>
    <mergeCell ref="P104:R104"/>
    <mergeCell ref="M105:O105"/>
    <mergeCell ref="P105:R105"/>
    <mergeCell ref="G97:I97"/>
    <mergeCell ref="J97:L97"/>
    <mergeCell ref="B110:B111"/>
    <mergeCell ref="D110:F110"/>
    <mergeCell ref="G110:I110"/>
    <mergeCell ref="Q53:Q54"/>
    <mergeCell ref="R53:R54"/>
    <mergeCell ref="E69:F69"/>
    <mergeCell ref="G69:H69"/>
    <mergeCell ref="I69:J69"/>
    <mergeCell ref="L53:L54"/>
    <mergeCell ref="M53:M54"/>
    <mergeCell ref="N53:N54"/>
    <mergeCell ref="O53:O54"/>
    <mergeCell ref="P53:P54"/>
    <mergeCell ref="U17:U18"/>
    <mergeCell ref="G44:I44"/>
    <mergeCell ref="J44:L44"/>
    <mergeCell ref="M44:O44"/>
    <mergeCell ref="P44:R44"/>
    <mergeCell ref="S44:S45"/>
    <mergeCell ref="J31:J32"/>
    <mergeCell ref="K31:K32"/>
    <mergeCell ref="L31:L32"/>
    <mergeCell ref="P17:P18"/>
    <mergeCell ref="T17:T18"/>
    <mergeCell ref="Q17:Q18"/>
    <mergeCell ref="R31:R32"/>
    <mergeCell ref="B4:M4"/>
    <mergeCell ref="J14:L14"/>
    <mergeCell ref="G14:I14"/>
    <mergeCell ref="M14:O14"/>
    <mergeCell ref="O24:O25"/>
    <mergeCell ref="M17:M18"/>
    <mergeCell ref="N17:N18"/>
    <mergeCell ref="O17:O18"/>
    <mergeCell ref="J17:J18"/>
    <mergeCell ref="K17:K18"/>
    <mergeCell ref="L17:L18"/>
    <mergeCell ref="J24:J25"/>
    <mergeCell ref="K24:K25"/>
    <mergeCell ref="L24:L25"/>
    <mergeCell ref="M24:M25"/>
    <mergeCell ref="N24:N25"/>
    <mergeCell ref="C59:D59"/>
    <mergeCell ref="P14:R14"/>
    <mergeCell ref="S14:S15"/>
    <mergeCell ref="M31:M32"/>
    <mergeCell ref="N31:N32"/>
    <mergeCell ref="O31:O32"/>
    <mergeCell ref="P31:P32"/>
    <mergeCell ref="Q31:Q32"/>
    <mergeCell ref="P24:P25"/>
    <mergeCell ref="Q24:Q25"/>
    <mergeCell ref="R24:R25"/>
    <mergeCell ref="R17:R18"/>
    <mergeCell ref="S46:S47"/>
    <mergeCell ref="S48:S49"/>
    <mergeCell ref="J53:J54"/>
    <mergeCell ref="K53:K54"/>
  </mergeCells>
  <phoneticPr fontId="3" type="noConversion"/>
  <conditionalFormatting sqref="C181">
    <cfRule type="dataBar" priority="1">
      <dataBar>
        <cfvo type="num" val="-0.2"/>
        <cfvo type="num" val="1"/>
        <color theme="3"/>
      </dataBar>
      <extLst>
        <ext xmlns:x14="http://schemas.microsoft.com/office/spreadsheetml/2009/9/main" uri="{B025F937-C7B1-47D3-B67F-A62EFF666E3E}">
          <x14:id>{E60C67F6-B976-45C7-B67A-B6588562D8A0}</x14:id>
        </ext>
      </extLst>
    </cfRule>
  </conditionalFormatting>
  <conditionalFormatting sqref="C175:E175">
    <cfRule type="dataBar" priority="4">
      <dataBar>
        <cfvo type="num" val="-0.2"/>
        <cfvo type="num" val="1"/>
        <color theme="3"/>
      </dataBar>
      <extLst>
        <ext xmlns:x14="http://schemas.microsoft.com/office/spreadsheetml/2009/9/main" uri="{B025F937-C7B1-47D3-B67F-A62EFF666E3E}">
          <x14:id>{6F2C36B5-5DB6-495E-BB63-45ADEFDE71DE}</x14:id>
        </ext>
      </extLst>
    </cfRule>
  </conditionalFormatting>
  <conditionalFormatting sqref="D176">
    <cfRule type="dataBar" priority="3">
      <dataBar>
        <cfvo type="num" val="-0.2"/>
        <cfvo type="num" val="1"/>
        <color theme="3"/>
      </dataBar>
      <extLst>
        <ext xmlns:x14="http://schemas.microsoft.com/office/spreadsheetml/2009/9/main" uri="{B025F937-C7B1-47D3-B67F-A62EFF666E3E}">
          <x14:id>{452BD6A1-A368-4B69-AF3E-97536DA06BCF}</x14:id>
        </ext>
      </extLst>
    </cfRule>
  </conditionalFormatting>
  <conditionalFormatting sqref="F9:G11">
    <cfRule type="dataBar" priority="8">
      <dataBar>
        <cfvo type="num" val="-0.2"/>
        <cfvo type="num" val="1"/>
        <color theme="3"/>
      </dataBar>
      <extLst>
        <ext xmlns:x14="http://schemas.microsoft.com/office/spreadsheetml/2009/9/main" uri="{B025F937-C7B1-47D3-B67F-A62EFF666E3E}">
          <x14:id>{F34D1FB6-1BC4-4CEF-A3FA-C8D325420558}</x14:id>
        </ext>
      </extLst>
    </cfRule>
  </conditionalFormatting>
  <conditionalFormatting sqref="G176:H176">
    <cfRule type="dataBar" priority="2">
      <dataBar>
        <cfvo type="num" val="-0.2"/>
        <cfvo type="num" val="1"/>
        <color theme="3"/>
      </dataBar>
      <extLst>
        <ext xmlns:x14="http://schemas.microsoft.com/office/spreadsheetml/2009/9/main" uri="{B025F937-C7B1-47D3-B67F-A62EFF666E3E}">
          <x14:id>{62512A10-811A-4E72-8DF1-A8744635FB1A}</x14:id>
        </ext>
      </extLst>
    </cfRule>
  </conditionalFormatting>
  <conditionalFormatting sqref="I88:J94">
    <cfRule type="dataBar" priority="5">
      <dataBar>
        <cfvo type="num" val="-0.2"/>
        <cfvo type="num" val="1"/>
        <color theme="3"/>
      </dataBar>
      <extLst>
        <ext xmlns:x14="http://schemas.microsoft.com/office/spreadsheetml/2009/9/main" uri="{B025F937-C7B1-47D3-B67F-A62EFF666E3E}">
          <x14:id>{2622A520-B806-4350-B8D3-658C3F980E43}</x14:id>
        </ext>
      </extLst>
    </cfRule>
  </conditionalFormatting>
  <conditionalFormatting sqref="M57:R57">
    <cfRule type="dataBar" priority="6">
      <dataBar>
        <cfvo type="num" val="-0.2"/>
        <cfvo type="num" val="1"/>
        <color theme="3"/>
      </dataBar>
      <extLst>
        <ext xmlns:x14="http://schemas.microsoft.com/office/spreadsheetml/2009/9/main" uri="{B025F937-C7B1-47D3-B67F-A62EFF666E3E}">
          <x14:id>{5B2E4C1D-FB0E-43E0-9D9F-8884C3412D3E}</x14:id>
        </ext>
      </extLst>
    </cfRule>
  </conditionalFormatting>
  <conditionalFormatting sqref="P41:R41">
    <cfRule type="dataBar" priority="7">
      <dataBar>
        <cfvo type="num" val="-0.2"/>
        <cfvo type="num" val="1"/>
        <color theme="3"/>
      </dataBar>
      <extLst>
        <ext xmlns:x14="http://schemas.microsoft.com/office/spreadsheetml/2009/9/main" uri="{B025F937-C7B1-47D3-B67F-A62EFF666E3E}">
          <x14:id>{2F40AAC9-FB51-4B46-9A4B-270B0FBD3233}</x14:id>
        </ext>
      </extLst>
    </cfRule>
  </conditionalFormatting>
  <hyperlinks>
    <hyperlink ref="B4:M4" location="'Basis of Reporting'!A1" display="The data below represents Johnson Matthey's People information as at 31st March 2025 (for 2024/25), unless otherwise stated, and is reported on the basis of our Basis of Reporting on page 191-195 of our Annual Report and Accounts 2025 and on the Basis of Reporting tab." xr:uid="{59FA46D3-50EF-408E-93AE-7245D72E8786}"/>
  </hyperlinks>
  <pageMargins left="0.70866141732283472" right="0.70866141732283472" top="0.74803149606299213" bottom="0.74803149606299213" header="0.31496062992125984" footer="0.31496062992125984"/>
  <pageSetup paperSize="9" scale="3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60C67F6-B976-45C7-B67A-B6588562D8A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C181</xm:sqref>
        </x14:conditionalFormatting>
        <x14:conditionalFormatting xmlns:xm="http://schemas.microsoft.com/office/excel/2006/main">
          <x14:cfRule type="dataBar" id="{6F2C36B5-5DB6-495E-BB63-45ADEFDE71D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C175:E175</xm:sqref>
        </x14:conditionalFormatting>
        <x14:conditionalFormatting xmlns:xm="http://schemas.microsoft.com/office/excel/2006/main">
          <x14:cfRule type="dataBar" id="{452BD6A1-A368-4B69-AF3E-97536DA06BC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D176</xm:sqref>
        </x14:conditionalFormatting>
        <x14:conditionalFormatting xmlns:xm="http://schemas.microsoft.com/office/excel/2006/main">
          <x14:cfRule type="dataBar" id="{F34D1FB6-1BC4-4CEF-A3FA-C8D32542055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F9:G11</xm:sqref>
        </x14:conditionalFormatting>
        <x14:conditionalFormatting xmlns:xm="http://schemas.microsoft.com/office/excel/2006/main">
          <x14:cfRule type="dataBar" id="{62512A10-811A-4E72-8DF1-A8744635FB1A}">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G176:H176</xm:sqref>
        </x14:conditionalFormatting>
        <x14:conditionalFormatting xmlns:xm="http://schemas.microsoft.com/office/excel/2006/main">
          <x14:cfRule type="dataBar" id="{2622A520-B806-4350-B8D3-658C3F980E4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I88:J94</xm:sqref>
        </x14:conditionalFormatting>
        <x14:conditionalFormatting xmlns:xm="http://schemas.microsoft.com/office/excel/2006/main">
          <x14:cfRule type="dataBar" id="{5B2E4C1D-FB0E-43E0-9D9F-8884C3412D3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M57:R57</xm:sqref>
        </x14:conditionalFormatting>
        <x14:conditionalFormatting xmlns:xm="http://schemas.microsoft.com/office/excel/2006/main">
          <x14:cfRule type="dataBar" id="{2F40AAC9-FB51-4B46-9A4B-270B0FBD32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P41:R41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2:W43"/>
  <sheetViews>
    <sheetView zoomScale="80" zoomScaleNormal="80" workbookViewId="0"/>
  </sheetViews>
  <sheetFormatPr defaultColWidth="8.77734375" defaultRowHeight="12.6" x14ac:dyDescent="0.2"/>
  <cols>
    <col min="1" max="1" width="2.44140625" style="3" customWidth="1"/>
    <col min="2" max="2" width="79.5546875" style="3" customWidth="1"/>
    <col min="3" max="3" width="32.5546875" style="3" customWidth="1"/>
    <col min="4" max="13" width="16.21875" style="3" customWidth="1"/>
    <col min="14" max="15" width="15.5546875" style="3" customWidth="1"/>
    <col min="16" max="21" width="11.77734375" style="3" customWidth="1"/>
    <col min="22" max="16384" width="8.77734375" style="3"/>
  </cols>
  <sheetData>
    <row r="2" spans="2:15" ht="61.05" customHeight="1" x14ac:dyDescent="0.2">
      <c r="B2" s="1639" t="s">
        <v>975</v>
      </c>
      <c r="C2" s="1597"/>
      <c r="D2" s="1597"/>
      <c r="E2" s="1597"/>
      <c r="F2" s="1597"/>
      <c r="G2" s="1597"/>
      <c r="H2" s="1597"/>
      <c r="I2" s="1597"/>
      <c r="J2" s="1597"/>
    </row>
    <row r="3" spans="2:15" x14ac:dyDescent="0.2">
      <c r="B3" s="487"/>
    </row>
    <row r="5" spans="2:15" ht="29.1" customHeight="1" x14ac:dyDescent="0.2">
      <c r="B5" s="1637" t="s">
        <v>976</v>
      </c>
      <c r="C5" s="1637" t="s">
        <v>430</v>
      </c>
      <c r="D5" s="1640" t="s">
        <v>431</v>
      </c>
      <c r="E5" s="1641"/>
      <c r="F5" s="1636" t="s">
        <v>432</v>
      </c>
      <c r="G5" s="1636"/>
      <c r="H5" s="1636" t="s">
        <v>433</v>
      </c>
      <c r="I5" s="1636"/>
      <c r="J5" s="1636" t="s">
        <v>434</v>
      </c>
      <c r="K5" s="1636"/>
      <c r="L5" s="1636" t="s">
        <v>435</v>
      </c>
      <c r="M5" s="1636"/>
      <c r="N5" s="1636" t="s">
        <v>436</v>
      </c>
      <c r="O5" s="1636"/>
    </row>
    <row r="6" spans="2:15" x14ac:dyDescent="0.2">
      <c r="B6" s="1637"/>
      <c r="C6" s="1637"/>
      <c r="D6" s="634" t="s">
        <v>802</v>
      </c>
      <c r="E6" s="635" t="s">
        <v>805</v>
      </c>
      <c r="F6" s="636" t="s">
        <v>802</v>
      </c>
      <c r="G6" s="637" t="s">
        <v>805</v>
      </c>
      <c r="H6" s="636" t="s">
        <v>802</v>
      </c>
      <c r="I6" s="637" t="s">
        <v>805</v>
      </c>
      <c r="J6" s="636" t="s">
        <v>802</v>
      </c>
      <c r="K6" s="637" t="s">
        <v>805</v>
      </c>
      <c r="L6" s="636" t="s">
        <v>802</v>
      </c>
      <c r="M6" s="637" t="s">
        <v>805</v>
      </c>
      <c r="N6" s="636" t="s">
        <v>802</v>
      </c>
      <c r="O6" s="637" t="s">
        <v>805</v>
      </c>
    </row>
    <row r="7" spans="2:15" ht="32.4" x14ac:dyDescent="0.2">
      <c r="B7" s="533" t="s">
        <v>977</v>
      </c>
      <c r="C7" s="529" t="s">
        <v>978</v>
      </c>
      <c r="D7" s="676">
        <v>10.248264026783202</v>
      </c>
      <c r="E7" s="638" t="s">
        <v>979</v>
      </c>
      <c r="F7" s="639">
        <v>17.11</v>
      </c>
      <c r="G7" s="639" t="s">
        <v>979</v>
      </c>
      <c r="H7" s="639">
        <v>11.11</v>
      </c>
      <c r="I7" s="639" t="s">
        <v>980</v>
      </c>
      <c r="J7" s="640">
        <v>11.8</v>
      </c>
      <c r="K7" s="641" t="s">
        <v>980</v>
      </c>
      <c r="L7" s="640">
        <v>16.12</v>
      </c>
      <c r="M7" s="641" t="s">
        <v>980</v>
      </c>
      <c r="N7" s="640">
        <v>18.443351047652378</v>
      </c>
      <c r="O7" s="641" t="s">
        <v>980</v>
      </c>
    </row>
    <row r="8" spans="2:15" ht="16.2" x14ac:dyDescent="0.2">
      <c r="B8" s="533" t="s">
        <v>981</v>
      </c>
      <c r="C8" s="533" t="s">
        <v>509</v>
      </c>
      <c r="D8" s="676">
        <v>0.35717850817456592</v>
      </c>
      <c r="E8" s="676">
        <v>0.49730614606716483</v>
      </c>
      <c r="F8" s="639">
        <v>0.36</v>
      </c>
      <c r="G8" s="639">
        <v>0.48</v>
      </c>
      <c r="H8" s="639">
        <f>F25</f>
        <v>0.48</v>
      </c>
      <c r="I8" s="639">
        <f>F26</f>
        <v>0.41</v>
      </c>
      <c r="J8" s="641">
        <v>0.59</v>
      </c>
      <c r="K8" s="641" t="s">
        <v>836</v>
      </c>
      <c r="L8" s="640">
        <v>0.56999999999999995</v>
      </c>
      <c r="M8" s="641" t="s">
        <v>836</v>
      </c>
      <c r="N8" s="640">
        <v>0.78427488081668739</v>
      </c>
      <c r="O8" s="641" t="s">
        <v>836</v>
      </c>
    </row>
    <row r="9" spans="2:15" ht="16.2" x14ac:dyDescent="0.2">
      <c r="B9" s="533" t="s">
        <v>982</v>
      </c>
      <c r="C9" s="533" t="s">
        <v>983</v>
      </c>
      <c r="D9" s="677">
        <v>18</v>
      </c>
      <c r="E9" s="638">
        <v>2</v>
      </c>
      <c r="F9" s="639">
        <v>20</v>
      </c>
      <c r="G9" s="639">
        <v>4</v>
      </c>
      <c r="H9" s="639">
        <v>28</v>
      </c>
      <c r="I9" s="639">
        <v>9</v>
      </c>
      <c r="J9" s="641">
        <v>40</v>
      </c>
      <c r="K9" s="641">
        <v>8</v>
      </c>
      <c r="L9" s="641">
        <v>39</v>
      </c>
      <c r="M9" s="641">
        <v>6</v>
      </c>
      <c r="N9" s="641">
        <v>49</v>
      </c>
      <c r="O9" s="641">
        <v>12</v>
      </c>
    </row>
    <row r="10" spans="2:15" ht="16.2" x14ac:dyDescent="0.2">
      <c r="B10" s="533" t="s">
        <v>984</v>
      </c>
      <c r="C10" s="533" t="s">
        <v>503</v>
      </c>
      <c r="D10" s="676">
        <v>0.92326702943992811</v>
      </c>
      <c r="E10" s="676">
        <v>0.49730614606716483</v>
      </c>
      <c r="F10" s="675">
        <v>0.84</v>
      </c>
      <c r="G10" s="639">
        <v>0.95</v>
      </c>
      <c r="H10" s="675">
        <v>1.196</v>
      </c>
      <c r="I10" s="639">
        <v>1.37</v>
      </c>
      <c r="J10" s="641">
        <v>1.45</v>
      </c>
      <c r="K10" s="641">
        <v>1.33</v>
      </c>
      <c r="L10" s="640">
        <v>1.29</v>
      </c>
      <c r="M10" s="640">
        <v>1.1299999999999999</v>
      </c>
      <c r="N10" s="640">
        <v>1.4464112881567741</v>
      </c>
      <c r="O10" s="640">
        <v>1.33</v>
      </c>
    </row>
    <row r="11" spans="2:15" ht="16.2" x14ac:dyDescent="0.2">
      <c r="B11" s="533" t="s">
        <v>985</v>
      </c>
      <c r="C11" s="533" t="s">
        <v>509</v>
      </c>
      <c r="D11" s="676">
        <v>0.17008500389265047</v>
      </c>
      <c r="E11" s="676">
        <v>9.9461229213432964E-2</v>
      </c>
      <c r="F11" s="639">
        <v>0.17</v>
      </c>
      <c r="G11" s="639">
        <v>0.19</v>
      </c>
      <c r="H11" s="639">
        <v>0.23</v>
      </c>
      <c r="I11" s="639">
        <f>F22</f>
        <v>0.27</v>
      </c>
      <c r="J11" s="640">
        <v>0.3</v>
      </c>
      <c r="K11" s="641" t="s">
        <v>836</v>
      </c>
      <c r="L11" s="640">
        <v>0.28999999999999998</v>
      </c>
      <c r="M11" s="641" t="s">
        <v>836</v>
      </c>
      <c r="N11" s="640">
        <v>0.34713806200082886</v>
      </c>
      <c r="O11" s="641" t="s">
        <v>836</v>
      </c>
    </row>
    <row r="12" spans="2:15" ht="32.4" x14ac:dyDescent="0.2">
      <c r="B12" s="533" t="s">
        <v>986</v>
      </c>
      <c r="C12" s="533" t="s">
        <v>503</v>
      </c>
      <c r="D12" s="676">
        <v>0</v>
      </c>
      <c r="E12" s="638" t="s">
        <v>979</v>
      </c>
      <c r="F12" s="639">
        <v>0</v>
      </c>
      <c r="G12" s="639" t="s">
        <v>979</v>
      </c>
      <c r="H12" s="639">
        <v>0.08</v>
      </c>
      <c r="I12" s="639" t="s">
        <v>980</v>
      </c>
      <c r="J12" s="641">
        <v>0.16</v>
      </c>
      <c r="K12" s="641" t="s">
        <v>980</v>
      </c>
      <c r="L12" s="640">
        <v>0.11</v>
      </c>
      <c r="M12" s="641" t="s">
        <v>980</v>
      </c>
      <c r="N12" s="640">
        <v>0.44999462298210752</v>
      </c>
      <c r="O12" s="641" t="s">
        <v>980</v>
      </c>
    </row>
    <row r="13" spans="2:15" ht="25.05" hidden="1" customHeight="1" x14ac:dyDescent="0.2">
      <c r="B13" s="488" t="s">
        <v>987</v>
      </c>
      <c r="C13" s="488"/>
      <c r="F13" s="489"/>
      <c r="G13" s="482"/>
      <c r="H13" s="490"/>
      <c r="I13" s="489"/>
      <c r="J13" s="482"/>
      <c r="K13" s="490"/>
    </row>
    <row r="14" spans="2:15" ht="11.55" hidden="1" customHeight="1" x14ac:dyDescent="0.2">
      <c r="B14" s="491" t="s">
        <v>988</v>
      </c>
      <c r="C14" s="659" t="s">
        <v>989</v>
      </c>
      <c r="D14" s="659"/>
      <c r="E14" s="659"/>
      <c r="G14" s="492"/>
    </row>
    <row r="15" spans="2:15" ht="11.55" hidden="1" customHeight="1" x14ac:dyDescent="0.2">
      <c r="B15" s="491" t="s">
        <v>990</v>
      </c>
      <c r="C15" s="1638" t="s">
        <v>991</v>
      </c>
      <c r="D15" s="1638"/>
      <c r="E15" s="1638"/>
      <c r="F15" s="1638"/>
      <c r="G15" s="492"/>
    </row>
    <row r="16" spans="2:15" ht="11.55" hidden="1" customHeight="1" x14ac:dyDescent="0.2">
      <c r="B16" s="493" t="s">
        <v>992</v>
      </c>
      <c r="C16" s="1638" t="s">
        <v>993</v>
      </c>
      <c r="D16" s="1638"/>
      <c r="E16" s="1638"/>
      <c r="F16" s="1638"/>
      <c r="G16" s="492"/>
    </row>
    <row r="17" spans="2:23" ht="11.55" hidden="1" customHeight="1" x14ac:dyDescent="0.2">
      <c r="B17" s="493" t="s">
        <v>994</v>
      </c>
      <c r="C17" s="1638" t="s">
        <v>995</v>
      </c>
      <c r="D17" s="1638"/>
      <c r="E17" s="1638"/>
      <c r="F17" s="1638"/>
      <c r="G17" s="492"/>
    </row>
    <row r="18" spans="2:23" ht="26.55" customHeight="1" x14ac:dyDescent="0.2">
      <c r="G18" s="492"/>
    </row>
    <row r="19" spans="2:23" ht="40.799999999999997" customHeight="1" x14ac:dyDescent="0.2">
      <c r="B19" s="597" t="s">
        <v>976</v>
      </c>
      <c r="C19" s="600" t="s">
        <v>430</v>
      </c>
      <c r="D19" s="598" t="s">
        <v>431</v>
      </c>
      <c r="E19" s="599" t="s">
        <v>432</v>
      </c>
      <c r="F19" s="599" t="s">
        <v>433</v>
      </c>
      <c r="G19" s="599" t="s">
        <v>434</v>
      </c>
      <c r="H19" s="599" t="s">
        <v>435</v>
      </c>
      <c r="I19" s="599" t="s">
        <v>436</v>
      </c>
      <c r="J19" s="599" t="s">
        <v>996</v>
      </c>
      <c r="K19" s="598" t="s">
        <v>557</v>
      </c>
      <c r="L19" s="601" t="s">
        <v>997</v>
      </c>
      <c r="P19" s="504" t="str">
        <f>J19</f>
        <v>2018/19</v>
      </c>
      <c r="Q19" s="504" t="str">
        <f>I19</f>
        <v>2019/20</v>
      </c>
      <c r="R19" s="504" t="str">
        <f>H19</f>
        <v>2020/21</v>
      </c>
      <c r="S19" s="504" t="str">
        <f>G19</f>
        <v>2021/22</v>
      </c>
      <c r="T19" s="504" t="str">
        <f>F19</f>
        <v>2022/23</v>
      </c>
      <c r="U19" s="504" t="str">
        <f>E19</f>
        <v>2023/24</v>
      </c>
      <c r="V19" s="504" t="str">
        <f>D19</f>
        <v>2024/25</v>
      </c>
    </row>
    <row r="20" spans="2:23" ht="32.4" x14ac:dyDescent="0.2">
      <c r="B20" s="529" t="s">
        <v>998</v>
      </c>
      <c r="C20" s="533" t="s">
        <v>509</v>
      </c>
      <c r="D20" s="699">
        <v>0.17008500389265047</v>
      </c>
      <c r="E20" s="545">
        <v>0.17</v>
      </c>
      <c r="F20" s="545">
        <v>0.24</v>
      </c>
      <c r="G20" s="546">
        <v>0.3</v>
      </c>
      <c r="H20" s="545">
        <v>0.28000000000000003</v>
      </c>
      <c r="I20" s="545">
        <v>0.34</v>
      </c>
      <c r="J20" s="545">
        <v>0.56000000000000005</v>
      </c>
      <c r="K20" s="647">
        <f>(D20-E20)/E20</f>
        <v>5.000228979438454E-4</v>
      </c>
      <c r="L20" s="645"/>
      <c r="N20" s="504"/>
      <c r="O20" s="504" t="str">
        <f>B20</f>
        <v>Lost Time Injury and Illness Rate (LTIIR) 
employees + contractors</v>
      </c>
      <c r="P20" s="504">
        <f>J20</f>
        <v>0.56000000000000005</v>
      </c>
      <c r="Q20" s="504">
        <f>I20</f>
        <v>0.34</v>
      </c>
      <c r="R20" s="504">
        <f>H20</f>
        <v>0.28000000000000003</v>
      </c>
      <c r="S20" s="715">
        <f>G20</f>
        <v>0.3</v>
      </c>
      <c r="T20" s="504">
        <f>F20</f>
        <v>0.24</v>
      </c>
      <c r="U20" s="504">
        <f>E20</f>
        <v>0.17</v>
      </c>
      <c r="V20" s="715">
        <f>D20</f>
        <v>0.17008500389265047</v>
      </c>
      <c r="W20" s="504"/>
    </row>
    <row r="21" spans="2:23" ht="16.2" x14ac:dyDescent="0.2">
      <c r="B21" s="543" t="s">
        <v>999</v>
      </c>
      <c r="C21" s="533" t="s">
        <v>509</v>
      </c>
      <c r="D21" s="699">
        <v>0.18465340588798562</v>
      </c>
      <c r="E21" s="545">
        <v>0.17</v>
      </c>
      <c r="F21" s="545">
        <v>0.23</v>
      </c>
      <c r="G21" s="546">
        <v>0.3</v>
      </c>
      <c r="H21" s="545">
        <v>0.28999999999999998</v>
      </c>
      <c r="I21" s="545">
        <v>0.35</v>
      </c>
      <c r="J21" s="545">
        <v>0.56999999999999995</v>
      </c>
      <c r="K21" s="647">
        <f t="shared" ref="K21:K29" si="0">(D21-E21)/E21</f>
        <v>8.6196505223444755E-2</v>
      </c>
      <c r="L21" s="646"/>
      <c r="N21" s="504"/>
      <c r="O21" s="504"/>
      <c r="P21" s="504"/>
      <c r="Q21" s="504"/>
      <c r="R21" s="504"/>
      <c r="S21" s="504"/>
      <c r="T21" s="504"/>
      <c r="U21" s="504"/>
      <c r="V21" s="504"/>
      <c r="W21" s="504"/>
    </row>
    <row r="22" spans="2:23" ht="16.2" x14ac:dyDescent="0.2">
      <c r="B22" s="543" t="s">
        <v>1000</v>
      </c>
      <c r="C22" s="533" t="s">
        <v>509</v>
      </c>
      <c r="D22" s="699">
        <v>9.9461229213432964E-2</v>
      </c>
      <c r="E22" s="545">
        <v>0.19</v>
      </c>
      <c r="F22" s="545">
        <v>0.27</v>
      </c>
      <c r="G22" s="545">
        <v>0.27</v>
      </c>
      <c r="H22" s="545">
        <v>0.23</v>
      </c>
      <c r="I22" s="545">
        <v>0.27</v>
      </c>
      <c r="J22" s="545">
        <v>0.4</v>
      </c>
      <c r="K22" s="647">
        <f t="shared" si="0"/>
        <v>-0.4765198462450897</v>
      </c>
      <c r="L22" s="646"/>
      <c r="N22" s="504"/>
      <c r="O22" s="504"/>
      <c r="P22" s="504"/>
      <c r="Q22" s="504"/>
      <c r="R22" s="504"/>
      <c r="S22" s="504"/>
      <c r="T22" s="504"/>
      <c r="U22" s="504"/>
      <c r="V22" s="504"/>
      <c r="W22" s="504"/>
    </row>
    <row r="23" spans="2:23" ht="32.4" x14ac:dyDescent="0.2">
      <c r="B23" s="529" t="s">
        <v>1001</v>
      </c>
      <c r="C23" s="533" t="s">
        <v>509</v>
      </c>
      <c r="D23" s="699">
        <v>0.35717850817456592</v>
      </c>
      <c r="E23" s="545">
        <v>0.36</v>
      </c>
      <c r="F23" s="545">
        <v>0.47</v>
      </c>
      <c r="G23" s="545">
        <v>0.59</v>
      </c>
      <c r="H23" s="545">
        <v>0.55000000000000004</v>
      </c>
      <c r="I23" s="545">
        <v>0.79</v>
      </c>
      <c r="J23" s="545">
        <v>0.97</v>
      </c>
      <c r="K23" s="647">
        <f t="shared" si="0"/>
        <v>-7.8374772928723989E-3</v>
      </c>
      <c r="L23" s="647">
        <f>(D23-I23)/(0.25-I23)</f>
        <v>0.80152128115821131</v>
      </c>
      <c r="O23" s="504" t="str">
        <f>B23</f>
        <v>Total Recordable Injury and Illness Rate (TRIIR)
employees + contractors</v>
      </c>
      <c r="P23" s="504">
        <f>J23</f>
        <v>0.97</v>
      </c>
      <c r="Q23" s="504">
        <f>I23</f>
        <v>0.79</v>
      </c>
      <c r="R23" s="504">
        <f>H23</f>
        <v>0.55000000000000004</v>
      </c>
      <c r="S23" s="504">
        <f>G23</f>
        <v>0.59</v>
      </c>
      <c r="T23" s="504">
        <f>F23</f>
        <v>0.47</v>
      </c>
      <c r="U23" s="504">
        <f>E23</f>
        <v>0.36</v>
      </c>
      <c r="V23" s="715">
        <f>D23</f>
        <v>0.35717850817456592</v>
      </c>
      <c r="W23" s="504"/>
    </row>
    <row r="24" spans="2:23" ht="32.4" x14ac:dyDescent="0.2">
      <c r="B24" s="529" t="s">
        <v>1002</v>
      </c>
      <c r="C24" s="533" t="s">
        <v>668</v>
      </c>
      <c r="D24" s="642">
        <v>42</v>
      </c>
      <c r="E24" s="545">
        <v>50</v>
      </c>
      <c r="F24" s="545">
        <v>71</v>
      </c>
      <c r="G24" s="545">
        <v>98</v>
      </c>
      <c r="H24" s="545">
        <v>89</v>
      </c>
      <c r="I24" s="545">
        <v>144</v>
      </c>
      <c r="J24" s="545">
        <v>160</v>
      </c>
      <c r="K24" s="647">
        <f t="shared" si="0"/>
        <v>-0.16</v>
      </c>
      <c r="L24" s="647"/>
      <c r="N24" s="504"/>
      <c r="O24" s="504"/>
      <c r="P24" s="504"/>
      <c r="Q24" s="504"/>
      <c r="R24" s="504"/>
      <c r="S24" s="504"/>
      <c r="T24" s="504"/>
      <c r="U24" s="504"/>
      <c r="V24" s="504"/>
      <c r="W24" s="504"/>
    </row>
    <row r="25" spans="2:23" ht="16.2" x14ac:dyDescent="0.2">
      <c r="B25" s="543" t="s">
        <v>1003</v>
      </c>
      <c r="C25" s="533" t="s">
        <v>509</v>
      </c>
      <c r="D25" s="699">
        <v>0.32827272157864112</v>
      </c>
      <c r="E25" s="545">
        <v>0.34</v>
      </c>
      <c r="F25" s="545">
        <v>0.48</v>
      </c>
      <c r="G25" s="545">
        <v>0.61</v>
      </c>
      <c r="H25" s="545">
        <v>0.56999999999999995</v>
      </c>
      <c r="I25" s="545">
        <v>0.79</v>
      </c>
      <c r="J25" s="545">
        <v>1.01</v>
      </c>
      <c r="K25" s="647">
        <f t="shared" si="0"/>
        <v>-3.4491995356937935E-2</v>
      </c>
      <c r="L25" s="646"/>
      <c r="N25" s="504"/>
      <c r="O25" s="504"/>
      <c r="P25" s="504"/>
      <c r="Q25" s="504"/>
      <c r="R25" s="504"/>
      <c r="S25" s="504"/>
      <c r="T25" s="504"/>
      <c r="U25" s="504"/>
      <c r="V25" s="504"/>
      <c r="W25" s="504"/>
    </row>
    <row r="26" spans="2:23" ht="16.2" x14ac:dyDescent="0.2">
      <c r="B26" s="543" t="s">
        <v>1004</v>
      </c>
      <c r="C26" s="533" t="s">
        <v>509</v>
      </c>
      <c r="D26" s="699">
        <v>0.49730614606716483</v>
      </c>
      <c r="E26" s="545">
        <v>0.48</v>
      </c>
      <c r="F26" s="545">
        <v>0.41</v>
      </c>
      <c r="G26" s="545">
        <v>0.49</v>
      </c>
      <c r="H26" s="545">
        <v>0.45</v>
      </c>
      <c r="I26" s="545">
        <v>0.8</v>
      </c>
      <c r="J26" s="545">
        <v>0.53</v>
      </c>
      <c r="K26" s="647">
        <f t="shared" si="0"/>
        <v>3.605447097326011E-2</v>
      </c>
      <c r="L26" s="646"/>
      <c r="N26" s="504"/>
      <c r="O26" s="504"/>
      <c r="P26" s="504"/>
      <c r="Q26" s="504"/>
      <c r="R26" s="504"/>
      <c r="S26" s="504"/>
      <c r="T26" s="504"/>
      <c r="U26" s="504"/>
      <c r="V26" s="504"/>
      <c r="W26" s="504"/>
    </row>
    <row r="27" spans="2:23" ht="16.2" x14ac:dyDescent="0.2">
      <c r="B27" s="529" t="s">
        <v>1005</v>
      </c>
      <c r="C27" s="529" t="s">
        <v>511</v>
      </c>
      <c r="D27" s="699">
        <v>0.82</v>
      </c>
      <c r="E27" s="546">
        <v>0.88</v>
      </c>
      <c r="F27" s="546">
        <v>1.0149999999999999</v>
      </c>
      <c r="G27" s="546">
        <v>1.3220000000000001</v>
      </c>
      <c r="H27" s="546">
        <v>0.77</v>
      </c>
      <c r="I27" s="546">
        <v>1.1819999999999999</v>
      </c>
      <c r="J27" s="546">
        <v>1.5349999999999999</v>
      </c>
      <c r="K27" s="647">
        <f>(D27-E27)/E27</f>
        <v>-6.8181818181818246E-2</v>
      </c>
      <c r="L27" s="647">
        <f>(D27-I27)/(0.4-I27)</f>
        <v>0.46291560102301793</v>
      </c>
      <c r="N27" s="504"/>
      <c r="O27" s="504" t="str">
        <f>B27</f>
        <v>ICCA - Process Safety Event Severity Rate (PSESR)</v>
      </c>
      <c r="P27" s="715">
        <f>J27</f>
        <v>1.5349999999999999</v>
      </c>
      <c r="Q27" s="715">
        <f>I27</f>
        <v>1.1819999999999999</v>
      </c>
      <c r="R27" s="715">
        <f>H27</f>
        <v>0.77</v>
      </c>
      <c r="S27" s="715">
        <f>G27</f>
        <v>1.3220000000000001</v>
      </c>
      <c r="T27" s="715">
        <f>F27</f>
        <v>1.0149999999999999</v>
      </c>
      <c r="U27" s="715">
        <f>E27</f>
        <v>0.88</v>
      </c>
      <c r="V27" s="715">
        <f>D27</f>
        <v>0.82</v>
      </c>
      <c r="W27" s="504"/>
    </row>
    <row r="28" spans="2:23" ht="16.2" x14ac:dyDescent="0.2">
      <c r="B28" s="533" t="s">
        <v>1006</v>
      </c>
      <c r="C28" s="533" t="s">
        <v>1007</v>
      </c>
      <c r="D28" s="644">
        <v>2</v>
      </c>
      <c r="E28" s="547">
        <v>3</v>
      </c>
      <c r="F28" s="547">
        <f>F29*F30</f>
        <v>8.9727776479999992</v>
      </c>
      <c r="G28" s="547">
        <f>G29*G30</f>
        <v>11.004886842000001</v>
      </c>
      <c r="H28" s="547">
        <f>H29*H30</f>
        <v>5.0102105450000005</v>
      </c>
      <c r="I28" s="547">
        <f>I29*I30</f>
        <v>3.9997423400000001</v>
      </c>
      <c r="J28" s="547">
        <f>J29*J30</f>
        <v>3.0076201609999997</v>
      </c>
      <c r="K28" s="647">
        <f t="shared" si="0"/>
        <v>-0.33333333333333331</v>
      </c>
      <c r="L28" s="647"/>
      <c r="N28" s="504"/>
      <c r="O28" s="504"/>
      <c r="P28" s="504"/>
      <c r="Q28" s="504"/>
      <c r="R28" s="504"/>
      <c r="S28" s="504"/>
      <c r="T28" s="504"/>
      <c r="U28" s="504"/>
      <c r="V28" s="504"/>
      <c r="W28" s="504"/>
    </row>
    <row r="29" spans="2:23" ht="16.2" x14ac:dyDescent="0.2">
      <c r="B29" s="533" t="s">
        <v>506</v>
      </c>
      <c r="C29" s="528" t="s">
        <v>507</v>
      </c>
      <c r="D29" s="699">
        <v>8.5042501946325233E-2</v>
      </c>
      <c r="E29" s="548">
        <v>0.108</v>
      </c>
      <c r="F29" s="548">
        <v>0.29599999999999999</v>
      </c>
      <c r="G29" s="548">
        <v>0.33400000000000002</v>
      </c>
      <c r="H29" s="548">
        <v>0.155</v>
      </c>
      <c r="I29" s="548">
        <v>0.11</v>
      </c>
      <c r="J29" s="548">
        <v>9.0999999999999998E-2</v>
      </c>
      <c r="K29" s="647">
        <f t="shared" si="0"/>
        <v>-0.21256942642291449</v>
      </c>
      <c r="L29" s="645"/>
      <c r="N29" s="504"/>
      <c r="O29" s="504"/>
    </row>
    <row r="30" spans="2:23" ht="16.2" x14ac:dyDescent="0.2">
      <c r="B30" s="532" t="s">
        <v>1008</v>
      </c>
      <c r="C30" s="544" t="s">
        <v>1009</v>
      </c>
      <c r="D30" s="643">
        <v>23.517652399999999</v>
      </c>
      <c r="E30" s="549">
        <v>27.458358</v>
      </c>
      <c r="F30" s="549">
        <v>30.313438000000001</v>
      </c>
      <c r="G30" s="549">
        <v>32.948763</v>
      </c>
      <c r="H30" s="549">
        <v>32.323939000000003</v>
      </c>
      <c r="I30" s="549">
        <v>36.361294000000001</v>
      </c>
      <c r="J30" s="549">
        <v>33.050770999999997</v>
      </c>
      <c r="K30" s="647">
        <f>(D30-E30)/E30</f>
        <v>-0.14351570476282671</v>
      </c>
      <c r="L30" s="645"/>
      <c r="N30" s="504"/>
      <c r="O30" s="504"/>
    </row>
    <row r="31" spans="2:23" ht="16.2" x14ac:dyDescent="0.2">
      <c r="B31" s="532" t="s">
        <v>1010</v>
      </c>
      <c r="C31" s="544" t="s">
        <v>668</v>
      </c>
      <c r="D31" s="644">
        <v>0</v>
      </c>
      <c r="E31" s="550">
        <v>0</v>
      </c>
      <c r="F31" s="550">
        <v>0</v>
      </c>
      <c r="G31" s="550">
        <v>0</v>
      </c>
      <c r="H31" s="550">
        <v>0</v>
      </c>
      <c r="I31" s="550">
        <v>0</v>
      </c>
      <c r="J31" s="550">
        <v>0</v>
      </c>
      <c r="K31" s="647"/>
      <c r="L31" s="645"/>
    </row>
    <row r="32" spans="2:23" ht="16.2" x14ac:dyDescent="0.2">
      <c r="B32" s="532" t="s">
        <v>1011</v>
      </c>
      <c r="C32" s="544" t="s">
        <v>668</v>
      </c>
      <c r="D32" s="644">
        <v>0</v>
      </c>
      <c r="E32" s="550">
        <v>0</v>
      </c>
      <c r="F32" s="550">
        <v>0</v>
      </c>
      <c r="G32" s="550">
        <v>0</v>
      </c>
      <c r="H32" s="550">
        <v>0</v>
      </c>
      <c r="I32" s="550">
        <v>0</v>
      </c>
      <c r="J32" s="550">
        <v>0</v>
      </c>
      <c r="K32" s="647"/>
      <c r="L32" s="645"/>
    </row>
    <row r="33" spans="2:12" ht="16.2" x14ac:dyDescent="0.2">
      <c r="B33" s="543" t="s">
        <v>1012</v>
      </c>
      <c r="C33" s="544" t="s">
        <v>668</v>
      </c>
      <c r="D33" s="644">
        <v>0</v>
      </c>
      <c r="E33" s="550">
        <v>0</v>
      </c>
      <c r="F33" s="550">
        <v>0</v>
      </c>
      <c r="G33" s="550">
        <v>0</v>
      </c>
      <c r="H33" s="550">
        <v>0</v>
      </c>
      <c r="I33" s="550">
        <v>0</v>
      </c>
      <c r="J33" s="551">
        <v>0</v>
      </c>
      <c r="K33" s="647"/>
      <c r="L33" s="645"/>
    </row>
    <row r="34" spans="2:12" ht="16.2" x14ac:dyDescent="0.2">
      <c r="B34" s="532" t="s">
        <v>1013</v>
      </c>
      <c r="C34" s="544" t="s">
        <v>668</v>
      </c>
      <c r="D34" s="644">
        <v>0</v>
      </c>
      <c r="E34" s="550">
        <v>0</v>
      </c>
      <c r="F34" s="550">
        <v>0</v>
      </c>
      <c r="G34" s="550" t="s">
        <v>836</v>
      </c>
      <c r="H34" s="550" t="s">
        <v>836</v>
      </c>
      <c r="I34" s="550" t="s">
        <v>836</v>
      </c>
      <c r="J34" s="550" t="s">
        <v>836</v>
      </c>
      <c r="K34" s="647"/>
      <c r="L34" s="645"/>
    </row>
    <row r="35" spans="2:12" x14ac:dyDescent="0.2">
      <c r="E35" s="705"/>
      <c r="F35" s="494"/>
      <c r="G35" s="494"/>
      <c r="H35" s="494"/>
      <c r="I35" s="494"/>
      <c r="J35" s="494"/>
      <c r="K35" s="494"/>
    </row>
    <row r="36" spans="2:12" x14ac:dyDescent="0.2">
      <c r="E36" s="486"/>
    </row>
    <row r="37" spans="2:12" ht="16.2" x14ac:dyDescent="0.3">
      <c r="C37" s="555"/>
      <c r="E37" s="706"/>
      <c r="G37" s="555"/>
      <c r="I37" s="555"/>
      <c r="K37" s="555"/>
    </row>
    <row r="38" spans="2:12" x14ac:dyDescent="0.2">
      <c r="E38" s="670"/>
    </row>
    <row r="43" spans="2:12" ht="16.2" x14ac:dyDescent="0.3">
      <c r="B43" s="661"/>
    </row>
  </sheetData>
  <sheetProtection algorithmName="SHA-512" hashValue="P0LzAQxHgLms9MG1KV28bVSEU8jrCOqoOsvcBQEzwID0USv1f02Y2ssXDRrc1WZav+FY8l+wja2RhhU6lMTNTQ==" saltValue="9oE/c42+O8euwe/keqsloA==" spinCount="100000" sheet="1" objects="1" scenarios="1"/>
  <mergeCells count="12">
    <mergeCell ref="C15:F15"/>
    <mergeCell ref="C16:F16"/>
    <mergeCell ref="C17:F17"/>
    <mergeCell ref="B2:J2"/>
    <mergeCell ref="H5:I5"/>
    <mergeCell ref="D5:E5"/>
    <mergeCell ref="N5:O5"/>
    <mergeCell ref="J5:K5"/>
    <mergeCell ref="L5:M5"/>
    <mergeCell ref="B5:B6"/>
    <mergeCell ref="C5:C6"/>
    <mergeCell ref="F5:G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B2:Z38"/>
  <sheetViews>
    <sheetView zoomScale="80" zoomScaleNormal="80" workbookViewId="0"/>
  </sheetViews>
  <sheetFormatPr defaultColWidth="8.77734375" defaultRowHeight="13.8" x14ac:dyDescent="0.25"/>
  <cols>
    <col min="1" max="1" width="4.77734375" style="2" customWidth="1"/>
    <col min="2" max="2" width="68.21875" style="2" customWidth="1"/>
    <col min="3" max="3" width="25.21875" style="2" customWidth="1"/>
    <col min="4" max="4" width="3.5546875" style="2" customWidth="1"/>
    <col min="5" max="5" width="67.21875" style="2" customWidth="1"/>
    <col min="6" max="6" width="25.21875" style="2" customWidth="1"/>
    <col min="7" max="7" width="4.33203125" style="2" customWidth="1"/>
    <col min="8" max="8" width="67.6640625" style="2" customWidth="1"/>
    <col min="9" max="9" width="23.21875" style="2" bestFit="1" customWidth="1"/>
    <col min="10" max="10" width="4.109375" style="2" customWidth="1"/>
    <col min="11" max="11" width="59.5546875" style="2" bestFit="1" customWidth="1"/>
    <col min="12" max="12" width="23.21875" style="2" bestFit="1" customWidth="1"/>
    <col min="13" max="13" width="4.77734375" style="2" customWidth="1"/>
    <col min="14" max="14" width="59.5546875" style="2" bestFit="1" customWidth="1"/>
    <col min="15" max="15" width="23.21875" style="2" bestFit="1" customWidth="1"/>
    <col min="16" max="16" width="5" style="2" customWidth="1"/>
    <col min="17" max="17" width="63.77734375" style="2" bestFit="1" customWidth="1"/>
    <col min="18" max="18" width="23.21875" style="2" customWidth="1"/>
    <col min="19" max="16384" width="8.77734375" style="2"/>
  </cols>
  <sheetData>
    <row r="2" spans="2:26" ht="49.05" customHeight="1" x14ac:dyDescent="0.25">
      <c r="B2" s="1639" t="s">
        <v>1014</v>
      </c>
      <c r="C2" s="1639"/>
      <c r="D2" s="1597"/>
      <c r="E2" s="1597"/>
      <c r="F2" s="1597"/>
      <c r="G2" s="1597"/>
      <c r="H2" s="4"/>
    </row>
    <row r="3" spans="2:26" ht="28.2" customHeight="1" x14ac:dyDescent="0.25"/>
    <row r="4" spans="2:26" ht="160.80000000000001" customHeight="1" x14ac:dyDescent="0.25">
      <c r="B4" s="1645" t="s">
        <v>1435</v>
      </c>
      <c r="C4" s="1645"/>
      <c r="D4" s="1645"/>
      <c r="E4" s="1645"/>
      <c r="F4" s="1645"/>
      <c r="G4" s="1645"/>
      <c r="H4" s="1645"/>
      <c r="I4" s="1645"/>
      <c r="J4" s="1645"/>
    </row>
    <row r="6" spans="2:26" ht="22.2" x14ac:dyDescent="0.25">
      <c r="B6" s="1642" t="s">
        <v>1015</v>
      </c>
      <c r="C6" s="1642"/>
      <c r="E6" s="1642" t="s">
        <v>1016</v>
      </c>
      <c r="F6" s="1642"/>
      <c r="H6" s="1642" t="s">
        <v>1017</v>
      </c>
      <c r="I6" s="1642"/>
      <c r="J6" s="7"/>
      <c r="K6" s="1642" t="s">
        <v>1018</v>
      </c>
      <c r="L6" s="1642"/>
      <c r="N6" s="1642" t="s">
        <v>1019</v>
      </c>
      <c r="O6" s="1642"/>
      <c r="Q6" s="1642" t="s">
        <v>1020</v>
      </c>
      <c r="R6" s="1642"/>
    </row>
    <row r="7" spans="2:26" s="58" customFormat="1" ht="24" customHeight="1" x14ac:dyDescent="0.3">
      <c r="B7" s="755" t="s">
        <v>1023</v>
      </c>
      <c r="C7" s="752" t="s">
        <v>1022</v>
      </c>
      <c r="E7" s="751" t="s">
        <v>1023</v>
      </c>
      <c r="F7" s="752" t="s">
        <v>1022</v>
      </c>
      <c r="H7" s="751" t="s">
        <v>1021</v>
      </c>
      <c r="I7" s="752" t="s">
        <v>1022</v>
      </c>
      <c r="K7" s="751" t="s">
        <v>1023</v>
      </c>
      <c r="L7" s="752" t="s">
        <v>1022</v>
      </c>
      <c r="N7" s="751" t="s">
        <v>1023</v>
      </c>
      <c r="O7" s="752" t="s">
        <v>1022</v>
      </c>
      <c r="Q7" s="751" t="s">
        <v>1023</v>
      </c>
      <c r="R7" s="752" t="s">
        <v>1022</v>
      </c>
    </row>
    <row r="8" spans="2:26" ht="21" customHeight="1" x14ac:dyDescent="0.25">
      <c r="B8" s="716" t="s">
        <v>1024</v>
      </c>
      <c r="C8" s="756">
        <v>4</v>
      </c>
      <c r="E8" s="717" t="s">
        <v>1024</v>
      </c>
      <c r="F8" s="639">
        <v>2</v>
      </c>
      <c r="H8" s="717" t="s">
        <v>1024</v>
      </c>
      <c r="I8" s="639">
        <v>14</v>
      </c>
      <c r="K8" s="716" t="s">
        <v>1024</v>
      </c>
      <c r="L8" s="758">
        <v>12</v>
      </c>
      <c r="N8" s="716" t="s">
        <v>1024</v>
      </c>
      <c r="O8" s="758">
        <v>18</v>
      </c>
      <c r="Q8" s="716" t="s">
        <v>1024</v>
      </c>
      <c r="R8" s="758">
        <v>13</v>
      </c>
    </row>
    <row r="9" spans="2:26" ht="19.5" customHeight="1" x14ac:dyDescent="0.25">
      <c r="B9" s="541" t="s">
        <v>1025</v>
      </c>
      <c r="C9" s="756">
        <v>14</v>
      </c>
      <c r="E9" s="717" t="s">
        <v>1026</v>
      </c>
      <c r="F9" s="639">
        <v>10</v>
      </c>
      <c r="H9" s="717" t="s">
        <v>1026</v>
      </c>
      <c r="I9" s="639">
        <v>6</v>
      </c>
      <c r="K9" s="716" t="s">
        <v>1027</v>
      </c>
      <c r="L9" s="758">
        <v>0</v>
      </c>
      <c r="N9" s="716" t="s">
        <v>1027</v>
      </c>
      <c r="O9" s="758">
        <v>4</v>
      </c>
      <c r="Q9" s="716" t="s">
        <v>1027</v>
      </c>
      <c r="R9" s="758">
        <v>2</v>
      </c>
    </row>
    <row r="10" spans="2:26" ht="24" customHeight="1" x14ac:dyDescent="0.25">
      <c r="B10" s="541" t="s">
        <v>1028</v>
      </c>
      <c r="C10" s="756">
        <v>53</v>
      </c>
      <c r="E10" s="717" t="s">
        <v>1029</v>
      </c>
      <c r="F10" s="639">
        <v>44</v>
      </c>
      <c r="H10" s="717" t="s">
        <v>1029</v>
      </c>
      <c r="I10" s="639">
        <v>47</v>
      </c>
      <c r="K10" s="716" t="s">
        <v>1030</v>
      </c>
      <c r="L10" s="758">
        <v>0</v>
      </c>
      <c r="N10" s="716" t="s">
        <v>1030</v>
      </c>
      <c r="O10" s="758">
        <v>1</v>
      </c>
      <c r="Q10" s="716" t="s">
        <v>1031</v>
      </c>
      <c r="R10" s="758">
        <v>1</v>
      </c>
      <c r="T10" s="664"/>
      <c r="U10" s="664"/>
      <c r="V10" s="664"/>
      <c r="W10" s="664"/>
      <c r="X10" s="664"/>
      <c r="Y10" s="664"/>
    </row>
    <row r="11" spans="2:26" ht="18" customHeight="1" x14ac:dyDescent="0.25">
      <c r="B11" s="541" t="s">
        <v>1032</v>
      </c>
      <c r="C11" s="756">
        <v>36</v>
      </c>
      <c r="E11" s="717" t="s">
        <v>1033</v>
      </c>
      <c r="F11" s="639">
        <v>51</v>
      </c>
      <c r="H11" s="717" t="s">
        <v>1033</v>
      </c>
      <c r="I11" s="639">
        <v>56</v>
      </c>
      <c r="K11" s="716" t="s">
        <v>1034</v>
      </c>
      <c r="L11" s="758">
        <v>0</v>
      </c>
      <c r="N11" s="716" t="s">
        <v>1034</v>
      </c>
      <c r="O11" s="758">
        <v>1</v>
      </c>
      <c r="Q11" s="716" t="s">
        <v>1034</v>
      </c>
      <c r="R11" s="758">
        <v>1</v>
      </c>
      <c r="T11" s="664"/>
      <c r="U11" s="664"/>
      <c r="V11" s="664"/>
      <c r="W11" s="664"/>
      <c r="X11" s="664"/>
      <c r="Y11" s="664"/>
    </row>
    <row r="12" spans="2:26" ht="24.75" customHeight="1" x14ac:dyDescent="0.25">
      <c r="B12" s="541" t="s">
        <v>1035</v>
      </c>
      <c r="C12" s="756">
        <v>1</v>
      </c>
      <c r="E12" s="717" t="s">
        <v>1036</v>
      </c>
      <c r="F12" s="639">
        <v>1</v>
      </c>
      <c r="H12" s="717" t="s">
        <v>1036</v>
      </c>
      <c r="I12" s="639">
        <v>5</v>
      </c>
      <c r="K12" s="716" t="s">
        <v>1026</v>
      </c>
      <c r="L12" s="758">
        <v>10</v>
      </c>
      <c r="N12" s="716" t="s">
        <v>1026</v>
      </c>
      <c r="O12" s="758">
        <v>15</v>
      </c>
      <c r="Q12" s="716" t="s">
        <v>1026</v>
      </c>
      <c r="R12" s="758">
        <v>11</v>
      </c>
      <c r="T12" s="52"/>
      <c r="U12" s="52"/>
      <c r="V12" s="52"/>
      <c r="W12" s="52"/>
      <c r="X12" s="52"/>
      <c r="Y12" s="52"/>
      <c r="Z12" s="52"/>
    </row>
    <row r="13" spans="2:26" ht="32.25" customHeight="1" x14ac:dyDescent="0.25">
      <c r="B13" s="542" t="s">
        <v>1037</v>
      </c>
      <c r="C13" s="756">
        <v>12</v>
      </c>
      <c r="E13" s="717" t="s">
        <v>1038</v>
      </c>
      <c r="F13" s="639">
        <v>14</v>
      </c>
      <c r="H13" s="717" t="s">
        <v>1038</v>
      </c>
      <c r="I13" s="639">
        <v>11</v>
      </c>
      <c r="K13" s="716" t="s">
        <v>1029</v>
      </c>
      <c r="L13" s="758">
        <v>51</v>
      </c>
      <c r="N13" s="716" t="s">
        <v>1029</v>
      </c>
      <c r="O13" s="758">
        <v>44</v>
      </c>
      <c r="Q13" s="716" t="s">
        <v>1039</v>
      </c>
      <c r="R13" s="758">
        <v>58</v>
      </c>
      <c r="Z13" s="52"/>
    </row>
    <row r="14" spans="2:26" ht="20.25" customHeight="1" x14ac:dyDescent="0.25">
      <c r="B14" s="541" t="s">
        <v>1040</v>
      </c>
      <c r="C14" s="756">
        <v>1</v>
      </c>
      <c r="E14" s="717" t="s">
        <v>1041</v>
      </c>
      <c r="F14" s="639">
        <v>2</v>
      </c>
      <c r="H14" s="717" t="s">
        <v>1041</v>
      </c>
      <c r="I14" s="639">
        <v>2</v>
      </c>
      <c r="K14" s="716" t="s">
        <v>1033</v>
      </c>
      <c r="L14" s="758">
        <v>56</v>
      </c>
      <c r="N14" s="716" t="s">
        <v>1033</v>
      </c>
      <c r="O14" s="758">
        <v>18</v>
      </c>
      <c r="Q14" s="716" t="s">
        <v>1033</v>
      </c>
      <c r="R14" s="758">
        <v>7</v>
      </c>
      <c r="T14" s="664"/>
      <c r="U14" s="664"/>
      <c r="V14" s="664"/>
      <c r="W14" s="664"/>
      <c r="X14" s="664"/>
      <c r="Y14" s="664"/>
      <c r="Z14" s="52"/>
    </row>
    <row r="15" spans="2:26" ht="32.4" x14ac:dyDescent="0.25">
      <c r="B15" s="541" t="s">
        <v>1042</v>
      </c>
      <c r="C15" s="756">
        <v>2</v>
      </c>
      <c r="E15" s="717" t="s">
        <v>1043</v>
      </c>
      <c r="F15" s="639">
        <v>0</v>
      </c>
      <c r="H15" s="717" t="s">
        <v>1043</v>
      </c>
      <c r="I15" s="639">
        <v>1</v>
      </c>
      <c r="K15" s="716" t="s">
        <v>1036</v>
      </c>
      <c r="L15" s="758">
        <v>7</v>
      </c>
      <c r="N15" s="716" t="s">
        <v>1036</v>
      </c>
      <c r="O15" s="758">
        <v>3</v>
      </c>
      <c r="Q15" s="716" t="s">
        <v>1044</v>
      </c>
      <c r="R15" s="758">
        <v>6</v>
      </c>
      <c r="T15" s="664" t="s">
        <v>436</v>
      </c>
      <c r="U15" s="664" t="s">
        <v>435</v>
      </c>
      <c r="V15" s="664" t="s">
        <v>434</v>
      </c>
      <c r="W15" s="664" t="s">
        <v>433</v>
      </c>
      <c r="X15" s="664" t="s">
        <v>432</v>
      </c>
      <c r="Y15" s="664" t="s">
        <v>431</v>
      </c>
    </row>
    <row r="16" spans="2:26" ht="34.049999999999997" customHeight="1" x14ac:dyDescent="0.25">
      <c r="B16" s="541" t="s">
        <v>1045</v>
      </c>
      <c r="C16" s="756">
        <v>4</v>
      </c>
      <c r="E16" s="717" t="s">
        <v>1045</v>
      </c>
      <c r="F16" s="639">
        <v>3</v>
      </c>
      <c r="H16" s="717" t="s">
        <v>1045</v>
      </c>
      <c r="I16" s="639">
        <v>4</v>
      </c>
      <c r="K16" s="716" t="s">
        <v>1038</v>
      </c>
      <c r="L16" s="758">
        <v>17</v>
      </c>
      <c r="N16" s="716" t="s">
        <v>1038</v>
      </c>
      <c r="O16" s="758">
        <v>12</v>
      </c>
      <c r="Q16" s="716" t="s">
        <v>1038</v>
      </c>
      <c r="R16" s="758">
        <v>7</v>
      </c>
      <c r="T16" s="664">
        <f>R22</f>
        <v>123</v>
      </c>
      <c r="U16" s="664">
        <f>O22</f>
        <v>129</v>
      </c>
      <c r="V16" s="664">
        <f>L24</f>
        <v>158</v>
      </c>
      <c r="W16" s="664">
        <f>I19</f>
        <v>153</v>
      </c>
      <c r="X16" s="664">
        <f>F21</f>
        <v>138</v>
      </c>
      <c r="Y16" s="664">
        <f>C21</f>
        <v>147</v>
      </c>
    </row>
    <row r="17" spans="2:25" ht="22.5" customHeight="1" x14ac:dyDescent="0.25">
      <c r="B17" s="541" t="s">
        <v>1046</v>
      </c>
      <c r="C17" s="756">
        <v>6</v>
      </c>
      <c r="E17" s="717" t="s">
        <v>1047</v>
      </c>
      <c r="F17" s="639">
        <v>3</v>
      </c>
      <c r="H17" s="717" t="s">
        <v>1047</v>
      </c>
      <c r="I17" s="639">
        <v>6</v>
      </c>
      <c r="K17" s="716" t="s">
        <v>1048</v>
      </c>
      <c r="L17" s="758">
        <v>0</v>
      </c>
      <c r="N17" s="716" t="s">
        <v>1048</v>
      </c>
      <c r="O17" s="758">
        <v>1</v>
      </c>
      <c r="Q17" s="716" t="s">
        <v>1049</v>
      </c>
      <c r="R17" s="758">
        <v>5</v>
      </c>
      <c r="T17" s="664"/>
      <c r="U17" s="664"/>
      <c r="V17" s="664"/>
      <c r="W17" s="664"/>
      <c r="X17" s="664"/>
      <c r="Y17" s="664"/>
    </row>
    <row r="18" spans="2:25" ht="20.25" customHeight="1" x14ac:dyDescent="0.25">
      <c r="B18" s="541" t="s">
        <v>1050</v>
      </c>
      <c r="C18" s="756">
        <v>5</v>
      </c>
      <c r="E18" s="716" t="s">
        <v>1051</v>
      </c>
      <c r="F18" s="639">
        <v>1</v>
      </c>
      <c r="H18" s="716" t="s">
        <v>1051</v>
      </c>
      <c r="I18" s="639">
        <v>1</v>
      </c>
      <c r="K18" s="716" t="s">
        <v>1052</v>
      </c>
      <c r="L18" s="758">
        <v>2</v>
      </c>
      <c r="N18" s="716" t="s">
        <v>1052</v>
      </c>
      <c r="O18" s="758">
        <v>5</v>
      </c>
      <c r="Q18" s="716" t="s">
        <v>1052</v>
      </c>
      <c r="R18" s="758">
        <v>8</v>
      </c>
    </row>
    <row r="19" spans="2:25" ht="32.25" customHeight="1" x14ac:dyDescent="0.25">
      <c r="B19" s="542" t="s">
        <v>1053</v>
      </c>
      <c r="C19" s="756">
        <v>1</v>
      </c>
      <c r="E19" s="716" t="s">
        <v>1054</v>
      </c>
      <c r="F19" s="639">
        <v>5</v>
      </c>
      <c r="H19" s="718" t="s">
        <v>708</v>
      </c>
      <c r="I19" s="757">
        <f>SUM(I8:I18)</f>
        <v>153</v>
      </c>
      <c r="K19" s="716" t="s">
        <v>1057</v>
      </c>
      <c r="L19" s="758">
        <v>1</v>
      </c>
      <c r="N19" s="716" t="s">
        <v>1057</v>
      </c>
      <c r="O19" s="758">
        <v>1</v>
      </c>
      <c r="Q19" s="716" t="s">
        <v>1058</v>
      </c>
      <c r="R19" s="758">
        <v>1</v>
      </c>
    </row>
    <row r="20" spans="2:25" ht="33.450000000000003" customHeight="1" x14ac:dyDescent="0.25">
      <c r="B20" s="541" t="s">
        <v>1055</v>
      </c>
      <c r="C20" s="756">
        <v>8</v>
      </c>
      <c r="E20" s="716" t="s">
        <v>1056</v>
      </c>
      <c r="F20" s="639">
        <v>2</v>
      </c>
      <c r="H20" s="1502" t="s">
        <v>1450</v>
      </c>
      <c r="I20" s="1502"/>
      <c r="K20" s="716" t="s">
        <v>1059</v>
      </c>
      <c r="L20" s="758">
        <v>0</v>
      </c>
      <c r="N20" s="716" t="s">
        <v>1059</v>
      </c>
      <c r="O20" s="758">
        <v>1</v>
      </c>
      <c r="Q20" s="716" t="s">
        <v>1051</v>
      </c>
      <c r="R20" s="758">
        <v>1</v>
      </c>
    </row>
    <row r="21" spans="2:25" ht="22.5" customHeight="1" x14ac:dyDescent="0.25">
      <c r="B21" s="718" t="s">
        <v>708</v>
      </c>
      <c r="C21" s="638">
        <f>SUM(C8:C20)</f>
        <v>147</v>
      </c>
      <c r="E21" s="718" t="s">
        <v>708</v>
      </c>
      <c r="F21" s="757">
        <f>SUM(F8:F20)</f>
        <v>138</v>
      </c>
      <c r="K21" s="716" t="s">
        <v>1060</v>
      </c>
      <c r="L21" s="758">
        <v>0</v>
      </c>
      <c r="N21" s="716" t="s">
        <v>1060</v>
      </c>
      <c r="O21" s="758">
        <v>5</v>
      </c>
      <c r="Q21" s="716" t="s">
        <v>1060</v>
      </c>
      <c r="R21" s="758">
        <v>2</v>
      </c>
    </row>
    <row r="22" spans="2:25" ht="38.25" customHeight="1" x14ac:dyDescent="0.25">
      <c r="B22" s="1502"/>
      <c r="C22" s="1502"/>
      <c r="E22" s="1502"/>
      <c r="F22" s="1502"/>
      <c r="K22" s="716" t="s">
        <v>1031</v>
      </c>
      <c r="L22" s="758">
        <v>1</v>
      </c>
      <c r="N22" s="718" t="s">
        <v>708</v>
      </c>
      <c r="O22" s="759">
        <f>SUM(O8:O21)</f>
        <v>129</v>
      </c>
      <c r="Q22" s="718" t="s">
        <v>708</v>
      </c>
      <c r="R22" s="759">
        <f>SUM(R8:R21)</f>
        <v>123</v>
      </c>
    </row>
    <row r="23" spans="2:25" ht="16.2" x14ac:dyDescent="0.25">
      <c r="K23" s="716" t="s">
        <v>1058</v>
      </c>
      <c r="L23" s="758">
        <v>1</v>
      </c>
    </row>
    <row r="24" spans="2:25" ht="16.2" x14ac:dyDescent="0.25">
      <c r="K24" s="718" t="s">
        <v>708</v>
      </c>
      <c r="L24" s="759">
        <f>SUM(L8:L23)</f>
        <v>158</v>
      </c>
    </row>
    <row r="27" spans="2:25" s="58" customFormat="1" ht="21" customHeight="1" x14ac:dyDescent="0.3">
      <c r="B27" s="1644" t="s">
        <v>1061</v>
      </c>
      <c r="C27" s="1644"/>
      <c r="E27" s="1644" t="s">
        <v>1062</v>
      </c>
      <c r="F27" s="1644"/>
      <c r="H27" s="1643" t="s">
        <v>1063</v>
      </c>
      <c r="I27" s="1643"/>
      <c r="J27" s="66"/>
      <c r="L27" s="66"/>
      <c r="M27" s="66"/>
    </row>
    <row r="28" spans="2:25" s="58" customFormat="1" ht="45" customHeight="1" x14ac:dyDescent="0.3">
      <c r="B28" s="747" t="s">
        <v>1064</v>
      </c>
      <c r="C28" s="748" t="s">
        <v>1022</v>
      </c>
      <c r="D28" s="505"/>
      <c r="E28" s="747" t="s">
        <v>1064</v>
      </c>
      <c r="F28" s="748" t="s">
        <v>1022</v>
      </c>
      <c r="H28" s="751" t="s">
        <v>1064</v>
      </c>
      <c r="I28" s="752" t="s">
        <v>1022</v>
      </c>
    </row>
    <row r="29" spans="2:25" ht="16.2" x14ac:dyDescent="0.3">
      <c r="B29" s="749" t="s">
        <v>1065</v>
      </c>
      <c r="C29" s="750">
        <v>5</v>
      </c>
      <c r="E29" s="749" t="s">
        <v>1065</v>
      </c>
      <c r="F29" s="750">
        <v>14</v>
      </c>
      <c r="H29" s="717" t="s">
        <v>1065</v>
      </c>
      <c r="I29" s="753">
        <v>4</v>
      </c>
    </row>
    <row r="30" spans="2:25" ht="16.2" x14ac:dyDescent="0.3">
      <c r="B30" s="749" t="s">
        <v>1066</v>
      </c>
      <c r="C30" s="750">
        <v>15</v>
      </c>
      <c r="E30" s="749" t="s">
        <v>1066</v>
      </c>
      <c r="F30" s="750">
        <v>7</v>
      </c>
      <c r="H30" s="717" t="s">
        <v>1066</v>
      </c>
      <c r="I30" s="753">
        <v>3</v>
      </c>
    </row>
    <row r="31" spans="2:25" ht="16.2" x14ac:dyDescent="0.3">
      <c r="B31" s="749" t="s">
        <v>1067</v>
      </c>
      <c r="C31" s="750">
        <v>26</v>
      </c>
      <c r="E31" s="749" t="s">
        <v>1067</v>
      </c>
      <c r="F31" s="750">
        <v>39</v>
      </c>
      <c r="H31" s="717" t="s">
        <v>1068</v>
      </c>
      <c r="I31" s="753">
        <v>21</v>
      </c>
    </row>
    <row r="32" spans="2:25" ht="16.2" x14ac:dyDescent="0.3">
      <c r="B32" s="749" t="s">
        <v>1069</v>
      </c>
      <c r="C32" s="750">
        <v>65</v>
      </c>
      <c r="E32" s="749" t="s">
        <v>1069</v>
      </c>
      <c r="F32" s="750">
        <v>46</v>
      </c>
      <c r="H32" s="717" t="s">
        <v>1070</v>
      </c>
      <c r="I32" s="753">
        <v>34</v>
      </c>
    </row>
    <row r="33" spans="2:9" ht="16.2" x14ac:dyDescent="0.3">
      <c r="B33" s="749" t="s">
        <v>1071</v>
      </c>
      <c r="C33" s="750">
        <v>17</v>
      </c>
      <c r="E33" s="749" t="s">
        <v>1071</v>
      </c>
      <c r="F33" s="750">
        <v>11</v>
      </c>
      <c r="G33" s="6"/>
      <c r="H33" s="717" t="s">
        <v>1071</v>
      </c>
      <c r="I33" s="753">
        <v>28</v>
      </c>
    </row>
    <row r="34" spans="2:9" ht="16.2" x14ac:dyDescent="0.3">
      <c r="B34" s="749" t="s">
        <v>1072</v>
      </c>
      <c r="C34" s="750">
        <v>14</v>
      </c>
      <c r="E34" s="749" t="s">
        <v>1072</v>
      </c>
      <c r="F34" s="750">
        <v>4</v>
      </c>
      <c r="H34" s="717" t="s">
        <v>1073</v>
      </c>
      <c r="I34" s="753">
        <v>16</v>
      </c>
    </row>
    <row r="35" spans="2:9" ht="16.2" x14ac:dyDescent="0.3">
      <c r="B35" s="749" t="s">
        <v>1074</v>
      </c>
      <c r="C35" s="750">
        <v>13</v>
      </c>
      <c r="E35" s="749" t="s">
        <v>1074</v>
      </c>
      <c r="F35" s="750">
        <v>8</v>
      </c>
      <c r="H35" s="717" t="s">
        <v>1075</v>
      </c>
      <c r="I35" s="753">
        <v>21</v>
      </c>
    </row>
    <row r="36" spans="2:9" ht="16.2" x14ac:dyDescent="0.3">
      <c r="B36" s="749" t="s">
        <v>1076</v>
      </c>
      <c r="C36" s="750">
        <v>14</v>
      </c>
      <c r="E36" s="749" t="s">
        <v>1076</v>
      </c>
      <c r="F36" s="750">
        <v>8</v>
      </c>
      <c r="H36" s="717" t="s">
        <v>1077</v>
      </c>
      <c r="I36" s="753">
        <v>6</v>
      </c>
    </row>
    <row r="37" spans="2:9" ht="16.2" x14ac:dyDescent="0.3">
      <c r="B37" s="749" t="s">
        <v>1045</v>
      </c>
      <c r="C37" s="750">
        <v>16</v>
      </c>
      <c r="E37" s="749" t="s">
        <v>1045</v>
      </c>
      <c r="F37" s="750">
        <v>5</v>
      </c>
    </row>
    <row r="38" spans="2:9" ht="16.2" x14ac:dyDescent="0.3">
      <c r="B38" s="749" t="s">
        <v>1078</v>
      </c>
      <c r="C38" s="750">
        <v>62</v>
      </c>
      <c r="E38" s="749" t="s">
        <v>1078</v>
      </c>
      <c r="F38" s="750">
        <v>65</v>
      </c>
    </row>
  </sheetData>
  <sheetProtection algorithmName="SHA-512" hashValue="TrK3BG2JqAxIqU7VZ9tc3lvJfNcxFvKUiEsDW2xoh3fDLI7W6U5IipMmCTxIp8E/VB3jYV4i9Oa1LckZ23PxVw==" saltValue="a/92ORELgzdq3zD5ihRVQw==" spinCount="100000" sheet="1" objects="1" scenarios="1"/>
  <mergeCells count="14">
    <mergeCell ref="B6:C6"/>
    <mergeCell ref="B22:C22"/>
    <mergeCell ref="B27:C27"/>
    <mergeCell ref="B4:J4"/>
    <mergeCell ref="B2:G2"/>
    <mergeCell ref="E6:F6"/>
    <mergeCell ref="E22:F22"/>
    <mergeCell ref="E27:F27"/>
    <mergeCell ref="Q6:R6"/>
    <mergeCell ref="H6:I6"/>
    <mergeCell ref="H27:I27"/>
    <mergeCell ref="K6:L6"/>
    <mergeCell ref="N6:O6"/>
    <mergeCell ref="H20:I20"/>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K25"/>
  <sheetViews>
    <sheetView zoomScale="80" zoomScaleNormal="80" workbookViewId="0"/>
  </sheetViews>
  <sheetFormatPr defaultColWidth="8.77734375" defaultRowHeight="13.8" x14ac:dyDescent="0.25"/>
  <cols>
    <col min="1" max="1" width="2.5546875" style="2" customWidth="1"/>
    <col min="2" max="2" width="40.77734375" style="2" customWidth="1"/>
    <col min="3" max="3" width="38.5546875" style="2" customWidth="1"/>
    <col min="4" max="4" width="26.77734375" style="2" customWidth="1"/>
    <col min="5" max="5" width="13" style="2" customWidth="1"/>
    <col min="6" max="7" width="13.21875" style="2" customWidth="1"/>
    <col min="8" max="8" width="12.44140625" style="2" customWidth="1"/>
    <col min="9" max="9" width="11.77734375" style="2" customWidth="1"/>
    <col min="10" max="10" width="12.21875" style="2" customWidth="1"/>
    <col min="11" max="11" width="15.44140625" style="2" customWidth="1"/>
    <col min="12" max="16384" width="8.77734375" style="2"/>
  </cols>
  <sheetData>
    <row r="2" spans="2:11" ht="50.1" customHeight="1" x14ac:dyDescent="0.4">
      <c r="B2" s="1646" t="s">
        <v>1079</v>
      </c>
      <c r="C2" s="1647"/>
      <c r="D2" s="1647"/>
      <c r="E2" s="1647"/>
      <c r="F2" s="1647"/>
      <c r="G2" s="1647"/>
      <c r="H2" s="1647"/>
    </row>
    <row r="3" spans="2:11" ht="26.1" customHeight="1" x14ac:dyDescent="0.25">
      <c r="B3" s="65"/>
    </row>
    <row r="4" spans="2:11" ht="15.6" customHeight="1" x14ac:dyDescent="0.25">
      <c r="B4" s="1648" t="s">
        <v>1451</v>
      </c>
      <c r="C4" s="1648"/>
      <c r="D4" s="1648"/>
      <c r="E4" s="1648"/>
      <c r="F4" s="1648"/>
      <c r="G4" s="1648"/>
      <c r="H4" s="1648"/>
      <c r="I4" s="1648"/>
      <c r="J4" s="538"/>
    </row>
    <row r="5" spans="2:11" x14ac:dyDescent="0.25">
      <c r="B5" s="537"/>
      <c r="C5" s="537"/>
      <c r="D5" s="537"/>
      <c r="E5" s="537"/>
      <c r="F5" s="537"/>
      <c r="G5" s="537"/>
      <c r="H5" s="537"/>
      <c r="I5" s="537"/>
      <c r="J5" s="537"/>
    </row>
    <row r="6" spans="2:11" s="58" customFormat="1" ht="37.799999999999997" x14ac:dyDescent="0.3">
      <c r="B6" s="602" t="s">
        <v>1080</v>
      </c>
      <c r="C6" s="603" t="s">
        <v>1081</v>
      </c>
      <c r="D6" s="602" t="s">
        <v>1082</v>
      </c>
      <c r="E6" s="602" t="s">
        <v>431</v>
      </c>
      <c r="F6" s="596" t="s">
        <v>432</v>
      </c>
      <c r="G6" s="596" t="s">
        <v>433</v>
      </c>
      <c r="H6" s="596" t="s">
        <v>434</v>
      </c>
      <c r="I6" s="596" t="s">
        <v>435</v>
      </c>
      <c r="J6" s="596" t="s">
        <v>436</v>
      </c>
      <c r="K6" s="598" t="s">
        <v>557</v>
      </c>
    </row>
    <row r="7" spans="2:11" ht="16.2" x14ac:dyDescent="0.3">
      <c r="B7" s="579" t="s">
        <v>1083</v>
      </c>
      <c r="C7" s="575" t="s">
        <v>1084</v>
      </c>
      <c r="D7" s="572" t="s">
        <v>1085</v>
      </c>
      <c r="E7" s="653">
        <v>530</v>
      </c>
      <c r="F7" s="561">
        <v>440</v>
      </c>
      <c r="G7" s="561">
        <v>594</v>
      </c>
      <c r="H7" s="648">
        <v>168</v>
      </c>
      <c r="I7" s="649">
        <v>1374</v>
      </c>
      <c r="J7" s="578">
        <v>940</v>
      </c>
      <c r="K7" s="656">
        <f>(E7-F7)/F7</f>
        <v>0.20454545454545456</v>
      </c>
    </row>
    <row r="8" spans="2:11" ht="16.2" x14ac:dyDescent="0.3">
      <c r="B8" s="579" t="s">
        <v>1086</v>
      </c>
      <c r="C8" s="575" t="s">
        <v>1087</v>
      </c>
      <c r="D8" s="572" t="s">
        <v>1085</v>
      </c>
      <c r="E8" s="654">
        <v>671</v>
      </c>
      <c r="F8" s="650">
        <v>573</v>
      </c>
      <c r="G8" s="650">
        <v>479</v>
      </c>
      <c r="H8" s="552">
        <v>283</v>
      </c>
      <c r="I8" s="552">
        <v>98</v>
      </c>
      <c r="J8" s="552">
        <v>573</v>
      </c>
      <c r="K8" s="656">
        <f>(E8-F8)/F8</f>
        <v>0.17102966841186737</v>
      </c>
    </row>
    <row r="9" spans="2:11" ht="16.2" x14ac:dyDescent="0.3">
      <c r="B9" s="553" t="s">
        <v>708</v>
      </c>
      <c r="C9" s="576"/>
      <c r="D9" s="573" t="s">
        <v>1085</v>
      </c>
      <c r="E9" s="655">
        <v>1201</v>
      </c>
      <c r="F9" s="581">
        <v>1013</v>
      </c>
      <c r="G9" s="581">
        <f>SUM(G7:G8)</f>
        <v>1073</v>
      </c>
      <c r="H9" s="581">
        <f>SUM(H7:H8)</f>
        <v>451</v>
      </c>
      <c r="I9" s="581">
        <f>SUM(I7:I8)</f>
        <v>1472</v>
      </c>
      <c r="J9" s="581">
        <f>SUM(J7:J8)</f>
        <v>1513</v>
      </c>
      <c r="K9" s="657">
        <f>(E9-F9)/F9</f>
        <v>0.18558736426456071</v>
      </c>
    </row>
    <row r="10" spans="2:11" ht="16.2" x14ac:dyDescent="0.3">
      <c r="B10" s="554"/>
      <c r="C10" s="577"/>
      <c r="D10" s="574"/>
      <c r="E10" s="580"/>
      <c r="F10" s="651"/>
      <c r="G10" s="651"/>
      <c r="H10" s="651"/>
      <c r="I10" s="651"/>
      <c r="J10" s="582"/>
      <c r="K10" s="555"/>
    </row>
    <row r="11" spans="2:11" ht="16.2" x14ac:dyDescent="0.3">
      <c r="B11" s="722" t="s">
        <v>1088</v>
      </c>
      <c r="C11" s="1649" t="s">
        <v>1089</v>
      </c>
      <c r="D11" s="1652" t="s">
        <v>1090</v>
      </c>
      <c r="E11" s="655">
        <v>2717</v>
      </c>
      <c r="F11" s="652">
        <v>2245.5</v>
      </c>
      <c r="G11" s="652">
        <v>2063</v>
      </c>
      <c r="H11" s="652">
        <v>1322</v>
      </c>
      <c r="I11" s="552">
        <v>431</v>
      </c>
      <c r="J11" s="583">
        <v>2682</v>
      </c>
      <c r="K11" s="658">
        <f>(E11-F11)/F11</f>
        <v>0.20997550656869293</v>
      </c>
    </row>
    <row r="12" spans="2:11" ht="16.2" x14ac:dyDescent="0.3">
      <c r="B12" s="527" t="s">
        <v>815</v>
      </c>
      <c r="C12" s="1650"/>
      <c r="D12" s="1653"/>
      <c r="E12" s="678">
        <v>581.5</v>
      </c>
      <c r="F12" s="652">
        <v>503</v>
      </c>
      <c r="I12" s="97"/>
    </row>
    <row r="13" spans="2:11" ht="16.2" x14ac:dyDescent="0.3">
      <c r="B13" s="527" t="s">
        <v>816</v>
      </c>
      <c r="C13" s="1650"/>
      <c r="D13" s="1653"/>
      <c r="E13" s="678">
        <v>1181</v>
      </c>
      <c r="F13" s="652">
        <v>197</v>
      </c>
      <c r="I13" s="325"/>
    </row>
    <row r="14" spans="2:11" ht="16.2" x14ac:dyDescent="0.3">
      <c r="B14" s="527" t="s">
        <v>817</v>
      </c>
      <c r="C14" s="1650"/>
      <c r="D14" s="1653"/>
      <c r="E14" s="678">
        <v>412</v>
      </c>
      <c r="F14" s="652">
        <v>419</v>
      </c>
    </row>
    <row r="15" spans="2:11" ht="16.2" x14ac:dyDescent="0.3">
      <c r="B15" s="527" t="s">
        <v>818</v>
      </c>
      <c r="C15" s="1650"/>
      <c r="D15" s="1653"/>
      <c r="E15" s="678">
        <v>509</v>
      </c>
      <c r="F15" s="652">
        <v>639.5</v>
      </c>
    </row>
    <row r="16" spans="2:11" ht="16.2" x14ac:dyDescent="0.3">
      <c r="B16" s="527" t="s">
        <v>819</v>
      </c>
      <c r="C16" s="1651"/>
      <c r="D16" s="1654"/>
      <c r="E16" s="678">
        <v>33</v>
      </c>
      <c r="F16" s="652">
        <v>487</v>
      </c>
    </row>
    <row r="21" spans="3:8" x14ac:dyDescent="0.25">
      <c r="F21" s="325"/>
      <c r="G21" s="325"/>
    </row>
    <row r="22" spans="3:8" x14ac:dyDescent="0.25">
      <c r="F22" s="325"/>
      <c r="G22" s="325"/>
      <c r="H22" s="326"/>
    </row>
    <row r="25" spans="3:8" x14ac:dyDescent="0.25">
      <c r="C25" s="72"/>
      <c r="D25" s="72"/>
      <c r="E25" s="72"/>
    </row>
  </sheetData>
  <sheetProtection algorithmName="SHA-512" hashValue="DAkY9GMra8DGy1F6Q+I/pdtIFrLyI0u7tRJ8xSC2OOieeEweumKWqKdVPeMLwnHvw8iwFszy9bFyVbeaiesfDg==" saltValue="kmdo09+JDAkMkTJne6PW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codeName="Sheet20">
    <tabColor theme="7"/>
    <pageSetUpPr fitToPage="1"/>
  </sheetPr>
  <dimension ref="B2:T34"/>
  <sheetViews>
    <sheetView zoomScale="80" zoomScaleNormal="80" workbookViewId="0"/>
  </sheetViews>
  <sheetFormatPr defaultColWidth="8.77734375" defaultRowHeight="13.8" x14ac:dyDescent="0.25"/>
  <cols>
    <col min="1" max="1" width="2.44140625" style="2" customWidth="1"/>
    <col min="2" max="2" width="98.77734375" style="2" customWidth="1"/>
    <col min="3" max="3" width="20.44140625" style="2" customWidth="1"/>
    <col min="4" max="4" width="16.77734375" style="2" customWidth="1"/>
    <col min="5" max="5" width="17" style="2" customWidth="1"/>
    <col min="6" max="6" width="17.5546875" style="2" customWidth="1"/>
    <col min="7" max="19" width="8.77734375" style="2"/>
    <col min="20" max="20" width="10.5546875" style="2" customWidth="1"/>
    <col min="21" max="16384" width="8.77734375" style="2"/>
  </cols>
  <sheetData>
    <row r="2" spans="2:20" ht="72" customHeight="1" x14ac:dyDescent="0.25">
      <c r="B2" s="1639" t="s">
        <v>27</v>
      </c>
      <c r="C2" s="1639"/>
      <c r="D2" s="1597"/>
      <c r="E2" s="1597"/>
      <c r="F2" s="1597"/>
      <c r="G2" s="1597"/>
      <c r="H2" s="1597"/>
      <c r="I2" s="1597"/>
      <c r="J2" s="1597"/>
      <c r="K2" s="1597"/>
    </row>
    <row r="3" spans="2:20" ht="13.05" customHeight="1" x14ac:dyDescent="0.25"/>
    <row r="4" spans="2:20" ht="85.05" customHeight="1" x14ac:dyDescent="0.25">
      <c r="B4" s="1655" t="s">
        <v>1452</v>
      </c>
      <c r="C4" s="1655"/>
      <c r="D4" s="1655"/>
      <c r="E4" s="1655"/>
      <c r="F4" s="1655"/>
      <c r="G4" s="1655"/>
      <c r="H4" s="1655"/>
      <c r="I4" s="1655"/>
      <c r="J4" s="1655"/>
      <c r="K4" s="1655"/>
      <c r="L4" s="1655"/>
      <c r="M4" s="1655"/>
      <c r="N4" s="1655"/>
      <c r="O4" s="1655"/>
      <c r="T4" s="1414"/>
    </row>
    <row r="5" spans="2:20" ht="14.4" x14ac:dyDescent="0.3">
      <c r="B5" s="1415" t="s">
        <v>1436</v>
      </c>
      <c r="C5" s="1415"/>
      <c r="D5" s="6"/>
      <c r="E5" s="6"/>
      <c r="F5" s="6"/>
      <c r="G5" s="6"/>
      <c r="H5" s="6"/>
      <c r="I5" s="6"/>
      <c r="J5" s="6"/>
      <c r="K5" s="6"/>
    </row>
    <row r="6" spans="2:20" x14ac:dyDescent="0.25">
      <c r="B6" s="6"/>
      <c r="C6" s="6"/>
      <c r="D6" s="6"/>
      <c r="E6" s="6"/>
      <c r="F6" s="6"/>
      <c r="G6" s="6"/>
      <c r="H6" s="6"/>
      <c r="I6" s="6"/>
      <c r="J6" s="6"/>
      <c r="K6" s="6"/>
    </row>
    <row r="7" spans="2:20" ht="36" customHeight="1" x14ac:dyDescent="0.25">
      <c r="B7" s="603" t="s">
        <v>1091</v>
      </c>
      <c r="C7" s="633" t="s">
        <v>1092</v>
      </c>
      <c r="D7" s="633" t="s">
        <v>1093</v>
      </c>
    </row>
    <row r="8" spans="2:20" ht="16.2" x14ac:dyDescent="0.3">
      <c r="B8" s="542" t="s">
        <v>1094</v>
      </c>
      <c r="C8" s="1416">
        <v>7420</v>
      </c>
      <c r="D8" s="1417">
        <v>500</v>
      </c>
    </row>
    <row r="9" spans="2:20" ht="16.2" x14ac:dyDescent="0.3">
      <c r="B9" s="542" t="s">
        <v>1095</v>
      </c>
      <c r="C9" s="1418">
        <v>0.82899999999999996</v>
      </c>
      <c r="D9" s="1417" t="s">
        <v>1096</v>
      </c>
    </row>
    <row r="10" spans="2:20" ht="16.2" x14ac:dyDescent="0.3">
      <c r="B10" s="1419" t="s">
        <v>1097</v>
      </c>
      <c r="C10" s="1416">
        <v>701</v>
      </c>
      <c r="D10" s="1417">
        <v>19</v>
      </c>
    </row>
    <row r="11" spans="2:20" ht="16.2" x14ac:dyDescent="0.3">
      <c r="B11" s="1004" t="s">
        <v>1098</v>
      </c>
      <c r="C11" s="1420">
        <v>2.7E-2</v>
      </c>
      <c r="D11" s="1417" t="s">
        <v>1096</v>
      </c>
    </row>
    <row r="12" spans="2:20" ht="16.2" x14ac:dyDescent="0.3">
      <c r="B12" s="1419" t="s">
        <v>1099</v>
      </c>
      <c r="C12" s="1416">
        <v>77</v>
      </c>
      <c r="D12" s="1417">
        <v>9</v>
      </c>
    </row>
    <row r="13" spans="2:20" ht="16.2" x14ac:dyDescent="0.3">
      <c r="B13" s="1004" t="s">
        <v>1325</v>
      </c>
      <c r="C13" s="1420">
        <v>1E-3</v>
      </c>
      <c r="D13" s="1417" t="s">
        <v>1096</v>
      </c>
    </row>
    <row r="14" spans="2:20" ht="16.2" x14ac:dyDescent="0.3">
      <c r="B14" s="556" t="s">
        <v>1100</v>
      </c>
      <c r="C14" s="1416">
        <v>28</v>
      </c>
      <c r="D14" s="1417" t="s">
        <v>1096</v>
      </c>
    </row>
    <row r="15" spans="2:20" ht="32.4" x14ac:dyDescent="0.3">
      <c r="B15" s="556" t="s">
        <v>1101</v>
      </c>
      <c r="C15" s="1418">
        <v>1</v>
      </c>
      <c r="D15" s="1417" t="s">
        <v>1096</v>
      </c>
    </row>
    <row r="17" spans="2:6" ht="66.599999999999994" customHeight="1" x14ac:dyDescent="0.25">
      <c r="B17" s="602" t="s">
        <v>1290</v>
      </c>
      <c r="C17" s="633" t="s">
        <v>1102</v>
      </c>
      <c r="D17" s="633" t="s">
        <v>1103</v>
      </c>
      <c r="E17" s="633" t="s">
        <v>1104</v>
      </c>
      <c r="F17" s="633" t="s">
        <v>1105</v>
      </c>
    </row>
    <row r="18" spans="2:6" ht="16.2" x14ac:dyDescent="0.3">
      <c r="B18" s="542" t="s">
        <v>1106</v>
      </c>
      <c r="C18" s="1418">
        <v>0.44</v>
      </c>
      <c r="D18" s="1421">
        <v>0.39</v>
      </c>
      <c r="E18" s="1421">
        <v>0.38</v>
      </c>
      <c r="F18" s="1421">
        <v>0.25</v>
      </c>
    </row>
    <row r="19" spans="2:6" ht="16.2" x14ac:dyDescent="0.3">
      <c r="B19" s="556" t="s">
        <v>1107</v>
      </c>
      <c r="C19" s="1418">
        <v>0.02</v>
      </c>
      <c r="D19" s="1421">
        <v>0.02</v>
      </c>
      <c r="E19" s="1422">
        <v>7.0000000000000007E-2</v>
      </c>
      <c r="F19" s="1422">
        <v>2E-3</v>
      </c>
    </row>
    <row r="20" spans="2:6" ht="32.4" x14ac:dyDescent="0.3">
      <c r="B20" s="556" t="s">
        <v>1108</v>
      </c>
      <c r="C20" s="1418">
        <v>0.54</v>
      </c>
      <c r="D20" s="1421">
        <v>0.56999999999999995</v>
      </c>
      <c r="E20" s="1421">
        <v>0.52</v>
      </c>
      <c r="F20" s="1421">
        <v>0.73</v>
      </c>
    </row>
    <row r="22" spans="2:6" ht="40.35" customHeight="1" x14ac:dyDescent="0.25">
      <c r="B22" s="603" t="s">
        <v>1109</v>
      </c>
      <c r="C22" s="633" t="s">
        <v>1092</v>
      </c>
      <c r="D22" s="633" t="s">
        <v>1093</v>
      </c>
    </row>
    <row r="23" spans="2:6" ht="16.2" x14ac:dyDescent="0.3">
      <c r="B23" s="1423" t="s">
        <v>1110</v>
      </c>
      <c r="C23" s="1416">
        <v>26</v>
      </c>
      <c r="D23" s="1424">
        <v>71</v>
      </c>
    </row>
    <row r="24" spans="2:6" ht="16.2" x14ac:dyDescent="0.3">
      <c r="B24" s="1423" t="s">
        <v>1111</v>
      </c>
      <c r="C24" s="1416">
        <v>21</v>
      </c>
      <c r="D24" s="1424">
        <v>67</v>
      </c>
    </row>
    <row r="25" spans="2:6" ht="16.2" x14ac:dyDescent="0.3">
      <c r="B25" s="1423" t="s">
        <v>1112</v>
      </c>
      <c r="C25" s="1416">
        <v>4</v>
      </c>
      <c r="D25" s="1424">
        <v>4</v>
      </c>
    </row>
    <row r="26" spans="2:6" ht="16.2" x14ac:dyDescent="0.3">
      <c r="B26" s="1423" t="s">
        <v>1113</v>
      </c>
      <c r="C26" s="1416" t="s">
        <v>1114</v>
      </c>
      <c r="D26" s="1424" t="s">
        <v>1096</v>
      </c>
    </row>
    <row r="27" spans="2:6" ht="16.2" x14ac:dyDescent="0.3">
      <c r="B27" s="1423" t="s">
        <v>1115</v>
      </c>
      <c r="C27" s="1416">
        <v>3</v>
      </c>
      <c r="D27" s="1424">
        <v>35</v>
      </c>
    </row>
    <row r="28" spans="2:6" ht="16.2" x14ac:dyDescent="0.3">
      <c r="B28" s="1423" t="s">
        <v>1116</v>
      </c>
      <c r="C28" s="1416">
        <v>3</v>
      </c>
      <c r="D28" s="1424">
        <v>29</v>
      </c>
    </row>
    <row r="29" spans="2:6" ht="28.8" x14ac:dyDescent="0.3">
      <c r="B29" s="1423" t="s">
        <v>1117</v>
      </c>
      <c r="C29" s="1416">
        <v>0</v>
      </c>
      <c r="D29" s="1424">
        <v>6</v>
      </c>
    </row>
    <row r="30" spans="2:6" ht="16.2" x14ac:dyDescent="0.3">
      <c r="B30" s="1423" t="s">
        <v>1118</v>
      </c>
      <c r="C30" s="1418">
        <v>1</v>
      </c>
      <c r="D30" s="1424" t="s">
        <v>1096</v>
      </c>
    </row>
    <row r="32" spans="2:6" ht="27.6" x14ac:dyDescent="0.25">
      <c r="B32" s="603" t="s">
        <v>1324</v>
      </c>
      <c r="C32" s="633" t="s">
        <v>1092</v>
      </c>
    </row>
    <row r="33" spans="2:3" ht="16.2" x14ac:dyDescent="0.3">
      <c r="B33" s="1425" t="s">
        <v>1419</v>
      </c>
      <c r="C33" s="1426">
        <v>0.62</v>
      </c>
    </row>
    <row r="34" spans="2:3" x14ac:dyDescent="0.25">
      <c r="B34" s="1427"/>
      <c r="C34" s="6"/>
    </row>
  </sheetData>
  <sheetProtection algorithmName="SHA-512" hashValue="1j2KvH3WPCcyhF/XRYRwnjbmBmYNari5q9I8Y4gGhnqEDU4p2Tx7wr4cZmdfZM0dt3eMLYoRSk+San/yVXkNBQ==" saltValue="9wqcG38oqreoKARs50ll3Q==" spinCount="100000" sheet="1" objects="1" scenarios="1"/>
  <mergeCells count="2">
    <mergeCell ref="B2:K2"/>
    <mergeCell ref="B4:O4"/>
  </mergeCells>
  <phoneticPr fontId="3" type="noConversion"/>
  <hyperlinks>
    <hyperlink ref="B5" r:id="rId1" display="Supplier code of conduct | Johnson Matthey"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80" zoomScaleNormal="80" workbookViewId="0">
      <selection sqref="A1:XFD1048576"/>
    </sheetView>
  </sheetViews>
  <sheetFormatPr defaultColWidth="8.77734375" defaultRowHeight="13.8" x14ac:dyDescent="0.25"/>
  <cols>
    <col min="1" max="1" width="5.77734375" style="2" customWidth="1"/>
    <col min="2" max="9" width="13.77734375" style="2" customWidth="1"/>
    <col min="10" max="10" width="74.5546875" style="2" customWidth="1"/>
    <col min="11" max="11" width="9.77734375" style="2" customWidth="1"/>
    <col min="12" max="13" width="8.77734375" style="2"/>
    <col min="14" max="14" width="37.5546875" style="2" customWidth="1"/>
    <col min="15" max="16384" width="8.77734375" style="2"/>
  </cols>
  <sheetData>
    <row r="1" spans="1:11" ht="3" customHeight="1" x14ac:dyDescent="0.25">
      <c r="A1" s="834"/>
      <c r="B1" s="834"/>
      <c r="C1" s="834"/>
      <c r="D1" s="834"/>
      <c r="E1" s="834"/>
      <c r="F1" s="834"/>
      <c r="G1" s="834"/>
      <c r="H1" s="834"/>
      <c r="I1" s="834"/>
      <c r="J1" s="834"/>
      <c r="K1" s="834"/>
    </row>
    <row r="2" spans="1:11" ht="41.55" customHeight="1" x14ac:dyDescent="0.25">
      <c r="A2" s="835"/>
      <c r="B2" s="1431" t="s">
        <v>0</v>
      </c>
      <c r="C2" s="1431"/>
      <c r="D2" s="1431"/>
      <c r="E2" s="1431"/>
      <c r="F2" s="1431"/>
      <c r="G2" s="1431"/>
      <c r="H2" s="1431"/>
      <c r="I2" s="1431"/>
      <c r="J2" s="1431"/>
      <c r="K2" s="835"/>
    </row>
    <row r="3" spans="1:11" ht="70.5" customHeight="1" x14ac:dyDescent="0.25">
      <c r="A3" s="835"/>
      <c r="B3" s="1432" t="s">
        <v>1359</v>
      </c>
      <c r="C3" s="1432"/>
      <c r="D3" s="1432"/>
      <c r="E3" s="1432"/>
      <c r="F3" s="1432"/>
      <c r="G3" s="1432"/>
      <c r="H3" s="1432"/>
      <c r="I3" s="1432"/>
      <c r="J3" s="1432"/>
      <c r="K3" s="835"/>
    </row>
    <row r="4" spans="1:11" x14ac:dyDescent="0.25">
      <c r="A4" s="835"/>
      <c r="B4" s="836"/>
      <c r="C4" s="836"/>
      <c r="D4" s="836"/>
      <c r="E4" s="836"/>
      <c r="F4" s="836"/>
      <c r="G4" s="836"/>
      <c r="H4" s="836"/>
      <c r="I4" s="836"/>
      <c r="J4" s="836"/>
      <c r="K4" s="835"/>
    </row>
    <row r="5" spans="1:11" s="840" customFormat="1" x14ac:dyDescent="0.25">
      <c r="A5" s="837"/>
      <c r="B5" s="838" t="s">
        <v>1</v>
      </c>
      <c r="C5" s="839"/>
      <c r="D5" s="839"/>
      <c r="E5" s="839"/>
      <c r="F5" s="839"/>
      <c r="G5" s="839"/>
      <c r="H5" s="839"/>
      <c r="I5" s="839"/>
      <c r="J5" s="839"/>
      <c r="K5" s="837"/>
    </row>
    <row r="6" spans="1:11" ht="29.1" customHeight="1" x14ac:dyDescent="0.25">
      <c r="A6" s="835"/>
      <c r="B6" s="1429" t="s">
        <v>2</v>
      </c>
      <c r="C6" s="1429"/>
      <c r="D6" s="1429"/>
      <c r="E6" s="1429"/>
      <c r="F6" s="1429"/>
      <c r="G6" s="1429"/>
      <c r="H6" s="1429"/>
      <c r="I6" s="1429"/>
      <c r="J6" s="1429"/>
      <c r="K6" s="835"/>
    </row>
    <row r="7" spans="1:11" x14ac:dyDescent="0.25">
      <c r="A7" s="835"/>
      <c r="B7" s="841"/>
      <c r="C7" s="841"/>
      <c r="D7" s="841"/>
      <c r="E7" s="841"/>
      <c r="F7" s="841"/>
      <c r="G7" s="841"/>
      <c r="H7" s="841"/>
      <c r="I7" s="841"/>
      <c r="J7" s="841"/>
      <c r="K7" s="835"/>
    </row>
    <row r="8" spans="1:11" x14ac:dyDescent="0.25">
      <c r="A8" s="835"/>
      <c r="B8" s="838" t="s">
        <v>3</v>
      </c>
      <c r="C8" s="842"/>
      <c r="D8" s="842"/>
      <c r="E8" s="842"/>
      <c r="F8" s="842"/>
      <c r="G8" s="842"/>
      <c r="H8" s="842"/>
      <c r="I8" s="842"/>
      <c r="J8" s="842"/>
      <c r="K8" s="835"/>
    </row>
    <row r="9" spans="1:11" ht="17.55" customHeight="1" x14ac:dyDescent="0.25">
      <c r="A9" s="835"/>
      <c r="B9" s="1429" t="s">
        <v>4</v>
      </c>
      <c r="C9" s="1429"/>
      <c r="D9" s="1429"/>
      <c r="E9" s="1429"/>
      <c r="F9" s="1429"/>
      <c r="G9" s="1429"/>
      <c r="H9" s="1429"/>
      <c r="I9" s="1429"/>
      <c r="J9" s="1429"/>
      <c r="K9" s="835"/>
    </row>
    <row r="10" spans="1:11" x14ac:dyDescent="0.25">
      <c r="A10" s="835"/>
      <c r="B10" s="843" t="s">
        <v>5</v>
      </c>
      <c r="C10" s="842"/>
      <c r="D10" s="842"/>
      <c r="E10" s="842"/>
      <c r="F10" s="842"/>
      <c r="G10" s="842"/>
      <c r="H10" s="842"/>
      <c r="I10" s="842"/>
      <c r="J10" s="842"/>
      <c r="K10" s="835"/>
    </row>
    <row r="11" spans="1:11" x14ac:dyDescent="0.25">
      <c r="A11" s="835"/>
      <c r="B11" s="844"/>
      <c r="C11" s="842"/>
      <c r="D11" s="842"/>
      <c r="E11" s="842"/>
      <c r="F11" s="842"/>
      <c r="G11" s="842"/>
      <c r="H11" s="842"/>
      <c r="I11" s="842"/>
      <c r="J11" s="842"/>
      <c r="K11" s="835"/>
    </row>
    <row r="12" spans="1:11" ht="69" customHeight="1" x14ac:dyDescent="0.25">
      <c r="A12" s="835"/>
      <c r="B12" s="1429" t="s">
        <v>6</v>
      </c>
      <c r="C12" s="1429"/>
      <c r="D12" s="1429"/>
      <c r="E12" s="1429"/>
      <c r="F12" s="1429"/>
      <c r="G12" s="1429"/>
      <c r="H12" s="1429"/>
      <c r="I12" s="1429"/>
      <c r="J12" s="1429"/>
      <c r="K12" s="835"/>
    </row>
    <row r="13" spans="1:11" ht="14.55" customHeight="1" x14ac:dyDescent="0.25">
      <c r="A13" s="835"/>
      <c r="B13" s="841"/>
      <c r="C13" s="841"/>
      <c r="D13" s="841"/>
      <c r="E13" s="841"/>
      <c r="F13" s="841"/>
      <c r="G13" s="841"/>
      <c r="H13" s="841"/>
      <c r="I13" s="841"/>
      <c r="J13" s="841"/>
      <c r="K13" s="835"/>
    </row>
    <row r="14" spans="1:11" ht="43.05" customHeight="1" x14ac:dyDescent="0.25">
      <c r="A14" s="835"/>
      <c r="B14" s="1429" t="s">
        <v>7</v>
      </c>
      <c r="C14" s="1429"/>
      <c r="D14" s="1429"/>
      <c r="E14" s="1429"/>
      <c r="F14" s="1429"/>
      <c r="G14" s="1429"/>
      <c r="H14" s="1429"/>
      <c r="I14" s="1429"/>
      <c r="J14" s="1429"/>
      <c r="K14" s="835"/>
    </row>
    <row r="15" spans="1:11" ht="125.55" customHeight="1" x14ac:dyDescent="0.25">
      <c r="A15" s="835"/>
      <c r="B15" s="1434" t="s">
        <v>1437</v>
      </c>
      <c r="C15" s="1434"/>
      <c r="D15" s="1434"/>
      <c r="E15" s="1434"/>
      <c r="F15" s="1434"/>
      <c r="G15" s="1434"/>
      <c r="H15" s="1434"/>
      <c r="I15" s="1434"/>
      <c r="J15" s="1434"/>
      <c r="K15" s="835"/>
    </row>
    <row r="16" spans="1:11" ht="17.100000000000001" customHeight="1" x14ac:dyDescent="0.25">
      <c r="A16" s="835"/>
      <c r="B16" s="1433"/>
      <c r="C16" s="1433"/>
      <c r="D16" s="1433"/>
      <c r="E16" s="1433"/>
      <c r="F16" s="1433"/>
      <c r="G16" s="1433"/>
      <c r="H16" s="1433"/>
      <c r="I16" s="1433"/>
      <c r="J16" s="1433"/>
      <c r="K16" s="835"/>
    </row>
    <row r="17" spans="1:11" x14ac:dyDescent="0.25">
      <c r="A17" s="835"/>
      <c r="B17" s="838" t="s">
        <v>8</v>
      </c>
      <c r="C17" s="841"/>
      <c r="D17" s="841"/>
      <c r="E17" s="841"/>
      <c r="F17" s="841"/>
      <c r="G17" s="841"/>
      <c r="H17" s="841"/>
      <c r="I17" s="841"/>
      <c r="J17" s="841"/>
      <c r="K17" s="835"/>
    </row>
    <row r="18" spans="1:11" ht="54" customHeight="1" x14ac:dyDescent="0.25">
      <c r="A18" s="835"/>
      <c r="B18" s="1429" t="s">
        <v>9</v>
      </c>
      <c r="C18" s="1429"/>
      <c r="D18" s="1429"/>
      <c r="E18" s="1429"/>
      <c r="F18" s="1429"/>
      <c r="G18" s="1429"/>
      <c r="H18" s="1429"/>
      <c r="I18" s="1429"/>
      <c r="J18" s="1429"/>
      <c r="K18" s="835"/>
    </row>
    <row r="19" spans="1:11" ht="19.5" customHeight="1" x14ac:dyDescent="0.25">
      <c r="A19" s="835"/>
      <c r="B19" s="1429" t="s">
        <v>1414</v>
      </c>
      <c r="C19" s="1429"/>
      <c r="D19" s="1429"/>
      <c r="E19" s="1429"/>
      <c r="F19" s="1429"/>
      <c r="G19" s="1429"/>
      <c r="H19" s="1429"/>
      <c r="I19" s="1429"/>
      <c r="J19" s="1429"/>
      <c r="K19" s="835"/>
    </row>
    <row r="20" spans="1:11" ht="18" customHeight="1" x14ac:dyDescent="0.25">
      <c r="A20" s="835"/>
      <c r="B20" s="841"/>
      <c r="C20" s="841"/>
      <c r="D20" s="841"/>
      <c r="E20" s="841"/>
      <c r="F20" s="841"/>
      <c r="G20" s="841"/>
      <c r="H20" s="841"/>
      <c r="I20" s="841"/>
      <c r="J20" s="841"/>
      <c r="K20" s="835"/>
    </row>
    <row r="21" spans="1:11" x14ac:dyDescent="0.25">
      <c r="A21" s="835"/>
      <c r="B21" s="1428" t="s">
        <v>10</v>
      </c>
      <c r="C21" s="1428"/>
      <c r="D21" s="1428"/>
      <c r="E21" s="1428"/>
      <c r="F21" s="1428"/>
      <c r="G21" s="1428"/>
      <c r="H21" s="1428"/>
      <c r="I21" s="1428"/>
      <c r="J21" s="1428"/>
      <c r="K21" s="835"/>
    </row>
    <row r="22" spans="1:11" ht="59.1" customHeight="1" x14ac:dyDescent="0.25">
      <c r="A22" s="845"/>
      <c r="B22" s="1429" t="s">
        <v>11</v>
      </c>
      <c r="C22" s="1429"/>
      <c r="D22" s="1429"/>
      <c r="E22" s="1429"/>
      <c r="F22" s="1429"/>
      <c r="G22" s="1429"/>
      <c r="H22" s="1429"/>
      <c r="I22" s="1429"/>
      <c r="J22" s="1429"/>
      <c r="K22" s="845"/>
    </row>
    <row r="23" spans="1:11" ht="38.549999999999997" customHeight="1" x14ac:dyDescent="0.25">
      <c r="A23" s="846"/>
      <c r="B23" s="1430"/>
      <c r="C23" s="1430"/>
      <c r="D23" s="1430"/>
      <c r="E23" s="1430"/>
      <c r="F23" s="1430"/>
      <c r="G23" s="1430"/>
      <c r="H23" s="1430"/>
      <c r="I23" s="1430"/>
      <c r="J23" s="1430"/>
      <c r="K23" s="846"/>
    </row>
  </sheetData>
  <sheetProtection algorithmName="SHA-512" hashValue="X2vsMtAijILzfEZNLjpUmWNuXbT4vlQOew55LYbio04R15/hPIQjXGSBdpVcv4A+Wj27Nr2pRJxolD9imb675w==" saltValue="v7Zz8IOje2zkVoHt/QEYkg==" spinCount="100000" sheet="1" objects="1" scenarios="1" selectLockedCells="1" selectUnlockedCell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F39-E8CC-4794-95EE-27F9F1063461}">
  <sheetPr codeName="Sheet21">
    <tabColor theme="7"/>
    <pageSetUpPr fitToPage="1"/>
  </sheetPr>
  <dimension ref="B2:N27"/>
  <sheetViews>
    <sheetView zoomScale="80" zoomScaleNormal="80" workbookViewId="0">
      <selection activeCell="Q12" sqref="Q12"/>
    </sheetView>
  </sheetViews>
  <sheetFormatPr defaultColWidth="8.77734375" defaultRowHeight="13.8" x14ac:dyDescent="0.25"/>
  <cols>
    <col min="1" max="1" width="2.44140625" style="2" customWidth="1"/>
    <col min="2" max="2" width="76.5546875" style="2" customWidth="1"/>
    <col min="3" max="3" width="15.21875" style="2" customWidth="1"/>
    <col min="4" max="4" width="13.77734375" style="2" customWidth="1"/>
    <col min="5" max="6" width="12.21875" style="2" bestFit="1" customWidth="1"/>
    <col min="7" max="12" width="2.21875" style="2" customWidth="1"/>
    <col min="13" max="13" width="8.77734375" style="2"/>
    <col min="14" max="14" width="8.77734375" style="2" customWidth="1"/>
    <col min="15" max="16384" width="8.77734375" style="2"/>
  </cols>
  <sheetData>
    <row r="2" spans="2:14" ht="72" customHeight="1" x14ac:dyDescent="0.25">
      <c r="B2" s="1639" t="s">
        <v>1119</v>
      </c>
      <c r="C2" s="1597"/>
      <c r="D2" s="1597"/>
      <c r="E2" s="1597"/>
      <c r="F2" s="1597"/>
      <c r="G2" s="1597"/>
      <c r="H2" s="1597"/>
      <c r="I2" s="1597"/>
      <c r="J2" s="1597"/>
    </row>
    <row r="3" spans="2:14" ht="17.55" customHeight="1" x14ac:dyDescent="0.25"/>
    <row r="4" spans="2:14" ht="147" customHeight="1" x14ac:dyDescent="0.25">
      <c r="B4" s="1655" t="s">
        <v>1120</v>
      </c>
      <c r="C4" s="1655"/>
      <c r="D4" s="1655"/>
      <c r="E4" s="1655"/>
      <c r="F4" s="1655"/>
      <c r="G4" s="1655"/>
      <c r="H4" s="1655"/>
      <c r="I4" s="1655"/>
      <c r="J4" s="1655"/>
      <c r="K4" s="1655"/>
      <c r="L4" s="1655"/>
      <c r="M4" s="1655"/>
      <c r="N4" s="1655"/>
    </row>
    <row r="7" spans="2:14" ht="36" customHeight="1" x14ac:dyDescent="0.25">
      <c r="B7" s="602" t="s">
        <v>1121</v>
      </c>
      <c r="C7" s="603" t="s">
        <v>430</v>
      </c>
      <c r="D7" s="633" t="s">
        <v>431</v>
      </c>
    </row>
    <row r="8" spans="2:14" ht="33" customHeight="1" x14ac:dyDescent="0.3">
      <c r="B8" s="556" t="s">
        <v>1122</v>
      </c>
      <c r="C8" s="542" t="s">
        <v>463</v>
      </c>
      <c r="D8" s="725">
        <v>90</v>
      </c>
    </row>
    <row r="9" spans="2:14" ht="28.5" customHeight="1" x14ac:dyDescent="0.25">
      <c r="B9" s="1662" t="s">
        <v>1123</v>
      </c>
      <c r="C9" s="1663"/>
      <c r="D9" s="1664"/>
    </row>
    <row r="12" spans="2:14" ht="36" customHeight="1" x14ac:dyDescent="0.25">
      <c r="B12" s="602" t="s">
        <v>1124</v>
      </c>
      <c r="C12" s="603" t="s">
        <v>430</v>
      </c>
      <c r="D12" s="633" t="s">
        <v>431</v>
      </c>
      <c r="E12" s="707" t="s">
        <v>432</v>
      </c>
      <c r="F12" s="707" t="s">
        <v>433</v>
      </c>
    </row>
    <row r="13" spans="2:14" ht="32.4" x14ac:dyDescent="0.3">
      <c r="B13" s="556" t="s">
        <v>1125</v>
      </c>
      <c r="C13" s="542" t="s">
        <v>668</v>
      </c>
      <c r="D13" s="725">
        <v>0</v>
      </c>
      <c r="E13" s="726">
        <v>0</v>
      </c>
      <c r="F13" s="726">
        <v>0</v>
      </c>
    </row>
    <row r="14" spans="2:14" ht="27.75" customHeight="1" x14ac:dyDescent="0.25">
      <c r="B14" s="1659" t="s">
        <v>1126</v>
      </c>
      <c r="C14" s="1660"/>
      <c r="D14" s="1660"/>
      <c r="E14" s="1660"/>
      <c r="F14" s="1661"/>
    </row>
    <row r="16" spans="2:14" ht="27.6" x14ac:dyDescent="0.25">
      <c r="B16" s="602" t="s">
        <v>1127</v>
      </c>
      <c r="C16" s="603" t="s">
        <v>430</v>
      </c>
      <c r="D16" s="633" t="s">
        <v>431</v>
      </c>
    </row>
    <row r="17" spans="2:14" ht="46.05" customHeight="1" x14ac:dyDescent="0.3">
      <c r="B17" s="556" t="s">
        <v>1128</v>
      </c>
      <c r="C17" s="542" t="s">
        <v>463</v>
      </c>
      <c r="D17" s="725">
        <v>100</v>
      </c>
    </row>
    <row r="18" spans="2:14" s="728" customFormat="1" x14ac:dyDescent="0.25">
      <c r="B18" s="2"/>
      <c r="C18" s="2"/>
      <c r="D18" s="2"/>
      <c r="E18" s="2"/>
      <c r="F18" s="2"/>
      <c r="G18" s="2"/>
      <c r="H18" s="2"/>
      <c r="I18" s="2"/>
      <c r="J18" s="2"/>
      <c r="K18" s="2"/>
      <c r="L18" s="2"/>
      <c r="M18" s="2"/>
      <c r="N18" s="2"/>
    </row>
    <row r="19" spans="2:14" s="728" customFormat="1" ht="14.25" customHeight="1" x14ac:dyDescent="0.25">
      <c r="B19" s="2"/>
      <c r="C19" s="2"/>
      <c r="D19" s="2"/>
      <c r="E19" s="2"/>
      <c r="F19" s="2"/>
      <c r="G19" s="2"/>
      <c r="H19" s="2"/>
      <c r="I19" s="2"/>
      <c r="J19" s="2"/>
      <c r="K19" s="2"/>
      <c r="L19" s="2"/>
      <c r="M19" s="2"/>
      <c r="N19" s="2"/>
    </row>
    <row r="20" spans="2:14" s="728" customFormat="1" ht="36" customHeight="1" x14ac:dyDescent="0.25">
      <c r="B20" s="602" t="s">
        <v>1129</v>
      </c>
      <c r="C20" s="603" t="s">
        <v>430</v>
      </c>
      <c r="D20" s="633" t="s">
        <v>431</v>
      </c>
      <c r="E20" s="707" t="s">
        <v>432</v>
      </c>
      <c r="F20" s="707" t="s">
        <v>433</v>
      </c>
      <c r="G20" s="2"/>
      <c r="H20" s="2"/>
      <c r="I20" s="2"/>
      <c r="J20" s="2"/>
      <c r="K20" s="2"/>
      <c r="L20" s="2"/>
      <c r="M20" s="2"/>
      <c r="N20" s="2"/>
    </row>
    <row r="21" spans="2:14" ht="32.4" x14ac:dyDescent="0.3">
      <c r="B21" s="556" t="s">
        <v>1130</v>
      </c>
      <c r="C21" s="542" t="s">
        <v>668</v>
      </c>
      <c r="D21" s="727">
        <v>0</v>
      </c>
      <c r="E21" s="726">
        <v>0</v>
      </c>
      <c r="F21" s="726">
        <v>0</v>
      </c>
    </row>
    <row r="22" spans="2:14" ht="45" customHeight="1" x14ac:dyDescent="0.25">
      <c r="B22" s="1659" t="s">
        <v>1131</v>
      </c>
      <c r="C22" s="1660"/>
      <c r="D22" s="1660"/>
      <c r="E22" s="1660"/>
      <c r="F22" s="1661"/>
    </row>
    <row r="25" spans="2:14" ht="36" customHeight="1" x14ac:dyDescent="0.25">
      <c r="B25" s="602" t="s">
        <v>1132</v>
      </c>
      <c r="C25" s="603" t="s">
        <v>430</v>
      </c>
      <c r="D25" s="633" t="s">
        <v>431</v>
      </c>
      <c r="E25" s="707" t="s">
        <v>432</v>
      </c>
      <c r="F25" s="707" t="s">
        <v>433</v>
      </c>
    </row>
    <row r="26" spans="2:14" ht="16.2" x14ac:dyDescent="0.3">
      <c r="B26" s="556" t="s">
        <v>1133</v>
      </c>
      <c r="C26" s="556" t="s">
        <v>1134</v>
      </c>
      <c r="D26" s="723" t="s">
        <v>1135</v>
      </c>
      <c r="E26" s="724" t="s">
        <v>1135</v>
      </c>
      <c r="F26" s="724" t="s">
        <v>1135</v>
      </c>
    </row>
    <row r="27" spans="2:14" ht="60" customHeight="1" x14ac:dyDescent="0.25">
      <c r="B27" s="1656" t="s">
        <v>1136</v>
      </c>
      <c r="C27" s="1657"/>
      <c r="D27" s="1657"/>
      <c r="E27" s="1657"/>
      <c r="F27" s="1658"/>
    </row>
  </sheetData>
  <sheetProtection algorithmName="SHA-512" hashValue="H9ATuz8rXJc3OVA48Tbo/H6bx33X4S/DQKMDnVgIoPI3E+9CSitkygu7xm1ztyS+rFsjy+n/AnBdpX6mgRB0HA==" saltValue="v0DKONV0UQRvU94WC98rBQ==" spinCount="100000" sheet="1" objects="1" scenarios="1"/>
  <mergeCells count="6">
    <mergeCell ref="B27:F27"/>
    <mergeCell ref="B2:J2"/>
    <mergeCell ref="B4:N4"/>
    <mergeCell ref="B14:F14"/>
    <mergeCell ref="B22:F22"/>
    <mergeCell ref="B9:D9"/>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B7EA-EBFA-47F2-89E1-47C839E6EA94}">
  <sheetPr codeName="Sheet22">
    <tabColor theme="8" tint="0.39997558519241921"/>
  </sheetPr>
  <dimension ref="B2:N69"/>
  <sheetViews>
    <sheetView zoomScale="80" zoomScaleNormal="80" workbookViewId="0">
      <selection activeCell="A63" sqref="A1:XFD1048576"/>
    </sheetView>
  </sheetViews>
  <sheetFormatPr defaultColWidth="8.77734375" defaultRowHeight="13.8" x14ac:dyDescent="0.3"/>
  <cols>
    <col min="1" max="1" width="2.44140625" style="58" customWidth="1"/>
    <col min="2" max="2" width="74" style="58" customWidth="1"/>
    <col min="3" max="3" width="146.5546875" style="58" bestFit="1" customWidth="1"/>
    <col min="4" max="4" width="22.44140625" style="58" customWidth="1"/>
    <col min="5" max="6" width="2" style="58" customWidth="1"/>
    <col min="7" max="12" width="2.21875" style="58" customWidth="1"/>
    <col min="13" max="13" width="2.77734375" style="58" customWidth="1"/>
    <col min="14" max="14" width="4" style="58" customWidth="1"/>
    <col min="15" max="16384" width="8.77734375" style="58"/>
  </cols>
  <sheetData>
    <row r="2" spans="2:14" ht="35.25" customHeight="1" x14ac:dyDescent="0.3">
      <c r="B2" s="1665" t="s">
        <v>1137</v>
      </c>
      <c r="C2" s="1597"/>
      <c r="D2" s="1597"/>
      <c r="E2" s="1597"/>
      <c r="F2" s="1597"/>
      <c r="G2" s="1597"/>
      <c r="H2" s="1597"/>
      <c r="I2" s="1597"/>
      <c r="J2" s="1597"/>
    </row>
    <row r="3" spans="2:14" ht="80.55" customHeight="1" x14ac:dyDescent="0.3">
      <c r="B3" s="1669" t="s">
        <v>1358</v>
      </c>
      <c r="C3" s="1669"/>
    </row>
    <row r="4" spans="2:14" ht="15" customHeight="1" x14ac:dyDescent="0.3">
      <c r="B4" s="1666"/>
      <c r="C4" s="1666"/>
      <c r="D4" s="1666"/>
      <c r="E4" s="1666"/>
      <c r="F4" s="1666"/>
      <c r="G4" s="1666"/>
      <c r="H4" s="1666"/>
      <c r="I4" s="1666"/>
      <c r="J4" s="1666"/>
      <c r="K4" s="1666"/>
      <c r="L4" s="1666"/>
      <c r="M4" s="1666"/>
      <c r="N4" s="1666"/>
    </row>
    <row r="5" spans="2:14" x14ac:dyDescent="0.3">
      <c r="B5" s="730" t="s">
        <v>455</v>
      </c>
      <c r="C5" s="731" t="s">
        <v>1138</v>
      </c>
    </row>
    <row r="6" spans="2:14" ht="88.2" x14ac:dyDescent="0.3">
      <c r="B6" s="679" t="s">
        <v>368</v>
      </c>
      <c r="C6" s="679" t="s">
        <v>1295</v>
      </c>
    </row>
    <row r="7" spans="2:14" ht="50.4" x14ac:dyDescent="0.3">
      <c r="B7" s="679" t="s">
        <v>370</v>
      </c>
      <c r="C7" s="679" t="s">
        <v>1307</v>
      </c>
    </row>
    <row r="8" spans="2:14" ht="50.4" x14ac:dyDescent="0.3">
      <c r="B8" s="679" t="s">
        <v>442</v>
      </c>
      <c r="C8" s="679" t="s">
        <v>1296</v>
      </c>
    </row>
    <row r="9" spans="2:14" x14ac:dyDescent="0.3">
      <c r="B9" s="679" t="s">
        <v>460</v>
      </c>
      <c r="C9" s="679" t="s">
        <v>1294</v>
      </c>
    </row>
    <row r="10" spans="2:14" x14ac:dyDescent="0.3">
      <c r="B10" s="679" t="s">
        <v>446</v>
      </c>
      <c r="C10" s="679" t="s">
        <v>1297</v>
      </c>
    </row>
    <row r="11" spans="2:14" ht="25.2" x14ac:dyDescent="0.3">
      <c r="B11" s="679" t="s">
        <v>462</v>
      </c>
      <c r="C11" s="679" t="s">
        <v>1298</v>
      </c>
    </row>
    <row r="12" spans="2:14" ht="50.4" x14ac:dyDescent="0.3">
      <c r="B12" s="679" t="s">
        <v>449</v>
      </c>
      <c r="C12" s="679" t="s">
        <v>1299</v>
      </c>
    </row>
    <row r="13" spans="2:14" ht="75.599999999999994" x14ac:dyDescent="0.3">
      <c r="B13" s="732" t="s">
        <v>464</v>
      </c>
      <c r="C13" s="679" t="s">
        <v>1300</v>
      </c>
    </row>
    <row r="14" spans="2:14" ht="25.2" x14ac:dyDescent="0.3">
      <c r="B14" s="732" t="s">
        <v>466</v>
      </c>
      <c r="C14" s="679" t="s">
        <v>1301</v>
      </c>
    </row>
    <row r="15" spans="2:14" ht="37.799999999999997" x14ac:dyDescent="0.3">
      <c r="B15" s="679" t="s">
        <v>467</v>
      </c>
      <c r="C15" s="679" t="s">
        <v>1308</v>
      </c>
    </row>
    <row r="16" spans="2:14" ht="25.2" x14ac:dyDescent="0.3">
      <c r="B16" s="508" t="s">
        <v>468</v>
      </c>
      <c r="C16" s="679" t="s">
        <v>1302</v>
      </c>
    </row>
    <row r="17" spans="2:3" ht="25.2" x14ac:dyDescent="0.3">
      <c r="B17" s="508" t="s">
        <v>562</v>
      </c>
      <c r="C17" s="508" t="s">
        <v>1303</v>
      </c>
    </row>
    <row r="18" spans="2:3" ht="25.2" x14ac:dyDescent="0.3">
      <c r="B18" s="508" t="s">
        <v>469</v>
      </c>
      <c r="C18" s="679" t="s">
        <v>1140</v>
      </c>
    </row>
    <row r="19" spans="2:3" ht="25.2" x14ac:dyDescent="0.3">
      <c r="B19" s="508" t="s">
        <v>564</v>
      </c>
      <c r="C19" s="679" t="s">
        <v>1141</v>
      </c>
    </row>
    <row r="20" spans="2:3" ht="25.2" x14ac:dyDescent="0.3">
      <c r="B20" s="508" t="s">
        <v>565</v>
      </c>
      <c r="C20" s="679" t="s">
        <v>1142</v>
      </c>
    </row>
    <row r="21" spans="2:3" ht="37.799999999999997" x14ac:dyDescent="0.3">
      <c r="B21" s="508" t="s">
        <v>566</v>
      </c>
      <c r="C21" s="679" t="s">
        <v>1143</v>
      </c>
    </row>
    <row r="22" spans="2:3" ht="25.2" x14ac:dyDescent="0.3">
      <c r="B22" s="508" t="s">
        <v>567</v>
      </c>
      <c r="C22" s="679" t="s">
        <v>1144</v>
      </c>
    </row>
    <row r="23" spans="2:3" x14ac:dyDescent="0.3">
      <c r="B23" s="508" t="s">
        <v>568</v>
      </c>
      <c r="C23" s="679" t="s">
        <v>1304</v>
      </c>
    </row>
    <row r="24" spans="2:3" ht="25.2" x14ac:dyDescent="0.3">
      <c r="B24" s="508" t="s">
        <v>569</v>
      </c>
      <c r="C24" s="679" t="s">
        <v>1141</v>
      </c>
    </row>
    <row r="25" spans="2:3" ht="37.799999999999997" x14ac:dyDescent="0.3">
      <c r="B25" s="508" t="s">
        <v>570</v>
      </c>
      <c r="C25" s="679" t="s">
        <v>1145</v>
      </c>
    </row>
    <row r="26" spans="2:3" ht="25.2" x14ac:dyDescent="0.3">
      <c r="B26" s="508" t="s">
        <v>571</v>
      </c>
      <c r="C26" s="679" t="s">
        <v>698</v>
      </c>
    </row>
    <row r="27" spans="2:3" ht="25.2" x14ac:dyDescent="0.3">
      <c r="B27" s="508" t="s">
        <v>572</v>
      </c>
      <c r="C27" s="679" t="s">
        <v>1146</v>
      </c>
    </row>
    <row r="28" spans="2:3" x14ac:dyDescent="0.3">
      <c r="B28" s="508" t="s">
        <v>573</v>
      </c>
      <c r="C28" s="679" t="s">
        <v>1304</v>
      </c>
    </row>
    <row r="29" spans="2:3" x14ac:dyDescent="0.3">
      <c r="B29" s="508" t="s">
        <v>574</v>
      </c>
      <c r="C29" s="679" t="s">
        <v>1147</v>
      </c>
    </row>
    <row r="30" spans="2:3" ht="25.2" x14ac:dyDescent="0.3">
      <c r="B30" s="508" t="s">
        <v>575</v>
      </c>
      <c r="C30" s="679" t="s">
        <v>1148</v>
      </c>
    </row>
    <row r="31" spans="2:3" x14ac:dyDescent="0.3">
      <c r="B31" s="508" t="s">
        <v>371</v>
      </c>
      <c r="C31" s="507" t="s">
        <v>1305</v>
      </c>
    </row>
    <row r="32" spans="2:3" x14ac:dyDescent="0.3">
      <c r="B32" s="729" t="s">
        <v>470</v>
      </c>
      <c r="C32" s="679" t="s">
        <v>713</v>
      </c>
    </row>
    <row r="33" spans="2:3" ht="25.2" x14ac:dyDescent="0.3">
      <c r="B33" s="679" t="s">
        <v>472</v>
      </c>
      <c r="C33" s="679" t="s">
        <v>1149</v>
      </c>
    </row>
    <row r="34" spans="2:3" ht="50.4" x14ac:dyDescent="0.3">
      <c r="B34" s="679" t="s">
        <v>473</v>
      </c>
      <c r="C34" s="679" t="s">
        <v>1306</v>
      </c>
    </row>
    <row r="35" spans="2:3" ht="113.4" x14ac:dyDescent="0.3">
      <c r="B35" s="508" t="s">
        <v>475</v>
      </c>
      <c r="C35" s="679" t="s">
        <v>1312</v>
      </c>
    </row>
    <row r="36" spans="2:3" ht="44.55" customHeight="1" x14ac:dyDescent="0.3">
      <c r="B36" s="729" t="s">
        <v>476</v>
      </c>
      <c r="C36" s="679" t="s">
        <v>1309</v>
      </c>
    </row>
    <row r="37" spans="2:3" x14ac:dyDescent="0.3">
      <c r="B37" s="508" t="s">
        <v>478</v>
      </c>
      <c r="C37" s="679" t="s">
        <v>724</v>
      </c>
    </row>
    <row r="38" spans="2:3" ht="75.599999999999994" x14ac:dyDescent="0.3">
      <c r="B38" s="732" t="s">
        <v>479</v>
      </c>
      <c r="C38" s="679" t="s">
        <v>1313</v>
      </c>
    </row>
    <row r="39" spans="2:3" ht="50.4" x14ac:dyDescent="0.3">
      <c r="B39" s="508" t="s">
        <v>481</v>
      </c>
      <c r="C39" s="679" t="s">
        <v>1314</v>
      </c>
    </row>
    <row r="40" spans="2:3" ht="63" x14ac:dyDescent="0.3">
      <c r="B40" s="508" t="s">
        <v>482</v>
      </c>
      <c r="C40" s="679" t="s">
        <v>1315</v>
      </c>
    </row>
    <row r="41" spans="2:3" ht="75.599999999999994" x14ac:dyDescent="0.3">
      <c r="B41" s="508" t="s">
        <v>483</v>
      </c>
      <c r="C41" s="679" t="s">
        <v>1316</v>
      </c>
    </row>
    <row r="42" spans="2:3" ht="50.4" x14ac:dyDescent="0.3">
      <c r="B42" s="732" t="s">
        <v>484</v>
      </c>
      <c r="C42" s="679" t="s">
        <v>1317</v>
      </c>
    </row>
    <row r="43" spans="2:3" ht="75.599999999999994" x14ac:dyDescent="0.3">
      <c r="B43" s="508" t="s">
        <v>485</v>
      </c>
      <c r="C43" s="679" t="s">
        <v>1274</v>
      </c>
    </row>
    <row r="44" spans="2:3" ht="37.799999999999997" x14ac:dyDescent="0.3">
      <c r="B44" s="732" t="s">
        <v>486</v>
      </c>
      <c r="C44" s="679" t="s">
        <v>1275</v>
      </c>
    </row>
    <row r="45" spans="2:3" ht="63" x14ac:dyDescent="0.3">
      <c r="B45" s="732" t="s">
        <v>487</v>
      </c>
      <c r="C45" s="679" t="s">
        <v>1276</v>
      </c>
    </row>
    <row r="46" spans="2:3" ht="75.599999999999994" x14ac:dyDescent="0.3">
      <c r="B46" s="732" t="s">
        <v>488</v>
      </c>
      <c r="C46" s="679" t="s">
        <v>1277</v>
      </c>
    </row>
    <row r="47" spans="2:3" ht="50.4" x14ac:dyDescent="0.3">
      <c r="B47" s="508" t="s">
        <v>489</v>
      </c>
      <c r="C47" s="679" t="s">
        <v>1278</v>
      </c>
    </row>
    <row r="48" spans="2:3" ht="37.799999999999997" x14ac:dyDescent="0.3">
      <c r="B48" s="508" t="s">
        <v>490</v>
      </c>
      <c r="C48" s="679" t="s">
        <v>1283</v>
      </c>
    </row>
    <row r="49" spans="2:3" ht="25.2" x14ac:dyDescent="0.3">
      <c r="B49" s="508" t="s">
        <v>491</v>
      </c>
      <c r="C49" s="679" t="s">
        <v>1282</v>
      </c>
    </row>
    <row r="50" spans="2:3" ht="25.2" x14ac:dyDescent="0.3">
      <c r="B50" s="508" t="s">
        <v>492</v>
      </c>
      <c r="C50" s="679" t="s">
        <v>1284</v>
      </c>
    </row>
    <row r="51" spans="2:3" ht="25.2" x14ac:dyDescent="0.3">
      <c r="B51" s="508" t="s">
        <v>494</v>
      </c>
      <c r="C51" s="679" t="s">
        <v>1150</v>
      </c>
    </row>
    <row r="52" spans="2:3" ht="37.799999999999997" x14ac:dyDescent="0.3">
      <c r="B52" s="508" t="s">
        <v>495</v>
      </c>
      <c r="C52" s="679" t="s">
        <v>1151</v>
      </c>
    </row>
    <row r="53" spans="2:3" ht="37.799999999999997" x14ac:dyDescent="0.3">
      <c r="B53" s="508" t="s">
        <v>496</v>
      </c>
      <c r="C53" s="679" t="s">
        <v>769</v>
      </c>
    </row>
    <row r="54" spans="2:3" x14ac:dyDescent="0.3">
      <c r="B54" s="508" t="s">
        <v>497</v>
      </c>
      <c r="C54" s="679" t="s">
        <v>1279</v>
      </c>
    </row>
    <row r="55" spans="2:3" x14ac:dyDescent="0.3">
      <c r="B55" s="508" t="s">
        <v>498</v>
      </c>
      <c r="C55" s="679" t="s">
        <v>1280</v>
      </c>
    </row>
    <row r="56" spans="2:3" x14ac:dyDescent="0.3">
      <c r="B56" s="508" t="s">
        <v>499</v>
      </c>
      <c r="C56" s="679" t="s">
        <v>1281</v>
      </c>
    </row>
    <row r="57" spans="2:3" ht="100.8" x14ac:dyDescent="0.3">
      <c r="B57" s="508" t="s">
        <v>500</v>
      </c>
      <c r="C57" s="679" t="s">
        <v>1152</v>
      </c>
    </row>
    <row r="58" spans="2:3" ht="138.6" x14ac:dyDescent="0.3">
      <c r="B58" s="508" t="s">
        <v>501</v>
      </c>
      <c r="C58" s="679" t="s">
        <v>1153</v>
      </c>
    </row>
    <row r="59" spans="2:3" ht="25.2" x14ac:dyDescent="0.3">
      <c r="B59" s="508" t="s">
        <v>1154</v>
      </c>
      <c r="C59" s="679" t="s">
        <v>1155</v>
      </c>
    </row>
    <row r="60" spans="2:3" ht="68.55" customHeight="1" x14ac:dyDescent="0.3">
      <c r="B60" s="732" t="s">
        <v>502</v>
      </c>
      <c r="C60" s="679" t="e" vm="1">
        <v>#VALUE!</v>
      </c>
    </row>
    <row r="61" spans="2:3" ht="52.5" customHeight="1" x14ac:dyDescent="0.3">
      <c r="B61" s="732" t="s">
        <v>504</v>
      </c>
      <c r="C61" s="679" t="e" vm="2">
        <v>#VALUE!</v>
      </c>
    </row>
    <row r="62" spans="2:3" ht="66" customHeight="1" x14ac:dyDescent="0.3">
      <c r="B62" s="729" t="s">
        <v>505</v>
      </c>
      <c r="C62" s="679" t="e" vm="3">
        <v>#VALUE!</v>
      </c>
    </row>
    <row r="63" spans="2:3" ht="25.2" x14ac:dyDescent="0.3">
      <c r="B63" s="1667" t="s">
        <v>506</v>
      </c>
      <c r="C63" s="679" t="s">
        <v>1156</v>
      </c>
    </row>
    <row r="64" spans="2:3" ht="42.6" customHeight="1" x14ac:dyDescent="0.3">
      <c r="B64" s="1668"/>
      <c r="C64" s="679" t="e" vm="4">
        <v>#VALUE!</v>
      </c>
    </row>
    <row r="65" spans="2:3" ht="63" x14ac:dyDescent="0.3">
      <c r="B65" s="1667" t="s">
        <v>508</v>
      </c>
      <c r="C65" s="679" t="s">
        <v>1157</v>
      </c>
    </row>
    <row r="66" spans="2:3" ht="41.55" customHeight="1" x14ac:dyDescent="0.3">
      <c r="B66" s="1668"/>
      <c r="C66" s="679" t="e" vm="5">
        <v>#VALUE!</v>
      </c>
    </row>
    <row r="67" spans="2:3" ht="88.2" x14ac:dyDescent="0.3">
      <c r="B67" s="1667" t="s">
        <v>510</v>
      </c>
      <c r="C67" s="679" t="s">
        <v>1158</v>
      </c>
    </row>
    <row r="68" spans="2:3" ht="31.05" customHeight="1" x14ac:dyDescent="0.3">
      <c r="B68" s="1668"/>
      <c r="C68" s="679" t="e" vm="6">
        <v>#VALUE!</v>
      </c>
    </row>
    <row r="69" spans="2:3" ht="63" x14ac:dyDescent="0.3">
      <c r="B69" s="508" t="s">
        <v>512</v>
      </c>
      <c r="C69" s="679" t="s">
        <v>1159</v>
      </c>
    </row>
  </sheetData>
  <sheetProtection algorithmName="SHA-512" hashValue="/9MSBIlKX8qv3AzPVuo1PKIG+KrL5pwvTdHpmyjsvxVruiDGHOdJEIQV4CKIItRlmdj6gfjdYQ2EfCU6HBbUiA==" saltValue="OT60yAGQHTM8e9/ply1yLw==" spinCount="100000" sheet="1" objects="1" scenarios="1" selectLockedCells="1" selectUnlockedCells="1"/>
  <mergeCells count="6">
    <mergeCell ref="B2:J2"/>
    <mergeCell ref="B4:N4"/>
    <mergeCell ref="B67:B68"/>
    <mergeCell ref="B63:B64"/>
    <mergeCell ref="B65:B66"/>
    <mergeCell ref="B3:C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77734375" defaultRowHeight="13.8" outlineLevelCol="1" x14ac:dyDescent="0.3"/>
  <cols>
    <col min="1" max="1" width="21.21875" style="58" customWidth="1"/>
    <col min="2" max="2" width="89.21875" style="58" customWidth="1"/>
    <col min="3" max="3" width="124.21875" style="91" hidden="1" customWidth="1" outlineLevel="1"/>
    <col min="4" max="4" width="30.21875" style="58" customWidth="1" collapsed="1"/>
    <col min="5" max="5" width="18" style="58" customWidth="1"/>
    <col min="6" max="18" width="18.77734375" style="58" customWidth="1"/>
    <col min="19" max="16384" width="8.77734375" style="58"/>
  </cols>
  <sheetData>
    <row r="2" spans="1:24" ht="35.1" customHeight="1" x14ac:dyDescent="0.3">
      <c r="A2" s="357"/>
      <c r="B2" s="1670" t="s">
        <v>31</v>
      </c>
      <c r="C2" s="1670"/>
      <c r="D2" s="1670"/>
      <c r="E2" s="1670"/>
      <c r="F2" s="1670"/>
      <c r="G2" s="1670"/>
      <c r="H2" s="1670"/>
      <c r="I2" s="1670"/>
      <c r="J2" s="1670"/>
      <c r="K2" s="1670"/>
      <c r="L2" s="1670"/>
      <c r="M2" s="1670"/>
      <c r="N2" s="1670"/>
      <c r="O2" s="4"/>
      <c r="P2" s="100"/>
      <c r="Q2" s="100"/>
      <c r="R2" s="100"/>
      <c r="S2" s="100"/>
      <c r="T2" s="100"/>
      <c r="U2" s="101"/>
      <c r="V2" s="101"/>
      <c r="W2" s="101"/>
      <c r="X2" s="101"/>
    </row>
    <row r="3" spans="1:24" ht="19.8" x14ac:dyDescent="0.3">
      <c r="B3" s="102"/>
      <c r="C3" s="103"/>
      <c r="D3" s="102"/>
      <c r="E3" s="102"/>
      <c r="F3" s="102"/>
      <c r="G3" s="104"/>
      <c r="H3" s="104"/>
      <c r="I3" s="104"/>
      <c r="J3" s="104"/>
      <c r="K3" s="104"/>
      <c r="L3" s="104"/>
      <c r="M3" s="104"/>
      <c r="N3" s="104"/>
      <c r="O3" s="104"/>
      <c r="P3" s="104"/>
      <c r="Q3" s="104"/>
      <c r="R3" s="104"/>
      <c r="S3" s="104"/>
      <c r="T3" s="104"/>
      <c r="U3" s="101"/>
      <c r="V3" s="101"/>
      <c r="W3" s="101"/>
      <c r="X3" s="101"/>
    </row>
    <row r="4" spans="1:24" ht="73.5" customHeight="1" x14ac:dyDescent="0.3">
      <c r="B4" s="1671" t="s">
        <v>1160</v>
      </c>
      <c r="C4" s="1672"/>
      <c r="D4" s="1672"/>
      <c r="E4" s="1672"/>
      <c r="F4" s="1672"/>
      <c r="G4" s="1672"/>
      <c r="H4" s="1672"/>
      <c r="I4" s="1672"/>
      <c r="J4" s="1672"/>
      <c r="K4" s="1672"/>
      <c r="L4" s="1672"/>
      <c r="M4" s="101"/>
      <c r="N4" s="356"/>
      <c r="O4" s="101"/>
      <c r="P4" s="101"/>
      <c r="Q4" s="101"/>
      <c r="R4" s="101"/>
      <c r="S4" s="101"/>
      <c r="T4" s="101"/>
      <c r="U4" s="101"/>
      <c r="V4" s="101"/>
      <c r="W4" s="101"/>
      <c r="X4" s="101"/>
    </row>
    <row r="5" spans="1:24" x14ac:dyDescent="0.3">
      <c r="B5" s="17"/>
      <c r="C5" s="98"/>
      <c r="D5" s="17"/>
      <c r="E5" s="17"/>
      <c r="F5" s="17"/>
      <c r="G5" s="18"/>
      <c r="H5" s="18"/>
      <c r="I5" s="18"/>
      <c r="J5" s="101"/>
      <c r="K5" s="101"/>
      <c r="L5" s="101"/>
      <c r="M5" s="101"/>
      <c r="N5" s="101"/>
      <c r="O5" s="101"/>
      <c r="P5" s="105"/>
      <c r="Q5" s="101"/>
      <c r="R5" s="101"/>
      <c r="S5" s="101"/>
      <c r="T5" s="101"/>
      <c r="U5" s="101"/>
      <c r="V5" s="101"/>
      <c r="W5" s="101"/>
      <c r="X5" s="101"/>
    </row>
    <row r="6" spans="1:24" ht="24.6" x14ac:dyDescent="0.3">
      <c r="B6" s="106" t="s">
        <v>556</v>
      </c>
      <c r="C6" s="107"/>
      <c r="D6" s="108"/>
      <c r="E6" s="108"/>
      <c r="F6" s="108"/>
      <c r="G6" s="1593"/>
      <c r="H6" s="1593"/>
      <c r="I6" s="1593"/>
      <c r="J6" s="109"/>
      <c r="K6" s="109"/>
      <c r="L6" s="109"/>
      <c r="M6" s="109"/>
      <c r="N6" s="109"/>
      <c r="O6" s="109"/>
      <c r="P6" s="109"/>
      <c r="Q6" s="109"/>
      <c r="R6" s="101"/>
      <c r="S6" s="101"/>
      <c r="T6" s="101"/>
      <c r="U6" s="101"/>
      <c r="V6" s="101"/>
      <c r="W6" s="101"/>
      <c r="X6" s="101"/>
    </row>
    <row r="7" spans="1:24" x14ac:dyDescent="0.3">
      <c r="C7" s="110"/>
      <c r="D7" s="111"/>
      <c r="E7" s="111"/>
      <c r="F7" s="111"/>
      <c r="G7" s="112"/>
      <c r="H7" s="112"/>
      <c r="I7" s="112"/>
      <c r="J7" s="112"/>
      <c r="K7" s="112"/>
      <c r="L7" s="112"/>
      <c r="M7" s="113"/>
      <c r="N7" s="113"/>
      <c r="O7" s="113"/>
      <c r="P7" s="113"/>
      <c r="Q7" s="113"/>
      <c r="R7" s="113"/>
      <c r="S7" s="113"/>
      <c r="T7" s="113"/>
      <c r="U7" s="113"/>
      <c r="V7" s="113"/>
      <c r="W7" s="113"/>
      <c r="X7" s="113"/>
    </row>
    <row r="8" spans="1:24" ht="36" x14ac:dyDescent="0.3">
      <c r="B8" s="1598" t="s">
        <v>429</v>
      </c>
      <c r="C8" s="1599" t="s">
        <v>675</v>
      </c>
      <c r="D8" s="1600" t="s">
        <v>430</v>
      </c>
      <c r="E8" s="1592" t="s">
        <v>433</v>
      </c>
      <c r="F8" s="1592"/>
      <c r="G8" s="1592"/>
      <c r="H8" s="1595" t="s">
        <v>434</v>
      </c>
      <c r="I8" s="1595"/>
      <c r="J8" s="1595"/>
      <c r="K8" s="1595" t="s">
        <v>435</v>
      </c>
      <c r="L8" s="1595"/>
      <c r="M8" s="1595"/>
      <c r="N8" s="226" t="s">
        <v>436</v>
      </c>
      <c r="O8" s="279" t="s">
        <v>557</v>
      </c>
      <c r="P8" s="279" t="s">
        <v>558</v>
      </c>
      <c r="Q8" s="279" t="s">
        <v>997</v>
      </c>
      <c r="R8" s="101"/>
      <c r="S8" s="101"/>
      <c r="T8" s="101"/>
      <c r="U8" s="101"/>
      <c r="V8" s="101"/>
      <c r="W8" s="101"/>
      <c r="X8" s="101"/>
    </row>
    <row r="9" spans="1:24" ht="27.6" x14ac:dyDescent="0.3">
      <c r="B9" s="1598"/>
      <c r="C9" s="1599"/>
      <c r="D9" s="1601"/>
      <c r="E9" s="225" t="s">
        <v>438</v>
      </c>
      <c r="F9" s="225" t="s">
        <v>676</v>
      </c>
      <c r="G9" s="225" t="s">
        <v>677</v>
      </c>
      <c r="H9" s="226" t="s">
        <v>438</v>
      </c>
      <c r="I9" s="226" t="s">
        <v>676</v>
      </c>
      <c r="J9" s="227" t="s">
        <v>677</v>
      </c>
      <c r="K9" s="226" t="s">
        <v>438</v>
      </c>
      <c r="L9" s="226" t="s">
        <v>676</v>
      </c>
      <c r="M9" s="227" t="s">
        <v>677</v>
      </c>
      <c r="N9" s="226" t="s">
        <v>438</v>
      </c>
      <c r="O9" s="280" t="s">
        <v>438</v>
      </c>
      <c r="P9" s="280" t="s">
        <v>438</v>
      </c>
      <c r="Q9" s="280" t="s">
        <v>438</v>
      </c>
      <c r="R9" s="101"/>
      <c r="S9" s="101"/>
      <c r="T9" s="101"/>
      <c r="U9" s="101"/>
      <c r="V9" s="101"/>
      <c r="W9" s="101"/>
      <c r="X9" s="101"/>
    </row>
    <row r="10" spans="1:24" ht="17.55" customHeight="1" x14ac:dyDescent="0.3">
      <c r="B10" s="196" t="s">
        <v>368</v>
      </c>
      <c r="C10" s="149" t="s">
        <v>678</v>
      </c>
      <c r="D10" s="149" t="s">
        <v>679</v>
      </c>
      <c r="E10" s="237">
        <v>233300</v>
      </c>
      <c r="F10" s="237">
        <v>100461</v>
      </c>
      <c r="G10" s="237">
        <f>E10-F10</f>
        <v>132839</v>
      </c>
      <c r="H10" s="150">
        <v>239862</v>
      </c>
      <c r="I10" s="150">
        <v>103534</v>
      </c>
      <c r="J10" s="150">
        <f>H10-I10</f>
        <v>136328</v>
      </c>
      <c r="K10" s="150">
        <v>240473</v>
      </c>
      <c r="L10" s="150">
        <v>112915</v>
      </c>
      <c r="M10" s="150">
        <f>K10-L10</f>
        <v>127558</v>
      </c>
      <c r="N10" s="150">
        <v>238069</v>
      </c>
      <c r="O10" s="275">
        <f t="shared" ref="O10:O14" si="0">(E10-H10)/H10</f>
        <v>-2.7357397170039439E-2</v>
      </c>
      <c r="P10" s="275">
        <f>(E10-N10)/N10</f>
        <v>-2.0032007527229501E-2</v>
      </c>
      <c r="Q10" s="277"/>
      <c r="R10" s="101"/>
      <c r="S10" s="101"/>
      <c r="T10" s="101"/>
      <c r="U10" s="101"/>
      <c r="V10" s="101"/>
      <c r="W10" s="101"/>
      <c r="X10" s="101"/>
    </row>
    <row r="11" spans="1:24" ht="17.55" customHeight="1" x14ac:dyDescent="0.3">
      <c r="B11" s="196" t="s">
        <v>370</v>
      </c>
      <c r="C11" s="149" t="s">
        <v>680</v>
      </c>
      <c r="D11" s="149" t="s">
        <v>679</v>
      </c>
      <c r="E11" s="237">
        <v>130386</v>
      </c>
      <c r="F11" s="237">
        <v>1024</v>
      </c>
      <c r="G11" s="237">
        <f>E11-F11</f>
        <v>129362</v>
      </c>
      <c r="H11" s="150">
        <v>170248</v>
      </c>
      <c r="I11" s="150">
        <v>1265</v>
      </c>
      <c r="J11" s="150">
        <f>H11-I11</f>
        <v>168983</v>
      </c>
      <c r="K11" s="150">
        <v>169111</v>
      </c>
      <c r="L11" s="150">
        <v>3969</v>
      </c>
      <c r="M11" s="150">
        <f>K11-L11</f>
        <v>165142</v>
      </c>
      <c r="N11" s="150">
        <v>179749</v>
      </c>
      <c r="O11" s="275">
        <f t="shared" si="0"/>
        <v>-0.2341407828579484</v>
      </c>
      <c r="P11" s="275">
        <f t="shared" ref="P11" si="1">(E11-N11)/N11</f>
        <v>-0.27462183377932564</v>
      </c>
      <c r="Q11" s="277"/>
      <c r="R11" s="101"/>
      <c r="S11" s="101"/>
      <c r="T11" s="101"/>
      <c r="U11" s="101"/>
      <c r="V11" s="101"/>
      <c r="W11" s="101"/>
      <c r="X11" s="101"/>
    </row>
    <row r="12" spans="1:24" ht="17.55" customHeight="1" x14ac:dyDescent="0.3">
      <c r="B12" s="196" t="s">
        <v>442</v>
      </c>
      <c r="C12" s="149" t="s">
        <v>681</v>
      </c>
      <c r="D12" s="149" t="s">
        <v>679</v>
      </c>
      <c r="E12" s="237">
        <v>204848</v>
      </c>
      <c r="F12" s="237">
        <v>21696</v>
      </c>
      <c r="G12" s="237">
        <f>E12-F12</f>
        <v>183152</v>
      </c>
      <c r="H12" s="150">
        <v>225712</v>
      </c>
      <c r="I12" s="150">
        <v>24942</v>
      </c>
      <c r="J12" s="150">
        <f>H12-I12</f>
        <v>200770</v>
      </c>
      <c r="K12" s="150">
        <v>209158</v>
      </c>
      <c r="L12" s="150">
        <v>29743</v>
      </c>
      <c r="M12" s="150">
        <f>K12-L12</f>
        <v>179415</v>
      </c>
      <c r="N12" s="150">
        <v>231360</v>
      </c>
      <c r="O12" s="275">
        <f t="shared" si="0"/>
        <v>-9.2436379102573185E-2</v>
      </c>
      <c r="P12" s="275">
        <f>(E12-N12)/N12</f>
        <v>-0.11459197786998616</v>
      </c>
      <c r="Q12" s="277"/>
      <c r="R12" s="101"/>
      <c r="S12" s="101"/>
      <c r="T12" s="101"/>
      <c r="U12" s="101"/>
      <c r="V12" s="101"/>
      <c r="W12" s="101"/>
      <c r="X12" s="101"/>
    </row>
    <row r="13" spans="1:24" ht="17.55" customHeight="1" x14ac:dyDescent="0.3">
      <c r="B13" s="174" t="s">
        <v>443</v>
      </c>
      <c r="C13" s="152" t="s">
        <v>1139</v>
      </c>
      <c r="D13" s="152" t="s">
        <v>683</v>
      </c>
      <c r="E13" s="237">
        <v>363686</v>
      </c>
      <c r="F13" s="237">
        <v>101485</v>
      </c>
      <c r="G13" s="237">
        <f>E13-F13</f>
        <v>262201</v>
      </c>
      <c r="H13" s="234">
        <v>410110</v>
      </c>
      <c r="I13" s="234">
        <f>I10+I11</f>
        <v>104799</v>
      </c>
      <c r="J13" s="234">
        <f>H13-I13</f>
        <v>305311</v>
      </c>
      <c r="K13" s="234">
        <v>409584</v>
      </c>
      <c r="L13" s="234">
        <v>116884</v>
      </c>
      <c r="M13" s="234">
        <f>K13-L13</f>
        <v>292700</v>
      </c>
      <c r="N13" s="234">
        <v>417818</v>
      </c>
      <c r="O13" s="380">
        <f>(E13-H13)/H13</f>
        <v>-0.1131988978566726</v>
      </c>
      <c r="P13" s="380">
        <f>(E13-N13)/N13</f>
        <v>-0.12955880311523199</v>
      </c>
      <c r="Q13" s="380">
        <f>(E13-N13)/(N13*(1-0.42)-N13)</f>
        <v>0.30847334075055244</v>
      </c>
      <c r="R13" s="101"/>
      <c r="S13" s="101"/>
      <c r="T13" s="101"/>
      <c r="U13" s="101"/>
      <c r="V13" s="101"/>
      <c r="W13" s="101"/>
      <c r="X13" s="101"/>
    </row>
    <row r="14" spans="1:24" ht="17.55" customHeight="1" x14ac:dyDescent="0.3">
      <c r="B14" s="196" t="s">
        <v>445</v>
      </c>
      <c r="C14" s="149" t="s">
        <v>1161</v>
      </c>
      <c r="D14" s="149" t="s">
        <v>679</v>
      </c>
      <c r="E14" s="237">
        <v>438148</v>
      </c>
      <c r="F14" s="237">
        <v>122157</v>
      </c>
      <c r="G14" s="237">
        <f>E14-F14</f>
        <v>315991</v>
      </c>
      <c r="H14" s="150">
        <v>465574</v>
      </c>
      <c r="I14" s="150">
        <v>128475</v>
      </c>
      <c r="J14" s="150">
        <f>H14-I14</f>
        <v>337099</v>
      </c>
      <c r="K14" s="150">
        <v>449631</v>
      </c>
      <c r="L14" s="150">
        <v>142659</v>
      </c>
      <c r="M14" s="150">
        <f>K14-L14</f>
        <v>306972</v>
      </c>
      <c r="N14" s="150">
        <v>469429</v>
      </c>
      <c r="O14" s="275">
        <f t="shared" si="0"/>
        <v>-5.8907928707359086E-2</v>
      </c>
      <c r="P14" s="275">
        <f>(E14-N14)/N14</f>
        <v>-6.6636275134258849E-2</v>
      </c>
      <c r="Q14" s="277"/>
      <c r="R14" s="101"/>
      <c r="S14" s="101"/>
      <c r="T14" s="101"/>
      <c r="U14" s="101"/>
      <c r="V14" s="101"/>
      <c r="W14" s="101"/>
      <c r="X14" s="101"/>
    </row>
    <row r="15" spans="1:24" ht="27.6" x14ac:dyDescent="0.3">
      <c r="B15" s="174" t="s">
        <v>446</v>
      </c>
      <c r="C15" s="152" t="s">
        <v>685</v>
      </c>
      <c r="D15" s="152" t="s">
        <v>447</v>
      </c>
      <c r="E15" s="238">
        <v>3.4</v>
      </c>
      <c r="F15" s="238">
        <v>22.3</v>
      </c>
      <c r="G15" s="238">
        <v>2.5</v>
      </c>
      <c r="H15" s="235">
        <v>3.7</v>
      </c>
      <c r="I15" s="235">
        <v>19.899999999999999</v>
      </c>
      <c r="J15" s="236">
        <v>2.9</v>
      </c>
      <c r="K15" s="235">
        <v>3.9</v>
      </c>
      <c r="L15" s="235">
        <v>11.9</v>
      </c>
      <c r="M15" s="235">
        <v>3</v>
      </c>
      <c r="N15" s="235">
        <v>3.7</v>
      </c>
      <c r="O15" s="380">
        <f>(E15-H15)/H15</f>
        <v>-8.1081081081081155E-2</v>
      </c>
      <c r="P15" s="380">
        <f>(E15-N15)/N15</f>
        <v>-8.1081081081081155E-2</v>
      </c>
      <c r="Q15" s="281"/>
      <c r="R15" s="101"/>
      <c r="S15" s="101"/>
      <c r="T15" s="101"/>
      <c r="U15" s="101"/>
      <c r="V15" s="101"/>
      <c r="W15" s="101"/>
      <c r="X15" s="101"/>
    </row>
    <row r="16" spans="1:24" x14ac:dyDescent="0.3">
      <c r="B16" s="114"/>
      <c r="C16" s="115"/>
      <c r="D16" s="116"/>
      <c r="E16" s="481"/>
      <c r="F16" s="481"/>
      <c r="G16" s="481"/>
      <c r="H16" s="117"/>
      <c r="I16" s="117"/>
      <c r="J16" s="117"/>
      <c r="K16" s="117"/>
      <c r="L16" s="117"/>
      <c r="M16" s="34"/>
      <c r="N16" s="101"/>
      <c r="O16" s="101"/>
      <c r="P16" s="101"/>
      <c r="Q16" s="101"/>
      <c r="R16" s="101"/>
      <c r="S16" s="101"/>
      <c r="T16" s="101"/>
      <c r="U16" s="101"/>
      <c r="V16" s="101"/>
      <c r="W16" s="101"/>
      <c r="X16" s="101"/>
    </row>
    <row r="17" spans="2:24" ht="36" x14ac:dyDescent="0.3">
      <c r="B17" s="228" t="s">
        <v>559</v>
      </c>
      <c r="C17" s="153" t="s">
        <v>675</v>
      </c>
      <c r="D17" s="229" t="s">
        <v>430</v>
      </c>
      <c r="E17" s="230" t="s">
        <v>433</v>
      </c>
      <c r="F17" s="231" t="s">
        <v>434</v>
      </c>
      <c r="G17" s="231" t="s">
        <v>435</v>
      </c>
      <c r="H17" s="231" t="s">
        <v>436</v>
      </c>
      <c r="I17" s="278" t="str">
        <f>O8</f>
        <v>Performance against prior year</v>
      </c>
      <c r="J17" s="278" t="str">
        <f>P8</f>
        <v>Performance against 2019/20 baseline</v>
      </c>
      <c r="K17" s="278" t="str">
        <f>Q8</f>
        <v>Progress towards 2030 target</v>
      </c>
      <c r="M17" s="34"/>
      <c r="N17" s="101"/>
      <c r="O17" s="101"/>
      <c r="P17" s="101"/>
      <c r="Q17" s="101"/>
      <c r="R17" s="101"/>
      <c r="S17" s="101"/>
      <c r="T17" s="101"/>
      <c r="U17" s="101"/>
      <c r="V17" s="101"/>
      <c r="W17" s="101"/>
      <c r="X17" s="101"/>
    </row>
    <row r="18" spans="2:24" ht="15" customHeight="1" x14ac:dyDescent="0.3">
      <c r="B18" s="154" t="s">
        <v>560</v>
      </c>
      <c r="C18" s="154" t="s">
        <v>688</v>
      </c>
      <c r="D18" s="155" t="s">
        <v>581</v>
      </c>
      <c r="E18" s="239">
        <v>2495475</v>
      </c>
      <c r="F18" s="156">
        <v>2978197</v>
      </c>
      <c r="G18" s="156">
        <v>2812518</v>
      </c>
      <c r="H18" s="156">
        <v>3433660</v>
      </c>
      <c r="I18" s="275">
        <f>(E18-F18)/F18</f>
        <v>-0.16208531537705531</v>
      </c>
      <c r="J18" s="275">
        <f>(E18-H18)/H18</f>
        <v>-0.27323177018108957</v>
      </c>
      <c r="K18" s="275">
        <f>(E18-H18)/((1-0.42)*H18-H18)</f>
        <v>0.6505518337644991</v>
      </c>
      <c r="M18" s="34"/>
      <c r="N18" s="101"/>
      <c r="O18" s="101"/>
      <c r="P18" s="101"/>
      <c r="Q18" s="101"/>
      <c r="R18" s="101"/>
      <c r="S18" s="101"/>
      <c r="T18" s="101"/>
      <c r="U18" s="101"/>
      <c r="V18" s="101"/>
      <c r="W18" s="101"/>
      <c r="X18" s="101"/>
    </row>
    <row r="19" spans="2:24" ht="15" customHeight="1" x14ac:dyDescent="0.3">
      <c r="B19" s="154" t="s">
        <v>562</v>
      </c>
      <c r="C19" s="154" t="s">
        <v>689</v>
      </c>
      <c r="D19" s="155" t="s">
        <v>581</v>
      </c>
      <c r="E19" s="239">
        <v>177329</v>
      </c>
      <c r="F19" s="156">
        <v>163641</v>
      </c>
      <c r="G19" s="156">
        <v>242456</v>
      </c>
      <c r="H19" s="156">
        <v>367141</v>
      </c>
      <c r="I19" s="275">
        <f t="shared" ref="I19:I25" si="2">(E19-F19)/F19</f>
        <v>8.3646518904186604E-2</v>
      </c>
      <c r="J19" s="275">
        <f t="shared" ref="J19:J25" si="3">(E19-H19)/H19</f>
        <v>-0.5170002805461662</v>
      </c>
      <c r="K19" s="387"/>
      <c r="M19" s="34"/>
      <c r="N19" s="101"/>
      <c r="O19" s="101"/>
      <c r="P19" s="101"/>
      <c r="Q19" s="101"/>
      <c r="R19" s="101"/>
      <c r="S19" s="101"/>
      <c r="T19" s="101"/>
      <c r="U19" s="101"/>
      <c r="V19" s="101"/>
      <c r="W19" s="101"/>
      <c r="X19" s="101"/>
    </row>
    <row r="20" spans="2:24" ht="15" customHeight="1" x14ac:dyDescent="0.3">
      <c r="B20" s="154" t="s">
        <v>563</v>
      </c>
      <c r="C20" s="154" t="s">
        <v>690</v>
      </c>
      <c r="D20" s="155" t="s">
        <v>581</v>
      </c>
      <c r="E20" s="239">
        <v>41018</v>
      </c>
      <c r="F20" s="156">
        <v>43505</v>
      </c>
      <c r="G20" s="156">
        <v>36695</v>
      </c>
      <c r="H20" s="156">
        <v>38199</v>
      </c>
      <c r="I20" s="275">
        <f t="shared" si="2"/>
        <v>-5.7165843006550969E-2</v>
      </c>
      <c r="J20" s="275">
        <f t="shared" si="3"/>
        <v>7.379774339642399E-2</v>
      </c>
      <c r="K20" s="387"/>
      <c r="M20" s="34"/>
      <c r="N20" s="101"/>
      <c r="O20" s="338"/>
      <c r="P20" s="101"/>
      <c r="Q20" s="101"/>
      <c r="R20" s="101"/>
      <c r="S20" s="101"/>
      <c r="T20" s="101"/>
      <c r="U20" s="101"/>
      <c r="V20" s="101"/>
      <c r="W20" s="101"/>
      <c r="X20" s="101"/>
    </row>
    <row r="21" spans="2:24" ht="15" customHeight="1" x14ac:dyDescent="0.3">
      <c r="B21" s="154" t="s">
        <v>564</v>
      </c>
      <c r="C21" s="154" t="s">
        <v>691</v>
      </c>
      <c r="D21" s="155" t="s">
        <v>581</v>
      </c>
      <c r="E21" s="239">
        <v>81999</v>
      </c>
      <c r="F21" s="156">
        <v>158625</v>
      </c>
      <c r="G21" s="156">
        <v>94348</v>
      </c>
      <c r="H21" s="156">
        <v>97424</v>
      </c>
      <c r="I21" s="275">
        <f t="shared" si="2"/>
        <v>-0.48306382978723406</v>
      </c>
      <c r="J21" s="275">
        <f t="shared" si="3"/>
        <v>-0.15832854327475776</v>
      </c>
      <c r="K21" s="387"/>
      <c r="M21" s="34"/>
      <c r="N21" s="101"/>
      <c r="O21" s="101"/>
      <c r="P21" s="101"/>
      <c r="Q21" s="101"/>
      <c r="R21" s="101"/>
      <c r="S21" s="101"/>
      <c r="T21" s="101"/>
      <c r="U21" s="101"/>
      <c r="V21" s="101"/>
      <c r="W21" s="101"/>
      <c r="X21" s="101"/>
    </row>
    <row r="22" spans="2:24" ht="15" customHeight="1" x14ac:dyDescent="0.3">
      <c r="B22" s="154" t="s">
        <v>565</v>
      </c>
      <c r="C22" s="154" t="s">
        <v>692</v>
      </c>
      <c r="D22" s="155" t="s">
        <v>581</v>
      </c>
      <c r="E22" s="239">
        <v>4004</v>
      </c>
      <c r="F22" s="156">
        <v>5220</v>
      </c>
      <c r="G22" s="156">
        <v>4549</v>
      </c>
      <c r="H22" s="156">
        <v>3439</v>
      </c>
      <c r="I22" s="275">
        <f t="shared" si="2"/>
        <v>-0.23295019157088123</v>
      </c>
      <c r="J22" s="275">
        <f t="shared" si="3"/>
        <v>0.16429194533294561</v>
      </c>
      <c r="K22" s="387"/>
      <c r="M22" s="34"/>
      <c r="N22" s="101"/>
      <c r="O22" s="101"/>
      <c r="P22" s="101"/>
      <c r="Q22" s="101"/>
      <c r="R22" s="101"/>
      <c r="S22" s="101"/>
      <c r="T22" s="101"/>
      <c r="U22" s="101"/>
      <c r="V22" s="101"/>
      <c r="W22" s="101"/>
      <c r="X22" s="101"/>
    </row>
    <row r="23" spans="2:24" ht="15" customHeight="1" x14ac:dyDescent="0.3">
      <c r="B23" s="154" t="s">
        <v>566</v>
      </c>
      <c r="C23" s="154" t="s">
        <v>693</v>
      </c>
      <c r="D23" s="155" t="s">
        <v>581</v>
      </c>
      <c r="E23" s="239">
        <v>5077.3333333333303</v>
      </c>
      <c r="F23" s="156">
        <v>1336</v>
      </c>
      <c r="G23" s="156">
        <v>67</v>
      </c>
      <c r="H23" s="156">
        <v>9202</v>
      </c>
      <c r="I23" s="275">
        <f t="shared" si="2"/>
        <v>2.8003992015968042</v>
      </c>
      <c r="J23" s="275">
        <f t="shared" si="3"/>
        <v>-0.44823589074838838</v>
      </c>
      <c r="K23" s="387"/>
      <c r="M23" s="34"/>
      <c r="N23" s="101"/>
      <c r="O23" s="101"/>
      <c r="P23" s="101"/>
      <c r="Q23" s="101"/>
      <c r="R23" s="101"/>
      <c r="S23" s="101"/>
      <c r="T23" s="101"/>
      <c r="U23" s="101"/>
      <c r="V23" s="101"/>
      <c r="W23" s="101"/>
      <c r="X23" s="101"/>
    </row>
    <row r="24" spans="2:24" ht="15" customHeight="1" x14ac:dyDescent="0.3">
      <c r="B24" s="154" t="s">
        <v>567</v>
      </c>
      <c r="C24" s="154" t="s">
        <v>694</v>
      </c>
      <c r="D24" s="155" t="s">
        <v>581</v>
      </c>
      <c r="E24" s="239">
        <v>13627</v>
      </c>
      <c r="F24" s="156">
        <v>13517.48</v>
      </c>
      <c r="G24" s="156">
        <v>25763.02</v>
      </c>
      <c r="H24" s="156">
        <v>25763.02</v>
      </c>
      <c r="I24" s="275">
        <f t="shared" si="2"/>
        <v>8.1021018710588401E-3</v>
      </c>
      <c r="J24" s="275">
        <f t="shared" si="3"/>
        <v>-0.47106356320027698</v>
      </c>
      <c r="K24" s="387"/>
      <c r="M24" s="34"/>
      <c r="N24" s="101"/>
      <c r="O24" s="101"/>
      <c r="P24" s="101"/>
      <c r="Q24" s="101"/>
      <c r="R24" s="101"/>
      <c r="S24" s="101"/>
      <c r="T24" s="101"/>
      <c r="U24" s="101"/>
      <c r="V24" s="101"/>
      <c r="W24" s="101"/>
      <c r="X24" s="101"/>
    </row>
    <row r="25" spans="2:24" ht="15" customHeight="1" x14ac:dyDescent="0.3">
      <c r="B25" s="154" t="s">
        <v>568</v>
      </c>
      <c r="C25" s="154" t="s">
        <v>695</v>
      </c>
      <c r="D25" s="155" t="s">
        <v>581</v>
      </c>
      <c r="E25" s="239">
        <v>523</v>
      </c>
      <c r="F25" s="156">
        <v>698</v>
      </c>
      <c r="G25" s="156">
        <v>602</v>
      </c>
      <c r="H25" s="156">
        <v>5094</v>
      </c>
      <c r="I25" s="275">
        <f t="shared" si="2"/>
        <v>-0.25071633237822349</v>
      </c>
      <c r="J25" s="275">
        <f t="shared" si="3"/>
        <v>-0.89733019238319589</v>
      </c>
      <c r="K25" s="387"/>
      <c r="M25" s="34"/>
      <c r="N25" s="101"/>
      <c r="O25" s="101"/>
      <c r="P25" s="101"/>
      <c r="Q25" s="101"/>
      <c r="R25" s="101"/>
      <c r="S25" s="101"/>
      <c r="T25" s="101"/>
      <c r="U25" s="101"/>
      <c r="V25" s="101"/>
      <c r="W25" s="101"/>
      <c r="X25" s="101"/>
    </row>
    <row r="26" spans="2:24" ht="15" customHeight="1" x14ac:dyDescent="0.3">
      <c r="B26" s="154" t="s">
        <v>569</v>
      </c>
      <c r="C26" s="154" t="s">
        <v>696</v>
      </c>
      <c r="D26" s="155" t="s">
        <v>581</v>
      </c>
      <c r="E26" s="239">
        <v>0</v>
      </c>
      <c r="F26" s="156">
        <v>0</v>
      </c>
      <c r="G26" s="156">
        <v>0</v>
      </c>
      <c r="H26" s="156">
        <v>0</v>
      </c>
      <c r="I26" s="275"/>
      <c r="J26" s="275"/>
      <c r="K26" s="387"/>
      <c r="M26" s="34"/>
      <c r="N26" s="101"/>
      <c r="O26" s="101"/>
      <c r="P26" s="101"/>
      <c r="Q26" s="101"/>
      <c r="R26" s="101"/>
      <c r="S26" s="101"/>
      <c r="T26" s="101"/>
      <c r="U26" s="101"/>
      <c r="V26" s="101"/>
      <c r="W26" s="101"/>
      <c r="X26" s="101"/>
    </row>
    <row r="27" spans="2:24" ht="15" customHeight="1" x14ac:dyDescent="0.3">
      <c r="B27" s="154" t="s">
        <v>570</v>
      </c>
      <c r="C27" s="154" t="s">
        <v>697</v>
      </c>
      <c r="D27" s="155" t="s">
        <v>581</v>
      </c>
      <c r="E27" s="239">
        <v>0</v>
      </c>
      <c r="F27" s="156">
        <v>0</v>
      </c>
      <c r="G27" s="156">
        <v>0</v>
      </c>
      <c r="H27" s="156">
        <v>0</v>
      </c>
      <c r="I27" s="275"/>
      <c r="J27" s="275"/>
      <c r="K27" s="387"/>
      <c r="M27" s="34"/>
      <c r="N27" s="101"/>
      <c r="O27" s="101"/>
      <c r="P27" s="101"/>
      <c r="Q27" s="101"/>
      <c r="R27" s="101"/>
      <c r="S27" s="101"/>
      <c r="T27" s="101"/>
      <c r="U27" s="101"/>
      <c r="V27" s="101"/>
      <c r="W27" s="101"/>
      <c r="X27" s="101"/>
    </row>
    <row r="28" spans="2:24" ht="15" customHeight="1" x14ac:dyDescent="0.3">
      <c r="B28" s="154" t="s">
        <v>571</v>
      </c>
      <c r="C28" s="154" t="s">
        <v>698</v>
      </c>
      <c r="D28" s="155" t="s">
        <v>581</v>
      </c>
      <c r="E28" s="239">
        <v>0</v>
      </c>
      <c r="F28" s="156">
        <v>0</v>
      </c>
      <c r="G28" s="156">
        <v>0</v>
      </c>
      <c r="H28" s="156">
        <v>0</v>
      </c>
      <c r="I28" s="275"/>
      <c r="J28" s="275"/>
      <c r="K28" s="387"/>
      <c r="M28" s="34"/>
      <c r="N28" s="101"/>
      <c r="O28" s="101"/>
      <c r="P28" s="101"/>
      <c r="Q28" s="101"/>
      <c r="R28" s="101"/>
      <c r="S28" s="101"/>
      <c r="T28" s="101"/>
      <c r="U28" s="101"/>
      <c r="V28" s="101"/>
      <c r="W28" s="101"/>
      <c r="X28" s="101"/>
    </row>
    <row r="29" spans="2:24" ht="15" customHeight="1" x14ac:dyDescent="0.3">
      <c r="B29" s="154" t="s">
        <v>572</v>
      </c>
      <c r="C29" s="154" t="s">
        <v>699</v>
      </c>
      <c r="D29" s="155" t="s">
        <v>581</v>
      </c>
      <c r="E29" s="239">
        <v>0</v>
      </c>
      <c r="F29" s="156">
        <v>0</v>
      </c>
      <c r="G29" s="156">
        <v>0</v>
      </c>
      <c r="H29" s="156">
        <v>0</v>
      </c>
      <c r="I29" s="275"/>
      <c r="J29" s="275"/>
      <c r="K29" s="387"/>
      <c r="M29" s="34"/>
      <c r="N29" s="101"/>
      <c r="O29" s="101"/>
      <c r="P29" s="101"/>
      <c r="Q29" s="101"/>
      <c r="R29" s="101"/>
      <c r="S29" s="101"/>
      <c r="T29" s="101"/>
      <c r="U29" s="101"/>
      <c r="V29" s="101"/>
      <c r="W29" s="101"/>
      <c r="X29" s="101"/>
    </row>
    <row r="30" spans="2:24" ht="15" customHeight="1" x14ac:dyDescent="0.3">
      <c r="B30" s="154" t="s">
        <v>573</v>
      </c>
      <c r="C30" s="154" t="s">
        <v>700</v>
      </c>
      <c r="D30" s="155" t="s">
        <v>581</v>
      </c>
      <c r="E30" s="239">
        <v>0</v>
      </c>
      <c r="F30" s="156">
        <v>0</v>
      </c>
      <c r="G30" s="156">
        <v>0</v>
      </c>
      <c r="H30" s="156">
        <v>0</v>
      </c>
      <c r="I30" s="275"/>
      <c r="J30" s="275"/>
      <c r="K30" s="387"/>
      <c r="M30" s="34"/>
      <c r="N30" s="101"/>
      <c r="O30" s="101"/>
      <c r="P30" s="101"/>
      <c r="Q30" s="101"/>
      <c r="R30" s="101"/>
      <c r="S30" s="101"/>
      <c r="T30" s="101"/>
      <c r="U30" s="101"/>
      <c r="V30" s="101"/>
      <c r="W30" s="101"/>
      <c r="X30" s="101"/>
    </row>
    <row r="31" spans="2:24" ht="15" customHeight="1" x14ac:dyDescent="0.3">
      <c r="B31" s="154" t="s">
        <v>574</v>
      </c>
      <c r="C31" s="154" t="s">
        <v>701</v>
      </c>
      <c r="D31" s="155" t="s">
        <v>581</v>
      </c>
      <c r="E31" s="239">
        <v>0</v>
      </c>
      <c r="F31" s="156">
        <v>0</v>
      </c>
      <c r="G31" s="156">
        <v>0</v>
      </c>
      <c r="H31" s="156">
        <v>0</v>
      </c>
      <c r="I31" s="275"/>
      <c r="J31" s="275"/>
      <c r="K31" s="387"/>
      <c r="M31" s="34"/>
      <c r="N31" s="101"/>
      <c r="O31" s="101"/>
      <c r="P31" s="101"/>
      <c r="Q31" s="101"/>
      <c r="R31" s="101"/>
      <c r="S31" s="101"/>
      <c r="T31" s="101"/>
      <c r="U31" s="101"/>
      <c r="V31" s="101"/>
      <c r="W31" s="101"/>
      <c r="X31" s="101"/>
    </row>
    <row r="32" spans="2:24" ht="15" customHeight="1" x14ac:dyDescent="0.3">
      <c r="B32" s="154" t="s">
        <v>575</v>
      </c>
      <c r="C32" s="154" t="s">
        <v>702</v>
      </c>
      <c r="D32" s="155" t="s">
        <v>581</v>
      </c>
      <c r="E32" s="239">
        <v>125196</v>
      </c>
      <c r="F32" s="156">
        <v>118356</v>
      </c>
      <c r="G32" s="156">
        <v>119005</v>
      </c>
      <c r="H32" s="156">
        <v>129337</v>
      </c>
      <c r="I32" s="275">
        <f>(E32-F32)/F32</f>
        <v>5.779174693298185E-2</v>
      </c>
      <c r="J32" s="275">
        <f>(E32-H32)/H32</f>
        <v>-3.2017133534874009E-2</v>
      </c>
      <c r="K32" s="387"/>
      <c r="M32" s="34"/>
      <c r="N32" s="101"/>
      <c r="O32" s="101"/>
      <c r="P32" s="101"/>
      <c r="Q32" s="101"/>
      <c r="R32" s="101"/>
      <c r="S32" s="101"/>
      <c r="T32" s="101"/>
      <c r="U32" s="101"/>
      <c r="V32" s="101"/>
      <c r="W32" s="101"/>
      <c r="X32" s="101"/>
    </row>
    <row r="33" spans="2:24" ht="15" x14ac:dyDescent="0.3">
      <c r="B33" s="157" t="s">
        <v>703</v>
      </c>
      <c r="C33" s="157"/>
      <c r="D33" s="157" t="s">
        <v>704</v>
      </c>
      <c r="E33" s="239">
        <f>SUM(E18:E32)</f>
        <v>2944248.3333333335</v>
      </c>
      <c r="F33" s="158">
        <f>SUM(F18:F32)</f>
        <v>3483095.48</v>
      </c>
      <c r="G33" s="158">
        <f>SUM(G18:G32)</f>
        <v>3336003.02</v>
      </c>
      <c r="H33" s="158">
        <f>SUM(H18:H32)</f>
        <v>4109259.02</v>
      </c>
      <c r="I33" s="275">
        <f>(E33-F33)/F33</f>
        <v>-0.15470352442553958</v>
      </c>
      <c r="J33" s="275">
        <f>(E33-H33)/H33</f>
        <v>-0.28350870095958725</v>
      </c>
      <c r="K33" s="387"/>
      <c r="M33" s="34"/>
      <c r="N33" s="101"/>
      <c r="O33" s="101"/>
      <c r="P33" s="101"/>
      <c r="Q33" s="101"/>
      <c r="R33" s="101"/>
      <c r="S33" s="101"/>
      <c r="T33" s="101"/>
      <c r="U33" s="101"/>
      <c r="V33" s="101"/>
      <c r="W33" s="101"/>
      <c r="X33" s="101"/>
    </row>
    <row r="34" spans="2:24" x14ac:dyDescent="0.3">
      <c r="B34" s="118"/>
      <c r="C34" s="119"/>
      <c r="D34" s="120"/>
      <c r="E34" s="120"/>
      <c r="F34" s="120"/>
      <c r="G34" s="121"/>
      <c r="H34" s="121"/>
      <c r="I34" s="117"/>
      <c r="J34" s="117"/>
      <c r="K34" s="117"/>
      <c r="L34" s="117"/>
      <c r="M34" s="34"/>
      <c r="N34" s="101"/>
      <c r="O34" s="101"/>
      <c r="P34" s="101"/>
      <c r="Q34" s="101"/>
      <c r="R34" s="101"/>
      <c r="S34" s="101"/>
      <c r="T34" s="101"/>
      <c r="U34" s="101"/>
      <c r="V34" s="101"/>
      <c r="W34" s="101"/>
      <c r="X34" s="101"/>
    </row>
    <row r="35" spans="2:24" ht="17.399999999999999" x14ac:dyDescent="0.3">
      <c r="B35" s="228" t="s">
        <v>705</v>
      </c>
      <c r="C35" s="159"/>
      <c r="D35" s="229" t="s">
        <v>430</v>
      </c>
      <c r="E35" s="267" t="str">
        <f>E17</f>
        <v>2022/23</v>
      </c>
      <c r="F35" s="268" t="str">
        <f>F17</f>
        <v>2021/22</v>
      </c>
      <c r="G35" s="268" t="str">
        <f>G17</f>
        <v>2020/21</v>
      </c>
      <c r="H35" s="268" t="str">
        <f>H17</f>
        <v>2019/20</v>
      </c>
      <c r="I35" s="121"/>
      <c r="K35" s="122"/>
      <c r="M35" s="122"/>
      <c r="N35" s="122" t="s">
        <v>1162</v>
      </c>
      <c r="O35" s="101"/>
      <c r="P35" s="101"/>
      <c r="Q35" s="101"/>
      <c r="R35" s="101"/>
      <c r="S35" s="101"/>
      <c r="T35" s="101"/>
      <c r="U35" s="101"/>
      <c r="V35" s="101"/>
      <c r="W35" s="101"/>
      <c r="X35" s="101"/>
    </row>
    <row r="36" spans="2:24" ht="15" x14ac:dyDescent="0.3">
      <c r="B36" s="160" t="str">
        <f>B10</f>
        <v>Total Scope 1 GHG emissions</v>
      </c>
      <c r="C36" s="161" t="s">
        <v>438</v>
      </c>
      <c r="D36" s="155" t="s">
        <v>581</v>
      </c>
      <c r="E36" s="240">
        <f>E10</f>
        <v>233300</v>
      </c>
      <c r="F36" s="162">
        <f>H10</f>
        <v>239862</v>
      </c>
      <c r="G36" s="162">
        <f>K10</f>
        <v>240473</v>
      </c>
      <c r="H36" s="162">
        <f>N10</f>
        <v>238069</v>
      </c>
      <c r="K36" s="122"/>
      <c r="M36" s="122" t="s">
        <v>1163</v>
      </c>
      <c r="N36" s="381">
        <f>E36/$E$40</f>
        <v>7.0527397611580958E-2</v>
      </c>
      <c r="O36" s="101"/>
      <c r="P36" s="101"/>
      <c r="Q36" s="101"/>
      <c r="R36" s="101"/>
      <c r="S36" s="101"/>
      <c r="T36" s="101"/>
      <c r="U36" s="101"/>
      <c r="V36" s="101"/>
      <c r="W36" s="101"/>
      <c r="X36" s="101"/>
    </row>
    <row r="37" spans="2:24" ht="15" x14ac:dyDescent="0.3">
      <c r="B37" s="160" t="str">
        <f>B11</f>
        <v>Total Scope 2 GHG emissions (market-based)</v>
      </c>
      <c r="C37" s="161" t="s">
        <v>438</v>
      </c>
      <c r="D37" s="155" t="s">
        <v>581</v>
      </c>
      <c r="E37" s="240">
        <f>E11</f>
        <v>130386</v>
      </c>
      <c r="F37" s="162">
        <f>H11</f>
        <v>170248</v>
      </c>
      <c r="G37" s="162">
        <f>K11</f>
        <v>169111</v>
      </c>
      <c r="H37" s="162">
        <f>N11</f>
        <v>179749</v>
      </c>
      <c r="K37" s="122"/>
      <c r="M37" s="122" t="s">
        <v>1164</v>
      </c>
      <c r="N37" s="381">
        <f>E37/$E$40</f>
        <v>3.941613915552334E-2</v>
      </c>
      <c r="O37" s="101"/>
      <c r="P37" s="101"/>
      <c r="Q37" s="101"/>
      <c r="R37" s="101"/>
      <c r="S37" s="101"/>
      <c r="T37" s="101"/>
      <c r="U37" s="101"/>
      <c r="V37" s="101"/>
      <c r="W37" s="101"/>
      <c r="X37" s="101"/>
    </row>
    <row r="38" spans="2:24" ht="19.5" customHeight="1" x14ac:dyDescent="0.3">
      <c r="B38" s="160" t="str">
        <f>"Scope 3 - "&amp;B18</f>
        <v>Scope 3 - Total Scope 3 (Category 1) Purchased goods and services GHG emissions</v>
      </c>
      <c r="C38" s="154" t="s">
        <v>706</v>
      </c>
      <c r="D38" s="155" t="s">
        <v>581</v>
      </c>
      <c r="E38" s="240">
        <f>E18</f>
        <v>2495475</v>
      </c>
      <c r="F38" s="162">
        <f>F18</f>
        <v>2978197</v>
      </c>
      <c r="G38" s="162">
        <f>G18</f>
        <v>2812518</v>
      </c>
      <c r="H38" s="162">
        <f>H18</f>
        <v>3433660</v>
      </c>
      <c r="K38" s="122"/>
      <c r="M38" s="122" t="s">
        <v>1165</v>
      </c>
      <c r="N38" s="381">
        <f>E38/$E$40</f>
        <v>0.75439073105340759</v>
      </c>
      <c r="O38" s="101"/>
      <c r="P38" s="101"/>
      <c r="Q38" s="101"/>
      <c r="R38" s="101"/>
      <c r="S38" s="101"/>
      <c r="T38" s="101"/>
      <c r="U38" s="101"/>
      <c r="V38" s="101"/>
      <c r="W38" s="101"/>
      <c r="X38" s="101"/>
    </row>
    <row r="39" spans="2:24" ht="15" x14ac:dyDescent="0.3">
      <c r="B39" s="160" t="str">
        <f>"Scope 3 - All other categories"</f>
        <v>Scope 3 - All other categories</v>
      </c>
      <c r="C39" s="161" t="s">
        <v>707</v>
      </c>
      <c r="D39" s="155" t="s">
        <v>581</v>
      </c>
      <c r="E39" s="240">
        <f>E33-E18</f>
        <v>448773.33333333349</v>
      </c>
      <c r="F39" s="162">
        <f>F33-F18</f>
        <v>504898.48</v>
      </c>
      <c r="G39" s="162">
        <f>G33-G18</f>
        <v>523485.02</v>
      </c>
      <c r="H39" s="162">
        <f>H33-H18</f>
        <v>675599.02</v>
      </c>
      <c r="K39" s="122"/>
      <c r="M39" s="122" t="s">
        <v>1166</v>
      </c>
      <c r="N39" s="381">
        <f>E39/$E$40</f>
        <v>0.13566573217948807</v>
      </c>
      <c r="O39" s="101"/>
      <c r="P39" s="101"/>
      <c r="Q39" s="101"/>
      <c r="R39" s="101"/>
      <c r="S39" s="101"/>
      <c r="T39" s="101"/>
      <c r="U39" s="101"/>
      <c r="V39" s="101"/>
      <c r="W39" s="101"/>
      <c r="X39" s="101"/>
    </row>
    <row r="40" spans="2:24" ht="15" x14ac:dyDescent="0.3">
      <c r="B40" s="232" t="s">
        <v>708</v>
      </c>
      <c r="C40" s="232"/>
      <c r="D40" s="157" t="s">
        <v>704</v>
      </c>
      <c r="E40" s="240">
        <f>SUM(E36:E39)</f>
        <v>3307934.3333333335</v>
      </c>
      <c r="F40" s="233">
        <f t="shared" ref="F40:H40" si="4">SUM(F36:F39)</f>
        <v>3893205.48</v>
      </c>
      <c r="G40" s="233">
        <f t="shared" si="4"/>
        <v>3745587.02</v>
      </c>
      <c r="H40" s="233">
        <f t="shared" si="4"/>
        <v>4527077.0199999996</v>
      </c>
      <c r="K40" s="122"/>
      <c r="M40" s="122"/>
      <c r="N40" s="381">
        <f>E40/$E$40</f>
        <v>1</v>
      </c>
      <c r="O40" s="101"/>
      <c r="P40" s="101"/>
      <c r="Q40" s="101"/>
      <c r="R40" s="101"/>
      <c r="S40" s="101"/>
      <c r="T40" s="101"/>
      <c r="U40" s="101"/>
      <c r="V40" s="101"/>
      <c r="W40" s="101"/>
      <c r="X40" s="101"/>
    </row>
    <row r="41" spans="2:24" x14ac:dyDescent="0.3">
      <c r="B41" s="120"/>
      <c r="C41" s="119"/>
      <c r="D41" s="120"/>
      <c r="E41" s="120"/>
      <c r="F41" s="120"/>
      <c r="G41" s="121"/>
      <c r="H41" s="121"/>
      <c r="I41" s="121"/>
      <c r="J41" s="122"/>
      <c r="K41" s="122"/>
      <c r="L41" s="122"/>
      <c r="M41" s="101"/>
      <c r="N41" s="101">
        <f>7.1+3.9+75.4+13.6</f>
        <v>100</v>
      </c>
      <c r="O41" s="101"/>
      <c r="P41" s="101"/>
      <c r="Q41" s="101"/>
      <c r="R41" s="101"/>
      <c r="S41" s="101"/>
      <c r="T41" s="101"/>
      <c r="U41" s="101"/>
      <c r="V41" s="101"/>
      <c r="W41" s="101"/>
      <c r="X41" s="101"/>
    </row>
    <row r="42" spans="2:24" ht="17.399999999999999" x14ac:dyDescent="0.3">
      <c r="B42" s="228" t="s">
        <v>662</v>
      </c>
      <c r="C42" s="159"/>
      <c r="D42" s="229" t="s">
        <v>430</v>
      </c>
      <c r="E42" s="468" t="str">
        <f>E35</f>
        <v>2022/23</v>
      </c>
      <c r="F42" s="268" t="str">
        <f>F35</f>
        <v>2021/22</v>
      </c>
      <c r="G42" s="268" t="str">
        <f>G35</f>
        <v>2020/21</v>
      </c>
      <c r="H42" s="268" t="str">
        <f>H35</f>
        <v>2019/20</v>
      </c>
      <c r="I42" s="121"/>
      <c r="J42" s="122"/>
      <c r="K42" s="122"/>
      <c r="L42" s="122"/>
      <c r="M42" s="101"/>
      <c r="N42" s="101"/>
      <c r="O42" s="101"/>
      <c r="P42" s="101"/>
      <c r="Q42" s="101"/>
      <c r="R42" s="101"/>
      <c r="S42" s="101"/>
      <c r="T42" s="101"/>
      <c r="U42" s="101"/>
      <c r="V42" s="101"/>
      <c r="W42" s="101"/>
      <c r="X42" s="101"/>
    </row>
    <row r="43" spans="2:24" ht="19.5" customHeight="1" x14ac:dyDescent="0.3">
      <c r="B43" s="160" t="s">
        <v>663</v>
      </c>
      <c r="C43" s="161" t="s">
        <v>1167</v>
      </c>
      <c r="D43" s="155" t="s">
        <v>664</v>
      </c>
      <c r="E43" s="240">
        <v>108126</v>
      </c>
      <c r="F43" s="162">
        <v>109536</v>
      </c>
      <c r="G43" s="162">
        <v>106223</v>
      </c>
      <c r="H43" s="162">
        <v>113152</v>
      </c>
      <c r="I43" s="121"/>
      <c r="J43" s="122"/>
      <c r="K43" s="122"/>
      <c r="L43" s="122"/>
      <c r="M43" s="101"/>
      <c r="N43" s="101"/>
      <c r="O43" s="101"/>
      <c r="P43" s="101"/>
      <c r="Q43" s="101"/>
      <c r="R43" s="101"/>
      <c r="S43" s="101"/>
      <c r="T43" s="101"/>
      <c r="U43" s="101"/>
      <c r="V43" s="101"/>
      <c r="W43" s="101"/>
      <c r="X43" s="101"/>
    </row>
    <row r="44" spans="2:24" x14ac:dyDescent="0.3">
      <c r="B44" s="120"/>
      <c r="C44" s="119"/>
      <c r="D44" s="120"/>
      <c r="E44" s="120"/>
      <c r="F44" s="120"/>
      <c r="G44" s="120"/>
      <c r="H44" s="120"/>
      <c r="I44" s="120"/>
      <c r="J44" s="122"/>
      <c r="K44" s="122"/>
      <c r="L44" s="122"/>
      <c r="M44" s="101"/>
      <c r="N44" s="101"/>
      <c r="O44" s="101"/>
      <c r="P44" s="101"/>
      <c r="Q44" s="101"/>
      <c r="R44" s="101"/>
      <c r="S44" s="101"/>
      <c r="T44" s="101"/>
      <c r="U44" s="101"/>
      <c r="V44" s="101"/>
      <c r="W44" s="101"/>
      <c r="X44" s="101"/>
    </row>
    <row r="45" spans="2:24" ht="24.6" x14ac:dyDescent="0.3">
      <c r="B45" s="123" t="s">
        <v>607</v>
      </c>
      <c r="C45" s="107"/>
      <c r="D45" s="108"/>
      <c r="E45" s="108"/>
      <c r="F45" s="108"/>
      <c r="G45" s="1593"/>
      <c r="H45" s="1593"/>
      <c r="I45" s="1593"/>
      <c r="J45" s="109"/>
      <c r="K45" s="109"/>
      <c r="L45" s="124"/>
      <c r="M45" s="124"/>
      <c r="N45" s="124"/>
      <c r="O45" s="124"/>
    </row>
    <row r="46" spans="2:24" x14ac:dyDescent="0.3">
      <c r="B46" s="125"/>
      <c r="C46" s="126"/>
      <c r="D46" s="127"/>
      <c r="E46" s="128"/>
      <c r="F46" s="127"/>
      <c r="G46" s="127"/>
      <c r="H46" s="127"/>
    </row>
    <row r="47" spans="2:24" ht="36" x14ac:dyDescent="0.3">
      <c r="B47" s="243" t="s">
        <v>34</v>
      </c>
      <c r="C47" s="244" t="s">
        <v>798</v>
      </c>
      <c r="D47" s="229" t="s">
        <v>430</v>
      </c>
      <c r="E47" s="245" t="s">
        <v>433</v>
      </c>
      <c r="F47" s="269" t="s">
        <v>434</v>
      </c>
      <c r="G47" s="270" t="s">
        <v>435</v>
      </c>
      <c r="H47" s="270" t="s">
        <v>436</v>
      </c>
      <c r="I47" s="273" t="str">
        <f>I17</f>
        <v>Performance against prior year</v>
      </c>
      <c r="J47" s="273" t="str">
        <f>J17</f>
        <v>Performance against 2019/20 baseline</v>
      </c>
      <c r="K47" s="273" t="str">
        <f>K17</f>
        <v>Progress towards 2030 target</v>
      </c>
    </row>
    <row r="48" spans="2:24" ht="17.399999999999999" x14ac:dyDescent="0.3">
      <c r="B48" s="186" t="s">
        <v>608</v>
      </c>
      <c r="C48" s="164"/>
      <c r="D48" s="163"/>
      <c r="E48" s="165"/>
      <c r="F48" s="165"/>
      <c r="G48" s="165"/>
      <c r="H48" s="165"/>
      <c r="I48" s="275"/>
      <c r="J48" s="275"/>
      <c r="K48" s="387"/>
    </row>
    <row r="49" spans="2:12" ht="15.6" x14ac:dyDescent="0.3">
      <c r="B49" s="166" t="s">
        <v>609</v>
      </c>
      <c r="C49" s="167" t="s">
        <v>709</v>
      </c>
      <c r="D49" s="168" t="s">
        <v>610</v>
      </c>
      <c r="E49" s="241">
        <v>1705818</v>
      </c>
      <c r="F49" s="169">
        <v>1815379</v>
      </c>
      <c r="G49" s="170">
        <v>1698159</v>
      </c>
      <c r="H49" s="170">
        <v>1849211</v>
      </c>
      <c r="I49" s="275">
        <f t="shared" ref="I49:I54" si="5">(E49-F49)/F49</f>
        <v>-6.0351584985834913E-2</v>
      </c>
      <c r="J49" s="275">
        <f>(E49-H49)/H49</f>
        <v>-7.7542800686346766E-2</v>
      </c>
      <c r="K49" s="387"/>
      <c r="L49" s="129"/>
    </row>
    <row r="50" spans="2:12" ht="15.6" x14ac:dyDescent="0.3">
      <c r="B50" s="166" t="s">
        <v>611</v>
      </c>
      <c r="C50" s="167" t="s">
        <v>710</v>
      </c>
      <c r="D50" s="168" t="s">
        <v>610</v>
      </c>
      <c r="E50" s="242">
        <v>0</v>
      </c>
      <c r="F50" s="171">
        <v>0</v>
      </c>
      <c r="G50" s="172">
        <v>0</v>
      </c>
      <c r="H50" s="172">
        <v>0</v>
      </c>
      <c r="I50" s="275"/>
      <c r="J50" s="275"/>
      <c r="K50" s="387"/>
    </row>
    <row r="51" spans="2:12" ht="27.6" x14ac:dyDescent="0.3">
      <c r="B51" s="166" t="s">
        <v>612</v>
      </c>
      <c r="C51" s="167" t="s">
        <v>711</v>
      </c>
      <c r="D51" s="168" t="s">
        <v>610</v>
      </c>
      <c r="E51" s="242">
        <v>95060</v>
      </c>
      <c r="F51" s="171">
        <v>95150</v>
      </c>
      <c r="G51" s="173">
        <v>78886</v>
      </c>
      <c r="H51" s="173">
        <v>72326</v>
      </c>
      <c r="I51" s="275">
        <f t="shared" si="5"/>
        <v>-9.4587493431424064E-4</v>
      </c>
      <c r="J51" s="275">
        <f t="shared" ref="J51:J54" si="6">(E51-H51)/H51</f>
        <v>0.31432679810856401</v>
      </c>
      <c r="K51" s="387"/>
    </row>
    <row r="52" spans="2:12" ht="18" customHeight="1" x14ac:dyDescent="0.3">
      <c r="B52" s="174" t="s">
        <v>470</v>
      </c>
      <c r="C52" s="175" t="s">
        <v>713</v>
      </c>
      <c r="D52" s="176" t="s">
        <v>614</v>
      </c>
      <c r="E52" s="165">
        <f>SUM(E49:E51)</f>
        <v>1800878</v>
      </c>
      <c r="F52" s="177">
        <f>SUM(F49:F51)</f>
        <v>1910529</v>
      </c>
      <c r="G52" s="177">
        <f>SUM(G49:G51)</f>
        <v>1777045</v>
      </c>
      <c r="H52" s="177">
        <f>SUM(H49:H51)</f>
        <v>1921537</v>
      </c>
      <c r="I52" s="275">
        <f t="shared" si="5"/>
        <v>-5.7393004764648953E-2</v>
      </c>
      <c r="J52" s="275">
        <f t="shared" si="6"/>
        <v>-6.2792962092325044E-2</v>
      </c>
      <c r="K52" s="387"/>
    </row>
    <row r="53" spans="2:12" ht="17.399999999999999" x14ac:dyDescent="0.3">
      <c r="B53" s="186" t="s">
        <v>714</v>
      </c>
      <c r="C53" s="164"/>
      <c r="D53" s="163"/>
      <c r="E53" s="165"/>
      <c r="F53" s="165"/>
      <c r="G53" s="165"/>
      <c r="H53" s="165"/>
      <c r="I53" s="275"/>
      <c r="J53" s="275"/>
      <c r="K53" s="387"/>
    </row>
    <row r="54" spans="2:12" ht="41.4" x14ac:dyDescent="0.3">
      <c r="B54" s="180" t="s">
        <v>616</v>
      </c>
      <c r="C54" s="167" t="s">
        <v>1149</v>
      </c>
      <c r="D54" s="176" t="s">
        <v>614</v>
      </c>
      <c r="E54" s="241">
        <v>48993</v>
      </c>
      <c r="F54" s="179">
        <v>77174</v>
      </c>
      <c r="G54" s="179">
        <v>65976</v>
      </c>
      <c r="H54" s="179">
        <v>72194</v>
      </c>
      <c r="I54" s="275">
        <f t="shared" si="5"/>
        <v>-0.36516184207116387</v>
      </c>
      <c r="J54" s="275">
        <f t="shared" si="6"/>
        <v>-0.32137019696927721</v>
      </c>
      <c r="K54" s="387"/>
    </row>
    <row r="55" spans="2:12" ht="17.399999999999999" x14ac:dyDescent="0.3">
      <c r="B55" s="186" t="s">
        <v>621</v>
      </c>
      <c r="C55" s="164"/>
      <c r="D55" s="163"/>
      <c r="E55" s="165"/>
      <c r="F55" s="165"/>
      <c r="G55" s="165"/>
      <c r="H55" s="165"/>
      <c r="I55" s="275"/>
      <c r="J55" s="275"/>
      <c r="K55" s="387"/>
    </row>
    <row r="56" spans="2:12" ht="20.100000000000001" customHeight="1" x14ac:dyDescent="0.3">
      <c r="B56" s="174" t="s">
        <v>473</v>
      </c>
      <c r="C56" s="180" t="s">
        <v>718</v>
      </c>
      <c r="D56" s="174" t="s">
        <v>622</v>
      </c>
      <c r="E56" s="241">
        <f>(E52-E54)/1000</f>
        <v>1751.885</v>
      </c>
      <c r="F56" s="178">
        <f>(F52-F54)/1000</f>
        <v>1833.355</v>
      </c>
      <c r="G56" s="178">
        <f>(G52-G54)/1000</f>
        <v>1711.069</v>
      </c>
      <c r="H56" s="178">
        <f>(H52-H54)/1000</f>
        <v>1849.3430000000001</v>
      </c>
      <c r="I56" s="275">
        <f>(E56-F56)/F56</f>
        <v>-4.4437656645876018E-2</v>
      </c>
      <c r="J56" s="275">
        <f>(E56-H56)/H56</f>
        <v>-5.2698715165331735E-2</v>
      </c>
      <c r="K56" s="275">
        <f>(E56-H56)/((1-0.25)*H56-H56)</f>
        <v>0.21079486066132694</v>
      </c>
    </row>
    <row r="57" spans="2:12" x14ac:dyDescent="0.3">
      <c r="B57" s="130"/>
      <c r="C57" s="131"/>
      <c r="D57" s="130"/>
      <c r="E57" s="132"/>
      <c r="F57" s="132"/>
      <c r="G57" s="133"/>
      <c r="H57" s="133"/>
      <c r="J57" s="134"/>
      <c r="K57" s="134"/>
    </row>
    <row r="58" spans="2:12" ht="151.80000000000001" x14ac:dyDescent="0.3">
      <c r="B58" s="404" t="s">
        <v>475</v>
      </c>
      <c r="C58" s="404" t="s">
        <v>719</v>
      </c>
      <c r="D58" s="405" t="s">
        <v>623</v>
      </c>
      <c r="E58" s="403">
        <f>399174/1000</f>
        <v>399.17399999999998</v>
      </c>
      <c r="F58" s="403">
        <f>421595/1000</f>
        <v>421.59500000000003</v>
      </c>
      <c r="G58" s="403">
        <f>406037/1000</f>
        <v>406.03699999999998</v>
      </c>
      <c r="H58" s="133"/>
      <c r="J58" s="134"/>
      <c r="K58" s="134"/>
    </row>
    <row r="59" spans="2:12" x14ac:dyDescent="0.3">
      <c r="B59" s="130"/>
      <c r="C59" s="131"/>
      <c r="D59" s="130"/>
      <c r="E59" s="499"/>
      <c r="F59" s="132"/>
      <c r="G59" s="132"/>
      <c r="H59" s="132"/>
      <c r="J59" s="134"/>
      <c r="K59" s="134"/>
    </row>
    <row r="60" spans="2:12" ht="17.399999999999999" x14ac:dyDescent="0.3">
      <c r="B60" s="186" t="s">
        <v>620</v>
      </c>
      <c r="C60" s="164"/>
      <c r="D60" s="163"/>
      <c r="E60" s="165"/>
      <c r="F60" s="181"/>
      <c r="G60" s="165"/>
      <c r="H60" s="165"/>
      <c r="I60" s="318"/>
      <c r="J60" s="319"/>
      <c r="K60" s="319"/>
    </row>
    <row r="61" spans="2:12" ht="55.2" x14ac:dyDescent="0.3">
      <c r="B61" s="182" t="s">
        <v>618</v>
      </c>
      <c r="C61" s="183" t="s">
        <v>1168</v>
      </c>
      <c r="D61" s="184" t="s">
        <v>619</v>
      </c>
      <c r="E61" s="386">
        <v>1355851</v>
      </c>
      <c r="F61" s="205">
        <v>1399565</v>
      </c>
      <c r="G61" s="205">
        <v>1506288</v>
      </c>
      <c r="H61" s="205">
        <v>1394087</v>
      </c>
      <c r="I61" s="318"/>
      <c r="J61" s="319"/>
      <c r="K61" s="319"/>
    </row>
    <row r="62" spans="2:12" ht="69" x14ac:dyDescent="0.3">
      <c r="B62" s="174" t="s">
        <v>476</v>
      </c>
      <c r="C62" s="180" t="s">
        <v>722</v>
      </c>
      <c r="D62" s="174" t="s">
        <v>477</v>
      </c>
      <c r="E62" s="163">
        <v>242</v>
      </c>
      <c r="F62" s="174">
        <v>220</v>
      </c>
      <c r="G62" s="174">
        <v>112</v>
      </c>
      <c r="H62" s="174">
        <v>104</v>
      </c>
      <c r="I62" s="318"/>
      <c r="J62" s="320"/>
      <c r="K62" s="320"/>
    </row>
    <row r="63" spans="2:12" x14ac:dyDescent="0.3">
      <c r="B63" s="174" t="s">
        <v>478</v>
      </c>
      <c r="C63" s="180" t="s">
        <v>724</v>
      </c>
      <c r="D63" s="174" t="s">
        <v>463</v>
      </c>
      <c r="E63" s="262">
        <v>0.75</v>
      </c>
      <c r="F63" s="185">
        <v>0.78</v>
      </c>
      <c r="G63" s="185">
        <v>0.8</v>
      </c>
      <c r="H63" s="185">
        <v>0.7</v>
      </c>
      <c r="J63" s="135"/>
      <c r="K63" s="135"/>
    </row>
    <row r="64" spans="2:12" x14ac:dyDescent="0.3">
      <c r="B64" s="136"/>
      <c r="C64" s="137"/>
      <c r="D64" s="138"/>
      <c r="E64" s="138"/>
      <c r="F64" s="139"/>
      <c r="G64" s="139"/>
      <c r="H64" s="139"/>
      <c r="J64" s="135"/>
      <c r="K64" s="135"/>
    </row>
    <row r="65" spans="2:17" ht="36" x14ac:dyDescent="0.3">
      <c r="B65" s="243" t="s">
        <v>149</v>
      </c>
      <c r="C65" s="244" t="s">
        <v>798</v>
      </c>
      <c r="D65" s="229" t="s">
        <v>430</v>
      </c>
      <c r="E65" s="245" t="s">
        <v>433</v>
      </c>
      <c r="F65" s="269" t="s">
        <v>434</v>
      </c>
      <c r="G65" s="270" t="s">
        <v>435</v>
      </c>
      <c r="H65" s="270" t="s">
        <v>436</v>
      </c>
      <c r="I65" s="273" t="str">
        <f>I47</f>
        <v>Performance against prior year</v>
      </c>
      <c r="J65" s="273" t="str">
        <f>J47</f>
        <v>Performance against 2019/20 baseline</v>
      </c>
      <c r="K65" s="273" t="str">
        <f>K47</f>
        <v>Progress towards 2030 target</v>
      </c>
    </row>
    <row r="66" spans="2:17" ht="17.399999999999999" x14ac:dyDescent="0.3">
      <c r="B66" s="246" t="s">
        <v>725</v>
      </c>
      <c r="C66" s="248"/>
      <c r="D66" s="223"/>
      <c r="E66" s="241"/>
      <c r="F66" s="241"/>
      <c r="G66" s="241"/>
      <c r="H66" s="241"/>
      <c r="I66" s="276"/>
      <c r="J66" s="277"/>
      <c r="K66" s="277"/>
    </row>
    <row r="67" spans="2:17" ht="27.6" x14ac:dyDescent="0.3">
      <c r="B67" s="167" t="s">
        <v>627</v>
      </c>
      <c r="C67" s="187" t="s">
        <v>726</v>
      </c>
      <c r="D67" s="188" t="s">
        <v>480</v>
      </c>
      <c r="E67" s="202">
        <v>38519.699999999997</v>
      </c>
      <c r="F67" s="189">
        <v>45151.199999999997</v>
      </c>
      <c r="G67" s="189">
        <v>41025</v>
      </c>
      <c r="H67" s="190">
        <v>40016.699999999997</v>
      </c>
      <c r="I67" s="275">
        <f>(E67-F67)/F67</f>
        <v>-0.1468731728060384</v>
      </c>
      <c r="J67" s="275">
        <f>(E67-H67)/H67</f>
        <v>-3.7409381583189023E-2</v>
      </c>
      <c r="K67" s="275"/>
    </row>
    <row r="68" spans="2:17" ht="27.6" x14ac:dyDescent="0.3">
      <c r="B68" s="160" t="s">
        <v>628</v>
      </c>
      <c r="C68" s="187" t="s">
        <v>727</v>
      </c>
      <c r="D68" s="188" t="s">
        <v>480</v>
      </c>
      <c r="E68" s="202">
        <v>3340</v>
      </c>
      <c r="F68" s="191">
        <v>2639.7</v>
      </c>
      <c r="G68" s="191">
        <v>2622.3</v>
      </c>
      <c r="H68" s="190">
        <v>2469</v>
      </c>
      <c r="I68" s="275">
        <f t="shared" ref="I68:I72" si="7">(E68-F68)/F68</f>
        <v>0.26529529870818663</v>
      </c>
      <c r="J68" s="275">
        <f t="shared" ref="J68:J71" si="8">(E68-H68)/H68</f>
        <v>0.35277440259214254</v>
      </c>
      <c r="K68" s="387"/>
    </row>
    <row r="69" spans="2:17" ht="27.6" x14ac:dyDescent="0.3">
      <c r="B69" s="160" t="s">
        <v>629</v>
      </c>
      <c r="C69" s="187" t="s">
        <v>728</v>
      </c>
      <c r="D69" s="188" t="s">
        <v>480</v>
      </c>
      <c r="E69" s="202">
        <v>7058.7</v>
      </c>
      <c r="F69" s="191">
        <v>8560.2999999999993</v>
      </c>
      <c r="G69" s="191">
        <v>7013</v>
      </c>
      <c r="H69" s="190">
        <v>7815</v>
      </c>
      <c r="I69" s="275">
        <f t="shared" si="7"/>
        <v>-0.1754144130462717</v>
      </c>
      <c r="J69" s="275">
        <f t="shared" si="8"/>
        <v>-9.6775431861804248E-2</v>
      </c>
      <c r="K69" s="387"/>
    </row>
    <row r="70" spans="2:17" ht="27.6" x14ac:dyDescent="0.3">
      <c r="B70" s="160" t="s">
        <v>630</v>
      </c>
      <c r="C70" s="187" t="s">
        <v>729</v>
      </c>
      <c r="D70" s="188" t="s">
        <v>480</v>
      </c>
      <c r="E70" s="202">
        <v>13967</v>
      </c>
      <c r="F70" s="191">
        <v>15289.7</v>
      </c>
      <c r="G70" s="191">
        <v>11538</v>
      </c>
      <c r="H70" s="190">
        <v>13630</v>
      </c>
      <c r="I70" s="275">
        <f t="shared" si="7"/>
        <v>-8.6509218624302678E-2</v>
      </c>
      <c r="J70" s="275">
        <f t="shared" si="8"/>
        <v>2.4724871606749816E-2</v>
      </c>
      <c r="K70" s="387"/>
    </row>
    <row r="71" spans="2:17" ht="41.4" x14ac:dyDescent="0.3">
      <c r="B71" s="192" t="s">
        <v>489</v>
      </c>
      <c r="C71" s="157" t="s">
        <v>1169</v>
      </c>
      <c r="D71" s="193" t="s">
        <v>480</v>
      </c>
      <c r="E71" s="205">
        <f>E67+E68</f>
        <v>41859.699999999997</v>
      </c>
      <c r="F71" s="194">
        <f t="shared" ref="F71:H71" si="9">F67+F68</f>
        <v>47790.899999999994</v>
      </c>
      <c r="G71" s="194">
        <f t="shared" si="9"/>
        <v>43647.3</v>
      </c>
      <c r="H71" s="178">
        <f t="shared" si="9"/>
        <v>42485.7</v>
      </c>
      <c r="I71" s="275">
        <f t="shared" si="7"/>
        <v>-0.12410730913207321</v>
      </c>
      <c r="J71" s="275">
        <f t="shared" si="8"/>
        <v>-1.4734369446660877E-2</v>
      </c>
      <c r="K71" s="275">
        <f>(E71-H71)/((1-0.5)*H71-H71)</f>
        <v>2.9468738893321755E-2</v>
      </c>
    </row>
    <row r="72" spans="2:17" ht="41.4" x14ac:dyDescent="0.3">
      <c r="B72" s="192" t="s">
        <v>484</v>
      </c>
      <c r="C72" s="195" t="s">
        <v>731</v>
      </c>
      <c r="D72" s="193" t="s">
        <v>480</v>
      </c>
      <c r="E72" s="205">
        <f>SUM(E67:E70)</f>
        <v>62885.399999999994</v>
      </c>
      <c r="F72" s="170">
        <f>SUM(F67:F70)</f>
        <v>71640.899999999994</v>
      </c>
      <c r="G72" s="170">
        <f>SUM(G67:G70)</f>
        <v>62198.3</v>
      </c>
      <c r="H72" s="170">
        <f>SUM(H67:H70)</f>
        <v>63930.7</v>
      </c>
      <c r="I72" s="275">
        <f t="shared" si="7"/>
        <v>-0.12221370753298745</v>
      </c>
      <c r="J72" s="275">
        <f>(E72-H72)/H72</f>
        <v>-1.6350517044237008E-2</v>
      </c>
      <c r="K72" s="387"/>
    </row>
    <row r="73" spans="2:17" ht="17.399999999999999" x14ac:dyDescent="0.3">
      <c r="B73" s="246" t="s">
        <v>634</v>
      </c>
      <c r="C73" s="224"/>
      <c r="D73" s="223"/>
      <c r="E73" s="241">
        <f>38520+3340+7059+13967</f>
        <v>62886</v>
      </c>
      <c r="F73" s="241"/>
      <c r="G73" s="241"/>
      <c r="H73" s="241"/>
    </row>
    <row r="74" spans="2:17" ht="41.4" x14ac:dyDescent="0.3">
      <c r="B74" s="187" t="s">
        <v>635</v>
      </c>
      <c r="C74" s="187" t="s">
        <v>732</v>
      </c>
      <c r="D74" s="188" t="s">
        <v>480</v>
      </c>
      <c r="E74" s="263">
        <v>848</v>
      </c>
      <c r="F74" s="190">
        <v>1744</v>
      </c>
      <c r="G74" s="190">
        <v>885</v>
      </c>
      <c r="H74" s="190">
        <v>1497.1</v>
      </c>
      <c r="M74" s="382" t="s">
        <v>1170</v>
      </c>
      <c r="N74" s="382"/>
      <c r="O74" s="382"/>
      <c r="P74" s="382"/>
      <c r="Q74" s="382"/>
    </row>
    <row r="75" spans="2:17" ht="27.6" x14ac:dyDescent="0.3">
      <c r="B75" s="187" t="s">
        <v>636</v>
      </c>
      <c r="C75" s="187" t="s">
        <v>733</v>
      </c>
      <c r="D75" s="188" t="s">
        <v>480</v>
      </c>
      <c r="E75" s="263">
        <v>3871</v>
      </c>
      <c r="F75" s="190">
        <v>6885</v>
      </c>
      <c r="G75" s="190">
        <v>5365</v>
      </c>
      <c r="H75" s="190">
        <v>4991.7</v>
      </c>
      <c r="J75" s="317"/>
      <c r="M75" s="382"/>
      <c r="N75" s="383" t="s">
        <v>433</v>
      </c>
      <c r="O75" s="384" t="s">
        <v>434</v>
      </c>
      <c r="P75" s="383" t="s">
        <v>435</v>
      </c>
      <c r="Q75" s="383" t="s">
        <v>436</v>
      </c>
    </row>
    <row r="76" spans="2:17" ht="27.6" x14ac:dyDescent="0.3">
      <c r="B76" s="187" t="s">
        <v>637</v>
      </c>
      <c r="C76" s="187" t="s">
        <v>734</v>
      </c>
      <c r="D76" s="188" t="s">
        <v>480</v>
      </c>
      <c r="E76" s="263">
        <v>2038</v>
      </c>
      <c r="F76" s="190">
        <v>2785</v>
      </c>
      <c r="G76" s="190">
        <v>1549</v>
      </c>
      <c r="H76" s="190">
        <v>1444.1</v>
      </c>
      <c r="M76" s="382" t="s">
        <v>1171</v>
      </c>
      <c r="N76" s="385">
        <f>E85+E86</f>
        <v>1057</v>
      </c>
      <c r="O76" s="385">
        <f>F85+F86</f>
        <v>1020</v>
      </c>
      <c r="P76" s="385">
        <f>G85+G86</f>
        <v>1031</v>
      </c>
      <c r="Q76" s="385">
        <f>H85+H86</f>
        <v>720</v>
      </c>
    </row>
    <row r="77" spans="2:17" ht="15.6" x14ac:dyDescent="0.3">
      <c r="B77" s="195" t="s">
        <v>1172</v>
      </c>
      <c r="C77" s="195" t="s">
        <v>736</v>
      </c>
      <c r="D77" s="193" t="s">
        <v>480</v>
      </c>
      <c r="E77" s="241">
        <f>E74+E75+E76</f>
        <v>6757</v>
      </c>
      <c r="F77" s="178">
        <f>F74+F75+F76</f>
        <v>11414</v>
      </c>
      <c r="G77" s="178">
        <f>G74+G75+G76</f>
        <v>7799</v>
      </c>
      <c r="H77" s="178">
        <f>H74+H75+H76</f>
        <v>7932.9</v>
      </c>
      <c r="M77" s="382" t="s">
        <v>1173</v>
      </c>
      <c r="N77" s="385">
        <f>E87+E88</f>
        <v>36873</v>
      </c>
      <c r="O77" s="385">
        <f>F87+F88</f>
        <v>38277</v>
      </c>
      <c r="P77" s="385">
        <f>G87+G88</f>
        <v>23390</v>
      </c>
      <c r="Q77" s="385">
        <f>H87+H88</f>
        <v>19452</v>
      </c>
    </row>
    <row r="78" spans="2:17" ht="41.4" x14ac:dyDescent="0.3">
      <c r="B78" s="187" t="s">
        <v>639</v>
      </c>
      <c r="C78" s="187" t="s">
        <v>737</v>
      </c>
      <c r="D78" s="188" t="s">
        <v>480</v>
      </c>
      <c r="E78" s="263">
        <v>227</v>
      </c>
      <c r="F78" s="190">
        <v>297.2</v>
      </c>
      <c r="G78" s="190">
        <v>137.80000000000001</v>
      </c>
      <c r="H78" s="190">
        <v>200.4</v>
      </c>
      <c r="M78" s="382" t="s">
        <v>1174</v>
      </c>
      <c r="N78" s="385">
        <f t="shared" ref="N78:Q79" si="10">E74+E78</f>
        <v>1075</v>
      </c>
      <c r="O78" s="385">
        <f t="shared" si="10"/>
        <v>2041.2</v>
      </c>
      <c r="P78" s="385">
        <f t="shared" si="10"/>
        <v>1022.8</v>
      </c>
      <c r="Q78" s="385">
        <f t="shared" si="10"/>
        <v>1697.5</v>
      </c>
    </row>
    <row r="79" spans="2:17" ht="27.6" x14ac:dyDescent="0.3">
      <c r="B79" s="187" t="s">
        <v>640</v>
      </c>
      <c r="C79" s="187" t="s">
        <v>739</v>
      </c>
      <c r="D79" s="188" t="s">
        <v>480</v>
      </c>
      <c r="E79" s="263">
        <v>15662</v>
      </c>
      <c r="F79" s="190">
        <v>19276.2</v>
      </c>
      <c r="G79" s="190">
        <v>28214.400000000001</v>
      </c>
      <c r="H79" s="190">
        <v>33984.199999999997</v>
      </c>
      <c r="M79" s="382" t="s">
        <v>1175</v>
      </c>
      <c r="N79" s="385">
        <f t="shared" si="10"/>
        <v>19533</v>
      </c>
      <c r="O79" s="385">
        <f t="shared" si="10"/>
        <v>26161.200000000001</v>
      </c>
      <c r="P79" s="385">
        <f t="shared" si="10"/>
        <v>33579.4</v>
      </c>
      <c r="Q79" s="385">
        <f t="shared" si="10"/>
        <v>38975.899999999994</v>
      </c>
    </row>
    <row r="80" spans="2:17" ht="27.6" x14ac:dyDescent="0.3">
      <c r="B80" s="187" t="s">
        <v>641</v>
      </c>
      <c r="C80" s="187" t="s">
        <v>740</v>
      </c>
      <c r="D80" s="188" t="s">
        <v>480</v>
      </c>
      <c r="E80" s="263">
        <v>2309</v>
      </c>
      <c r="F80" s="190">
        <v>1356.9</v>
      </c>
      <c r="G80" s="190">
        <v>1625.8</v>
      </c>
      <c r="H80" s="190">
        <v>1641.7</v>
      </c>
      <c r="M80" s="382" t="s">
        <v>1176</v>
      </c>
      <c r="N80" s="385">
        <f>E83</f>
        <v>4347</v>
      </c>
      <c r="O80" s="385">
        <f>F83</f>
        <v>4141.8999999999996</v>
      </c>
      <c r="P80" s="385">
        <f>G83</f>
        <v>3174.8</v>
      </c>
      <c r="Q80" s="385">
        <f>H83</f>
        <v>3085.8</v>
      </c>
    </row>
    <row r="81" spans="2:17" x14ac:dyDescent="0.3">
      <c r="B81" s="195" t="s">
        <v>642</v>
      </c>
      <c r="C81" s="195" t="s">
        <v>741</v>
      </c>
      <c r="D81" s="193" t="s">
        <v>480</v>
      </c>
      <c r="E81" s="241">
        <f>E78+E79+E80</f>
        <v>18198</v>
      </c>
      <c r="F81" s="178">
        <f>F78+F79+F80</f>
        <v>20930.300000000003</v>
      </c>
      <c r="G81" s="178">
        <f>G78+G79+G80</f>
        <v>29978</v>
      </c>
      <c r="H81" s="178">
        <f>H78+H79+H80</f>
        <v>35826.299999999996</v>
      </c>
      <c r="M81" s="382" t="s">
        <v>1177</v>
      </c>
      <c r="N81" s="385">
        <f>E72</f>
        <v>62885.399999999994</v>
      </c>
      <c r="O81" s="385">
        <f>F72</f>
        <v>71640.899999999994</v>
      </c>
      <c r="P81" s="385">
        <f>G72</f>
        <v>62198.3</v>
      </c>
      <c r="Q81" s="385">
        <f>H72</f>
        <v>63930.7</v>
      </c>
    </row>
    <row r="82" spans="2:17" ht="30" customHeight="1" x14ac:dyDescent="0.3">
      <c r="B82" s="195" t="s">
        <v>643</v>
      </c>
      <c r="C82" s="195" t="s">
        <v>742</v>
      </c>
      <c r="D82" s="193" t="s">
        <v>480</v>
      </c>
      <c r="E82" s="241">
        <f>E81+E77</f>
        <v>24955</v>
      </c>
      <c r="F82" s="178">
        <f>F81+F77</f>
        <v>32344.300000000003</v>
      </c>
      <c r="G82" s="178">
        <f>G81+G77</f>
        <v>37777</v>
      </c>
      <c r="H82" s="178">
        <f>H81+H77</f>
        <v>43759.199999999997</v>
      </c>
    </row>
    <row r="83" spans="2:17" ht="16.05" customHeight="1" x14ac:dyDescent="0.3">
      <c r="B83" s="195" t="s">
        <v>644</v>
      </c>
      <c r="C83" s="195" t="s">
        <v>744</v>
      </c>
      <c r="D83" s="193" t="s">
        <v>480</v>
      </c>
      <c r="E83" s="241">
        <f>E80+E76</f>
        <v>4347</v>
      </c>
      <c r="F83" s="178">
        <f>F80+F76</f>
        <v>4141.8999999999996</v>
      </c>
      <c r="G83" s="178">
        <f>G80+G76</f>
        <v>3174.8</v>
      </c>
      <c r="H83" s="178">
        <f>H80+H76</f>
        <v>3085.8</v>
      </c>
      <c r="L83" s="129"/>
      <c r="M83" s="129"/>
      <c r="N83" s="129"/>
      <c r="O83" s="129"/>
    </row>
    <row r="84" spans="2:17" ht="17.399999999999999" x14ac:dyDescent="0.3">
      <c r="B84" s="246" t="s">
        <v>645</v>
      </c>
      <c r="C84" s="224"/>
      <c r="D84" s="223"/>
      <c r="E84" s="241"/>
      <c r="F84" s="241"/>
      <c r="G84" s="241"/>
      <c r="H84" s="241"/>
    </row>
    <row r="85" spans="2:17" ht="55.2" x14ac:dyDescent="0.3">
      <c r="B85" s="196" t="s">
        <v>646</v>
      </c>
      <c r="C85" s="155" t="s">
        <v>746</v>
      </c>
      <c r="D85" s="188" t="s">
        <v>480</v>
      </c>
      <c r="E85" s="264">
        <v>137</v>
      </c>
      <c r="F85" s="197">
        <v>127</v>
      </c>
      <c r="G85" s="197">
        <v>106</v>
      </c>
      <c r="H85" s="197">
        <v>127</v>
      </c>
    </row>
    <row r="86" spans="2:17" ht="55.2" x14ac:dyDescent="0.3">
      <c r="B86" s="196" t="s">
        <v>647</v>
      </c>
      <c r="C86" s="155" t="s">
        <v>748</v>
      </c>
      <c r="D86" s="188" t="s">
        <v>480</v>
      </c>
      <c r="E86" s="264">
        <v>920</v>
      </c>
      <c r="F86" s="197">
        <v>893</v>
      </c>
      <c r="G86" s="197">
        <v>925</v>
      </c>
      <c r="H86" s="197">
        <v>593</v>
      </c>
    </row>
    <row r="87" spans="2:17" ht="41.4" x14ac:dyDescent="0.3">
      <c r="B87" s="196" t="s">
        <v>648</v>
      </c>
      <c r="C87" s="155" t="s">
        <v>749</v>
      </c>
      <c r="D87" s="188" t="s">
        <v>480</v>
      </c>
      <c r="E87" s="264">
        <v>14130</v>
      </c>
      <c r="F87" s="197">
        <v>12309</v>
      </c>
      <c r="G87" s="190">
        <v>10646</v>
      </c>
      <c r="H87" s="190">
        <v>13385</v>
      </c>
    </row>
    <row r="88" spans="2:17" ht="41.4" x14ac:dyDescent="0.3">
      <c r="B88" s="196" t="s">
        <v>649</v>
      </c>
      <c r="C88" s="155" t="s">
        <v>750</v>
      </c>
      <c r="D88" s="188" t="s">
        <v>480</v>
      </c>
      <c r="E88" s="264">
        <v>22743</v>
      </c>
      <c r="F88" s="197">
        <v>25968</v>
      </c>
      <c r="G88" s="197">
        <v>12744</v>
      </c>
      <c r="H88" s="197">
        <v>6067</v>
      </c>
    </row>
    <row r="89" spans="2:17" ht="55.2" x14ac:dyDescent="0.3">
      <c r="B89" s="192" t="s">
        <v>650</v>
      </c>
      <c r="C89" s="195" t="s">
        <v>1178</v>
      </c>
      <c r="D89" s="193" t="s">
        <v>480</v>
      </c>
      <c r="E89" s="241">
        <f>E85+E86+E87+E88</f>
        <v>37930</v>
      </c>
      <c r="F89" s="178">
        <f>F85+F86+F87+F88</f>
        <v>39297</v>
      </c>
      <c r="G89" s="178">
        <f t="shared" ref="G89:H89" si="11">G85+G86+G87+G88</f>
        <v>24421</v>
      </c>
      <c r="H89" s="178">
        <f t="shared" si="11"/>
        <v>20172</v>
      </c>
      <c r="I89" s="129"/>
      <c r="J89" s="129"/>
      <c r="K89" s="90"/>
    </row>
    <row r="90" spans="2:17" x14ac:dyDescent="0.3">
      <c r="B90" s="196" t="s">
        <v>651</v>
      </c>
      <c r="C90" s="187" t="s">
        <v>753</v>
      </c>
      <c r="D90" s="188" t="s">
        <v>463</v>
      </c>
      <c r="E90" s="265">
        <f>E85/E72</f>
        <v>2.1785660900622405E-3</v>
      </c>
      <c r="F90" s="198">
        <f>F85/F72</f>
        <v>1.7727303816674554E-3</v>
      </c>
      <c r="G90" s="198">
        <f>G85/G72</f>
        <v>1.7042266428503672E-3</v>
      </c>
      <c r="H90" s="198">
        <f>H85/H72</f>
        <v>1.9865260352225143E-3</v>
      </c>
      <c r="I90" s="135"/>
      <c r="J90" s="135"/>
      <c r="K90" s="90"/>
    </row>
    <row r="91" spans="2:17" x14ac:dyDescent="0.3">
      <c r="B91" s="168" t="s">
        <v>652</v>
      </c>
      <c r="C91" s="187" t="s">
        <v>753</v>
      </c>
      <c r="D91" s="199" t="s">
        <v>463</v>
      </c>
      <c r="E91" s="265">
        <f>E86/E72</f>
        <v>1.4629786882169789E-2</v>
      </c>
      <c r="F91" s="198">
        <f>F86/F72</f>
        <v>1.2464946699441242E-2</v>
      </c>
      <c r="G91" s="198">
        <f>G86/G72</f>
        <v>1.4871789100345185E-2</v>
      </c>
      <c r="H91" s="198">
        <f>H86/H72</f>
        <v>9.2756688101334733E-3</v>
      </c>
    </row>
    <row r="92" spans="2:17" x14ac:dyDescent="0.3">
      <c r="B92" s="168" t="s">
        <v>653</v>
      </c>
      <c r="C92" s="187" t="s">
        <v>753</v>
      </c>
      <c r="D92" s="199" t="s">
        <v>463</v>
      </c>
      <c r="E92" s="265">
        <f>E89/E72</f>
        <v>0.60316067004423923</v>
      </c>
      <c r="F92" s="198">
        <f>F89/F72</f>
        <v>0.54852744731012593</v>
      </c>
      <c r="G92" s="198">
        <f>G89/G72</f>
        <v>0.39263130985895112</v>
      </c>
      <c r="H92" s="198">
        <f>H89/H72</f>
        <v>0.31552915891739025</v>
      </c>
    </row>
    <row r="93" spans="2:17" ht="17.399999999999999" x14ac:dyDescent="0.3">
      <c r="B93" s="246" t="s">
        <v>654</v>
      </c>
      <c r="C93" s="224"/>
      <c r="D93" s="223"/>
      <c r="E93" s="241"/>
      <c r="F93" s="241"/>
      <c r="G93" s="241"/>
      <c r="H93" s="241"/>
    </row>
    <row r="94" spans="2:17" ht="14.1" customHeight="1" x14ac:dyDescent="0.3">
      <c r="B94" s="215" t="s">
        <v>491</v>
      </c>
      <c r="C94" s="201" t="s">
        <v>757</v>
      </c>
      <c r="D94" s="188" t="s">
        <v>480</v>
      </c>
      <c r="E94" s="263">
        <f>E68+E70</f>
        <v>17307</v>
      </c>
      <c r="F94" s="202">
        <f>F68+F70</f>
        <v>17929.400000000001</v>
      </c>
      <c r="G94" s="202">
        <f>G68+G70</f>
        <v>14160.3</v>
      </c>
      <c r="H94" s="202">
        <f>H68+H70</f>
        <v>16099</v>
      </c>
    </row>
    <row r="95" spans="2:17" x14ac:dyDescent="0.3">
      <c r="B95" s="215" t="s">
        <v>655</v>
      </c>
      <c r="C95" s="187" t="s">
        <v>759</v>
      </c>
      <c r="D95" s="188" t="s">
        <v>480</v>
      </c>
      <c r="E95" s="266">
        <v>500</v>
      </c>
      <c r="F95" s="203">
        <v>531</v>
      </c>
      <c r="G95" s="203">
        <v>421</v>
      </c>
      <c r="H95" s="203">
        <v>221</v>
      </c>
    </row>
    <row r="96" spans="2:17" x14ac:dyDescent="0.3">
      <c r="B96" s="215" t="s">
        <v>656</v>
      </c>
      <c r="C96" s="187" t="s">
        <v>761</v>
      </c>
      <c r="D96" s="188" t="s">
        <v>480</v>
      </c>
      <c r="E96" s="266">
        <v>12438</v>
      </c>
      <c r="F96" s="203">
        <v>11970</v>
      </c>
      <c r="G96" s="207">
        <v>10278</v>
      </c>
      <c r="H96" s="207">
        <v>11791</v>
      </c>
    </row>
    <row r="97" spans="2:24" x14ac:dyDescent="0.3">
      <c r="B97" s="184" t="s">
        <v>490</v>
      </c>
      <c r="C97" s="187" t="s">
        <v>763</v>
      </c>
      <c r="D97" s="188" t="s">
        <v>480</v>
      </c>
      <c r="E97" s="241">
        <f>E94-E95-E96</f>
        <v>4369</v>
      </c>
      <c r="F97" s="205">
        <f t="shared" ref="F97:H97" si="12">F94-F95-F96</f>
        <v>5428.4000000000015</v>
      </c>
      <c r="G97" s="205">
        <f t="shared" si="12"/>
        <v>3461.2999999999993</v>
      </c>
      <c r="H97" s="205">
        <f t="shared" si="12"/>
        <v>4087</v>
      </c>
    </row>
    <row r="98" spans="2:24" x14ac:dyDescent="0.3">
      <c r="B98" s="500"/>
      <c r="C98" s="140"/>
      <c r="D98" s="141"/>
      <c r="E98" s="142"/>
      <c r="F98" s="142"/>
      <c r="G98" s="142"/>
      <c r="H98" s="142"/>
    </row>
    <row r="99" spans="2:24" ht="19.8" x14ac:dyDescent="0.3">
      <c r="B99" s="243" t="s">
        <v>764</v>
      </c>
      <c r="C99" s="244" t="s">
        <v>798</v>
      </c>
      <c r="D99" s="260" t="s">
        <v>430</v>
      </c>
      <c r="E99" s="245" t="s">
        <v>433</v>
      </c>
      <c r="F99" s="269" t="s">
        <v>434</v>
      </c>
      <c r="G99" s="270" t="s">
        <v>435</v>
      </c>
      <c r="H99" s="270" t="s">
        <v>436</v>
      </c>
    </row>
    <row r="100" spans="2:24" ht="43.8" x14ac:dyDescent="0.3">
      <c r="B100" s="188" t="s">
        <v>765</v>
      </c>
      <c r="C100" s="161" t="s">
        <v>766</v>
      </c>
      <c r="D100" s="188" t="s">
        <v>480</v>
      </c>
      <c r="E100" s="261">
        <v>336</v>
      </c>
      <c r="F100" s="206">
        <v>358</v>
      </c>
      <c r="G100" s="206">
        <v>338</v>
      </c>
      <c r="H100" s="206">
        <v>320</v>
      </c>
    </row>
    <row r="101" spans="2:24" ht="45" x14ac:dyDescent="0.3">
      <c r="B101" s="188" t="s">
        <v>767</v>
      </c>
      <c r="C101" s="161" t="s">
        <v>768</v>
      </c>
      <c r="D101" s="188" t="s">
        <v>480</v>
      </c>
      <c r="E101" s="261">
        <v>31</v>
      </c>
      <c r="F101" s="206">
        <v>73</v>
      </c>
      <c r="G101" s="206">
        <v>42</v>
      </c>
      <c r="H101" s="206">
        <v>16</v>
      </c>
    </row>
    <row r="102" spans="2:24" ht="55.2" x14ac:dyDescent="0.3">
      <c r="B102" s="188" t="s">
        <v>496</v>
      </c>
      <c r="C102" s="161" t="s">
        <v>769</v>
      </c>
      <c r="D102" s="188" t="s">
        <v>480</v>
      </c>
      <c r="E102" s="261">
        <v>42</v>
      </c>
      <c r="F102" s="206">
        <v>50</v>
      </c>
      <c r="G102" s="206">
        <v>39</v>
      </c>
      <c r="H102" s="206">
        <v>47</v>
      </c>
    </row>
    <row r="103" spans="2:24" ht="15" x14ac:dyDescent="0.3">
      <c r="B103" s="188" t="s">
        <v>770</v>
      </c>
      <c r="C103" s="161" t="s">
        <v>771</v>
      </c>
      <c r="D103" s="188" t="s">
        <v>463</v>
      </c>
      <c r="E103" s="262">
        <v>0.86</v>
      </c>
      <c r="F103" s="388">
        <v>0.85</v>
      </c>
      <c r="G103" s="389">
        <v>0.85</v>
      </c>
      <c r="H103" s="389">
        <v>0.82</v>
      </c>
    </row>
    <row r="104" spans="2:24" ht="15" x14ac:dyDescent="0.3">
      <c r="B104" s="188" t="s">
        <v>772</v>
      </c>
      <c r="C104" s="161" t="s">
        <v>773</v>
      </c>
      <c r="D104" s="188" t="s">
        <v>463</v>
      </c>
      <c r="E104" s="262">
        <v>0.36</v>
      </c>
      <c r="F104" s="388">
        <v>0.34</v>
      </c>
      <c r="G104" s="389">
        <v>0.36</v>
      </c>
      <c r="H104" s="389">
        <v>0.32</v>
      </c>
    </row>
    <row r="105" spans="2:24" x14ac:dyDescent="0.3">
      <c r="B105" s="188" t="s">
        <v>499</v>
      </c>
      <c r="C105" s="161" t="s">
        <v>774</v>
      </c>
      <c r="D105" s="188" t="s">
        <v>463</v>
      </c>
      <c r="E105" s="262">
        <v>0.56999999999999995</v>
      </c>
      <c r="F105" s="388">
        <v>0.56000000000000005</v>
      </c>
      <c r="G105" s="389">
        <v>0.54</v>
      </c>
      <c r="H105" s="389">
        <v>0.53</v>
      </c>
    </row>
    <row r="106" spans="2:24" x14ac:dyDescent="0.3">
      <c r="B106" s="120"/>
      <c r="C106" s="143"/>
      <c r="D106" s="59"/>
      <c r="E106" s="144"/>
      <c r="F106" s="145"/>
      <c r="G106" s="145"/>
      <c r="H106" s="59"/>
    </row>
    <row r="107" spans="2:24" ht="24.6" x14ac:dyDescent="0.3">
      <c r="B107" s="123" t="s">
        <v>590</v>
      </c>
      <c r="C107" s="107"/>
      <c r="D107" s="108"/>
      <c r="E107" s="108"/>
      <c r="F107" s="108"/>
      <c r="G107" s="1593"/>
      <c r="H107" s="1593"/>
      <c r="I107" s="1593"/>
      <c r="J107" s="1593"/>
      <c r="K107" s="1593"/>
      <c r="L107" s="1593"/>
      <c r="M107" s="1593"/>
      <c r="N107" s="1593"/>
      <c r="O107" s="1593"/>
    </row>
    <row r="108" spans="2:24" x14ac:dyDescent="0.3">
      <c r="B108" s="120"/>
      <c r="C108" s="119"/>
      <c r="D108" s="120"/>
      <c r="E108" s="120"/>
      <c r="F108" s="120"/>
      <c r="G108" s="121"/>
      <c r="H108" s="121"/>
      <c r="I108" s="121"/>
      <c r="J108" s="122"/>
      <c r="K108" s="122"/>
      <c r="L108" s="122"/>
      <c r="M108" s="101"/>
      <c r="N108" s="101"/>
      <c r="O108" s="101"/>
      <c r="P108" s="101"/>
      <c r="Q108" s="101"/>
      <c r="R108" s="101"/>
      <c r="S108" s="101"/>
      <c r="T108" s="101"/>
      <c r="U108" s="101"/>
      <c r="V108" s="101"/>
      <c r="W108" s="101"/>
      <c r="X108" s="101"/>
    </row>
    <row r="109" spans="2:24" ht="24" x14ac:dyDescent="0.3">
      <c r="B109" s="249" t="s">
        <v>448</v>
      </c>
      <c r="C109" s="247" t="s">
        <v>798</v>
      </c>
      <c r="D109" s="260" t="s">
        <v>430</v>
      </c>
      <c r="E109" s="1673" t="s">
        <v>433</v>
      </c>
      <c r="F109" s="1673"/>
      <c r="G109" s="1673"/>
      <c r="H109" s="1590" t="s">
        <v>434</v>
      </c>
      <c r="I109" s="1590"/>
      <c r="J109" s="1590"/>
      <c r="K109" s="1590" t="s">
        <v>435</v>
      </c>
      <c r="L109" s="1590"/>
      <c r="M109" s="1590"/>
      <c r="N109" s="251" t="s">
        <v>436</v>
      </c>
      <c r="O109" s="273" t="str">
        <f>I65</f>
        <v>Performance against prior year</v>
      </c>
      <c r="P109" s="101"/>
      <c r="T109" s="101"/>
      <c r="U109" s="101"/>
      <c r="V109" s="101"/>
      <c r="W109" s="101"/>
    </row>
    <row r="110" spans="2:24" ht="27.6" x14ac:dyDescent="0.3">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274" t="s">
        <v>438</v>
      </c>
      <c r="P110" s="101"/>
      <c r="T110" s="101"/>
      <c r="U110" s="101"/>
      <c r="V110" s="101"/>
      <c r="W110" s="101"/>
    </row>
    <row r="111" spans="2:24" ht="69" x14ac:dyDescent="0.3">
      <c r="B111" s="210" t="s">
        <v>449</v>
      </c>
      <c r="C111" s="212" t="s">
        <v>775</v>
      </c>
      <c r="D111" s="213" t="s">
        <v>450</v>
      </c>
      <c r="E111" s="255">
        <f t="shared" ref="E111:N111" si="13">E127/1000</f>
        <v>1185612.237</v>
      </c>
      <c r="F111" s="255">
        <f t="shared" si="13"/>
        <v>337487.755</v>
      </c>
      <c r="G111" s="255">
        <f t="shared" si="13"/>
        <v>848124.48199999996</v>
      </c>
      <c r="H111" s="214">
        <f t="shared" si="13"/>
        <v>1241805.7790000001</v>
      </c>
      <c r="I111" s="214">
        <f t="shared" si="13"/>
        <v>373347.38799999998</v>
      </c>
      <c r="J111" s="214">
        <f t="shared" si="13"/>
        <v>868458.39099999995</v>
      </c>
      <c r="K111" s="214">
        <f t="shared" si="13"/>
        <v>1168337.6599999999</v>
      </c>
      <c r="L111" s="214">
        <f t="shared" si="13"/>
        <v>389386.26799999998</v>
      </c>
      <c r="M111" s="214">
        <f t="shared" si="13"/>
        <v>778951.39199999999</v>
      </c>
      <c r="N111" s="214">
        <f t="shared" si="13"/>
        <v>1202121.1410000001</v>
      </c>
      <c r="O111" s="275">
        <f>(E111-H111)/H111</f>
        <v>-4.5251474063240066E-2</v>
      </c>
      <c r="P111" s="101"/>
      <c r="T111" s="101"/>
      <c r="U111" s="101"/>
      <c r="V111" s="101"/>
      <c r="W111" s="101"/>
    </row>
    <row r="112" spans="2:24" x14ac:dyDescent="0.3">
      <c r="B112" s="210" t="s">
        <v>451</v>
      </c>
      <c r="C112" s="497" t="s">
        <v>1179</v>
      </c>
      <c r="D112" s="215" t="s">
        <v>452</v>
      </c>
      <c r="E112" s="256">
        <v>10.96</v>
      </c>
      <c r="F112" s="257">
        <v>74.2</v>
      </c>
      <c r="G112" s="257">
        <v>8.1999999999999993</v>
      </c>
      <c r="H112" s="216">
        <v>11.3</v>
      </c>
      <c r="I112" s="216">
        <v>70.7</v>
      </c>
      <c r="J112" s="216">
        <v>8.3000000000000007</v>
      </c>
      <c r="K112" s="216">
        <v>10.98</v>
      </c>
      <c r="L112" s="216">
        <v>39.56</v>
      </c>
      <c r="M112" s="216">
        <v>8.06</v>
      </c>
      <c r="N112" s="216">
        <v>10.61</v>
      </c>
      <c r="O112" s="275">
        <f>(E112-H112)/H112</f>
        <v>-3.0088495575221225E-2</v>
      </c>
      <c r="P112" s="101"/>
      <c r="T112" s="101"/>
      <c r="U112" s="101"/>
      <c r="V112" s="101"/>
      <c r="W112" s="101"/>
    </row>
    <row r="113" spans="2:22" x14ac:dyDescent="0.3">
      <c r="B113" s="146"/>
      <c r="C113" s="119"/>
      <c r="D113" s="120"/>
      <c r="E113" s="498"/>
      <c r="F113" s="120"/>
      <c r="G113" s="121"/>
      <c r="H113" s="121"/>
      <c r="I113" s="121"/>
      <c r="J113" s="122"/>
      <c r="K113" s="122"/>
      <c r="L113" s="122"/>
      <c r="M113" s="101"/>
      <c r="N113" s="101"/>
      <c r="O113" s="101"/>
      <c r="P113" s="101"/>
      <c r="T113" s="101"/>
      <c r="U113" s="101"/>
      <c r="V113" s="101"/>
    </row>
    <row r="114" spans="2:22" x14ac:dyDescent="0.3">
      <c r="B114" s="120"/>
      <c r="C114" s="119"/>
      <c r="D114" s="120"/>
      <c r="E114" s="120"/>
      <c r="F114" s="120"/>
      <c r="G114" s="121"/>
      <c r="H114" s="121"/>
      <c r="I114" s="121"/>
      <c r="J114" s="122"/>
      <c r="K114" s="122"/>
      <c r="L114" s="122"/>
      <c r="M114" s="101"/>
      <c r="N114" s="101"/>
      <c r="O114" s="101"/>
      <c r="P114" s="101"/>
      <c r="T114" s="101"/>
      <c r="U114" s="101"/>
      <c r="V114" s="101"/>
    </row>
    <row r="115" spans="2:22" ht="19.8" x14ac:dyDescent="0.3">
      <c r="B115" s="250" t="s">
        <v>777</v>
      </c>
      <c r="C115" s="247" t="s">
        <v>798</v>
      </c>
      <c r="D115" s="260" t="s">
        <v>430</v>
      </c>
      <c r="E115" s="1584" t="s">
        <v>433</v>
      </c>
      <c r="F115" s="1585"/>
      <c r="G115" s="1586"/>
      <c r="H115" s="1587" t="s">
        <v>434</v>
      </c>
      <c r="I115" s="1588"/>
      <c r="J115" s="1589"/>
      <c r="K115" s="1590" t="s">
        <v>435</v>
      </c>
      <c r="L115" s="1590"/>
      <c r="M115" s="1590"/>
      <c r="N115" s="251" t="s">
        <v>436</v>
      </c>
      <c r="O115" s="101"/>
      <c r="S115" s="101"/>
      <c r="T115" s="101"/>
      <c r="U115" s="101"/>
      <c r="V115" s="101"/>
    </row>
    <row r="116" spans="2:22" ht="28.05" customHeight="1" x14ac:dyDescent="0.3">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01"/>
      <c r="S116" s="101"/>
      <c r="T116" s="101"/>
      <c r="U116" s="101"/>
      <c r="V116" s="101"/>
    </row>
    <row r="117" spans="2:22" ht="28.05" customHeight="1" x14ac:dyDescent="0.3">
      <c r="B117" s="188" t="s">
        <v>594</v>
      </c>
      <c r="C117" s="161" t="s">
        <v>1180</v>
      </c>
      <c r="D117" s="188" t="s">
        <v>595</v>
      </c>
      <c r="E117" s="253">
        <f t="shared" ref="E117:F119" si="14">E127*0.0036</f>
        <v>4268204.0532</v>
      </c>
      <c r="F117" s="253">
        <f t="shared" si="14"/>
        <v>1214955.9180000001</v>
      </c>
      <c r="G117" s="253">
        <f t="shared" ref="G117:G125" si="15">E117-F117</f>
        <v>3053248.1351999999</v>
      </c>
      <c r="H117" s="220">
        <f t="shared" ref="H117:N123" si="16">H127*0.0036</f>
        <v>4470500.8043999998</v>
      </c>
      <c r="I117" s="220">
        <f t="shared" si="16"/>
        <v>1344050.5967999999</v>
      </c>
      <c r="J117" s="220">
        <f t="shared" si="16"/>
        <v>3126450.2075999998</v>
      </c>
      <c r="K117" s="206">
        <f t="shared" si="16"/>
        <v>4206015.5760000004</v>
      </c>
      <c r="L117" s="220">
        <f t="shared" si="16"/>
        <v>1401790.5648000001</v>
      </c>
      <c r="M117" s="220">
        <f t="shared" si="16"/>
        <v>2804225.0112000001</v>
      </c>
      <c r="N117" s="206">
        <f t="shared" si="16"/>
        <v>4327636.1075999998</v>
      </c>
      <c r="O117" s="101"/>
      <c r="S117" s="101"/>
      <c r="T117" s="101"/>
      <c r="U117" s="101"/>
      <c r="V117" s="101"/>
    </row>
    <row r="118" spans="2:22" ht="28.05" customHeight="1" x14ac:dyDescent="0.3">
      <c r="B118" s="188" t="s">
        <v>596</v>
      </c>
      <c r="C118" s="161" t="s">
        <v>783</v>
      </c>
      <c r="D118" s="188" t="s">
        <v>595</v>
      </c>
      <c r="E118" s="253">
        <f t="shared" si="14"/>
        <v>1743716.4912</v>
      </c>
      <c r="F118" s="253">
        <f t="shared" si="14"/>
        <v>470103.46919999999</v>
      </c>
      <c r="G118" s="253">
        <f t="shared" si="15"/>
        <v>1273613.0220000001</v>
      </c>
      <c r="H118" s="220">
        <f t="shared" si="16"/>
        <v>1821488.5799999998</v>
      </c>
      <c r="I118" s="220">
        <f t="shared" si="16"/>
        <v>497308.47119999997</v>
      </c>
      <c r="J118" s="220">
        <f t="shared" si="16"/>
        <v>1324180.1088</v>
      </c>
      <c r="K118" s="206">
        <f t="shared" si="16"/>
        <v>1733498.5031999999</v>
      </c>
      <c r="L118" s="220">
        <f t="shared" si="16"/>
        <v>540267.77159999998</v>
      </c>
      <c r="M118" s="220">
        <f t="shared" si="16"/>
        <v>1193230.7316000001</v>
      </c>
      <c r="N118" s="206">
        <f t="shared" si="16"/>
        <v>1822669.8947999999</v>
      </c>
      <c r="O118" s="101"/>
      <c r="S118" s="101"/>
      <c r="T118" s="101"/>
      <c r="U118" s="101"/>
      <c r="V118" s="101"/>
    </row>
    <row r="119" spans="2:22" ht="28.05" customHeight="1" x14ac:dyDescent="0.3">
      <c r="B119" s="188" t="s">
        <v>597</v>
      </c>
      <c r="C119" s="161" t="s">
        <v>784</v>
      </c>
      <c r="D119" s="188" t="s">
        <v>595</v>
      </c>
      <c r="E119" s="253">
        <f t="shared" si="14"/>
        <v>2229315.804</v>
      </c>
      <c r="F119" s="253">
        <f t="shared" si="14"/>
        <v>779118.82920000004</v>
      </c>
      <c r="G119" s="253">
        <f t="shared" si="15"/>
        <v>1450196.9748</v>
      </c>
      <c r="H119" s="220">
        <f t="shared" si="16"/>
        <v>2303934.7752</v>
      </c>
      <c r="I119" s="220">
        <f t="shared" si="16"/>
        <v>882408.96360000002</v>
      </c>
      <c r="J119" s="220">
        <f t="shared" si="16"/>
        <v>1421525.8115999999</v>
      </c>
      <c r="K119" s="206">
        <f t="shared" si="16"/>
        <v>2164571.8560000001</v>
      </c>
      <c r="L119" s="220">
        <f t="shared" si="16"/>
        <v>912788.21880000003</v>
      </c>
      <c r="M119" s="220">
        <f t="shared" si="16"/>
        <v>1251783.6372</v>
      </c>
      <c r="N119" s="206">
        <f t="shared" si="16"/>
        <v>2201419.2347999997</v>
      </c>
      <c r="O119" s="101"/>
      <c r="S119" s="101"/>
      <c r="T119" s="101"/>
      <c r="U119" s="101"/>
      <c r="V119" s="101"/>
    </row>
    <row r="120" spans="2:22" ht="28.05" customHeight="1" x14ac:dyDescent="0.3">
      <c r="B120" s="188" t="s">
        <v>598</v>
      </c>
      <c r="C120" s="161" t="s">
        <v>1181</v>
      </c>
      <c r="D120" s="188" t="s">
        <v>595</v>
      </c>
      <c r="E120" s="253">
        <f>986948044*0.0036</f>
        <v>3553012.9583999999</v>
      </c>
      <c r="F120" s="253">
        <f t="shared" ref="F120:F125" si="17">F130*0.0036</f>
        <v>851885.96039999998</v>
      </c>
      <c r="G120" s="253">
        <f t="shared" si="15"/>
        <v>2701126.9979999997</v>
      </c>
      <c r="H120" s="220">
        <f t="shared" si="16"/>
        <v>3883081.4208</v>
      </c>
      <c r="I120" s="220">
        <f t="shared" si="16"/>
        <v>953590.43519999995</v>
      </c>
      <c r="J120" s="220">
        <f t="shared" si="16"/>
        <v>2929490.9855999998</v>
      </c>
      <c r="K120" s="206">
        <f t="shared" si="16"/>
        <v>3704763.6252000001</v>
      </c>
      <c r="L120" s="220">
        <f t="shared" si="16"/>
        <v>986494.08959999995</v>
      </c>
      <c r="M120" s="220">
        <f t="shared" si="16"/>
        <v>2718269.5356000001</v>
      </c>
      <c r="N120" s="206">
        <f t="shared" si="16"/>
        <v>3857710.6727999998</v>
      </c>
      <c r="O120" s="101"/>
      <c r="S120" s="101"/>
      <c r="T120" s="101"/>
      <c r="U120" s="101"/>
      <c r="V120" s="101"/>
    </row>
    <row r="121" spans="2:22" ht="28.05" customHeight="1" x14ac:dyDescent="0.3">
      <c r="B121" s="322" t="s">
        <v>599</v>
      </c>
      <c r="C121" s="161" t="s">
        <v>786</v>
      </c>
      <c r="D121" s="188" t="s">
        <v>595</v>
      </c>
      <c r="E121" s="253">
        <f>E131*0.0036</f>
        <v>2475308.5128000001</v>
      </c>
      <c r="F121" s="253">
        <f t="shared" si="17"/>
        <v>802475.77679999999</v>
      </c>
      <c r="G121" s="253">
        <f t="shared" si="15"/>
        <v>1672832.736</v>
      </c>
      <c r="H121" s="220">
        <f t="shared" si="16"/>
        <v>2605562.1683999998</v>
      </c>
      <c r="I121" s="220">
        <f t="shared" si="16"/>
        <v>904064.82120000001</v>
      </c>
      <c r="J121" s="220">
        <f t="shared" si="16"/>
        <v>1701497.3472</v>
      </c>
      <c r="K121" s="206">
        <f t="shared" si="16"/>
        <v>2460139.3043999998</v>
      </c>
      <c r="L121" s="220">
        <f t="shared" si="16"/>
        <v>936169.89480000001</v>
      </c>
      <c r="M121" s="220">
        <f t="shared" si="16"/>
        <v>1523969.4095999999</v>
      </c>
      <c r="N121" s="206">
        <f t="shared" si="16"/>
        <v>2480339.4839999997</v>
      </c>
      <c r="O121" s="101"/>
      <c r="S121" s="101"/>
      <c r="T121" s="101"/>
      <c r="U121" s="101"/>
      <c r="V121" s="101"/>
    </row>
    <row r="122" spans="2:22" ht="28.05" customHeight="1" x14ac:dyDescent="0.3">
      <c r="B122" s="322" t="s">
        <v>600</v>
      </c>
      <c r="C122" s="161" t="s">
        <v>787</v>
      </c>
      <c r="D122" s="188" t="s">
        <v>595</v>
      </c>
      <c r="E122" s="253">
        <f>E132*0.0036</f>
        <v>931420.57679999992</v>
      </c>
      <c r="F122" s="253">
        <f t="shared" si="17"/>
        <v>23946.552</v>
      </c>
      <c r="G122" s="253">
        <f t="shared" si="15"/>
        <v>907474.0247999999</v>
      </c>
      <c r="H122" s="220">
        <f t="shared" si="16"/>
        <v>1127469.6576</v>
      </c>
      <c r="I122" s="220">
        <f t="shared" si="16"/>
        <v>20683.699199999999</v>
      </c>
      <c r="J122" s="220">
        <f t="shared" si="16"/>
        <v>1106785.9583999999</v>
      </c>
      <c r="K122" s="206">
        <f t="shared" si="16"/>
        <v>1117471.3056000001</v>
      </c>
      <c r="L122" s="220">
        <f t="shared" si="16"/>
        <v>27600.84</v>
      </c>
      <c r="M122" s="220">
        <f t="shared" si="16"/>
        <v>1089870.4656</v>
      </c>
      <c r="N122" s="206">
        <f t="shared" si="16"/>
        <v>1257125.4683999999</v>
      </c>
      <c r="O122" s="101"/>
      <c r="S122" s="101"/>
      <c r="T122" s="101"/>
      <c r="U122" s="101"/>
      <c r="V122" s="101"/>
    </row>
    <row r="123" spans="2:22" ht="28.05" customHeight="1" x14ac:dyDescent="0.3">
      <c r="B123" s="323" t="s">
        <v>601</v>
      </c>
      <c r="C123" s="161" t="s">
        <v>788</v>
      </c>
      <c r="D123" s="188" t="s">
        <v>595</v>
      </c>
      <c r="E123" s="253">
        <f>E133*0.0036</f>
        <v>128724.8796</v>
      </c>
      <c r="F123" s="253">
        <f t="shared" si="17"/>
        <v>19250.449199999999</v>
      </c>
      <c r="G123" s="253">
        <f t="shared" si="15"/>
        <v>109474.4304</v>
      </c>
      <c r="H123" s="220">
        <f t="shared" si="16"/>
        <v>113543.96399999999</v>
      </c>
      <c r="I123" s="220">
        <f t="shared" si="16"/>
        <v>14086.619999999999</v>
      </c>
      <c r="J123" s="220">
        <f t="shared" si="16"/>
        <v>99457.343999999997</v>
      </c>
      <c r="K123" s="206">
        <f t="shared" si="16"/>
        <v>112445.03879999999</v>
      </c>
      <c r="L123" s="220">
        <f t="shared" si="16"/>
        <v>21111.778728000001</v>
      </c>
      <c r="M123" s="220">
        <f t="shared" si="16"/>
        <v>91333.26007199999</v>
      </c>
      <c r="N123" s="206">
        <f t="shared" si="16"/>
        <v>120245.72039999999</v>
      </c>
      <c r="O123" s="101"/>
      <c r="S123" s="101"/>
      <c r="T123" s="101"/>
      <c r="U123" s="101"/>
      <c r="V123" s="101"/>
    </row>
    <row r="124" spans="2:22" ht="28.05" customHeight="1" x14ac:dyDescent="0.3">
      <c r="B124" s="323" t="s">
        <v>602</v>
      </c>
      <c r="C124" s="161" t="s">
        <v>789</v>
      </c>
      <c r="D124" s="188" t="s">
        <v>595</v>
      </c>
      <c r="E124" s="253">
        <f>E134*0.0036</f>
        <v>17558.9928</v>
      </c>
      <c r="F124" s="253">
        <f t="shared" si="17"/>
        <v>6213.1823999999997</v>
      </c>
      <c r="G124" s="253">
        <f t="shared" ref="G124:M124" si="18">G134*0.0036</f>
        <v>11345.8104</v>
      </c>
      <c r="H124" s="220">
        <f t="shared" si="18"/>
        <v>36505.631231999992</v>
      </c>
      <c r="I124" s="220">
        <f t="shared" si="18"/>
        <v>14755.2948</v>
      </c>
      <c r="J124" s="220">
        <f t="shared" si="18"/>
        <v>21750.336431999996</v>
      </c>
      <c r="K124" s="220">
        <f t="shared" si="18"/>
        <v>14707.9746</v>
      </c>
      <c r="L124" s="220">
        <f t="shared" si="18"/>
        <v>1611.576</v>
      </c>
      <c r="M124" s="220">
        <f t="shared" si="18"/>
        <v>13096.3986</v>
      </c>
      <c r="N124" s="220" t="s">
        <v>603</v>
      </c>
      <c r="O124" s="101"/>
      <c r="S124" s="101"/>
      <c r="T124" s="101"/>
      <c r="U124" s="101"/>
      <c r="V124" s="101"/>
    </row>
    <row r="125" spans="2:22" ht="28.05" customHeight="1" x14ac:dyDescent="0.3">
      <c r="B125" s="221" t="s">
        <v>604</v>
      </c>
      <c r="C125" s="160" t="s">
        <v>790</v>
      </c>
      <c r="D125" s="188" t="s">
        <v>595</v>
      </c>
      <c r="E125" s="253">
        <f>E135*0.0036</f>
        <v>715191.09479999996</v>
      </c>
      <c r="F125" s="253">
        <f t="shared" si="17"/>
        <v>363069.95759999997</v>
      </c>
      <c r="G125" s="253">
        <f t="shared" si="15"/>
        <v>352121.1372</v>
      </c>
      <c r="H125" s="220">
        <f t="shared" ref="H125:N125" si="19">H135*0.0036</f>
        <v>587419.38359999994</v>
      </c>
      <c r="I125" s="220">
        <f t="shared" si="19"/>
        <v>390460.16159999999</v>
      </c>
      <c r="J125" s="220">
        <f t="shared" si="19"/>
        <v>196959.22200000001</v>
      </c>
      <c r="K125" s="206">
        <f t="shared" si="19"/>
        <v>501251.95439999999</v>
      </c>
      <c r="L125" s="220">
        <f t="shared" si="19"/>
        <v>415296.47519999999</v>
      </c>
      <c r="M125" s="220">
        <f t="shared" si="19"/>
        <v>85955.479200000002</v>
      </c>
      <c r="N125" s="206">
        <f t="shared" si="19"/>
        <v>469925.43479999999</v>
      </c>
      <c r="O125" s="101"/>
      <c r="S125" s="101"/>
      <c r="T125" s="101"/>
      <c r="U125" s="101"/>
      <c r="V125" s="101"/>
    </row>
    <row r="126" spans="2:22" x14ac:dyDescent="0.25">
      <c r="R126" s="7"/>
    </row>
    <row r="127" spans="2:22" ht="69" x14ac:dyDescent="0.25">
      <c r="B127" s="188" t="s">
        <v>594</v>
      </c>
      <c r="C127" s="161" t="s">
        <v>791</v>
      </c>
      <c r="D127" s="188" t="s">
        <v>465</v>
      </c>
      <c r="E127" s="253">
        <v>1185612237</v>
      </c>
      <c r="F127" s="253">
        <v>337487755</v>
      </c>
      <c r="G127" s="253">
        <f>E127-F127</f>
        <v>848124482</v>
      </c>
      <c r="H127" s="220">
        <v>1241805779</v>
      </c>
      <c r="I127" s="220">
        <v>373347388</v>
      </c>
      <c r="J127" s="220">
        <f t="shared" ref="J127:J135" si="20">H127-I127</f>
        <v>868458391</v>
      </c>
      <c r="K127" s="206">
        <v>1168337660</v>
      </c>
      <c r="L127" s="220">
        <v>389386268</v>
      </c>
      <c r="M127" s="220">
        <f t="shared" ref="M127:M135" si="21">K127-L127</f>
        <v>778951392</v>
      </c>
      <c r="N127" s="206">
        <v>1202121141</v>
      </c>
      <c r="O127" s="101"/>
      <c r="P127" s="501" t="s">
        <v>1182</v>
      </c>
      <c r="Q127" s="454">
        <f>E132/1000</f>
        <v>258727.93799999999</v>
      </c>
      <c r="R127" s="455">
        <f t="shared" ref="R127:R133" si="22">Q127/$Q$135</f>
        <v>0.21822306628383506</v>
      </c>
      <c r="S127" s="101"/>
      <c r="T127" s="101"/>
      <c r="U127" s="101"/>
      <c r="V127" s="101"/>
    </row>
    <row r="128" spans="2:22" ht="82.8" x14ac:dyDescent="0.25">
      <c r="B128" s="188" t="s">
        <v>596</v>
      </c>
      <c r="C128" s="161" t="s">
        <v>792</v>
      </c>
      <c r="D128" s="188" t="s">
        <v>465</v>
      </c>
      <c r="E128" s="253">
        <v>484365692</v>
      </c>
      <c r="F128" s="253">
        <v>130584297</v>
      </c>
      <c r="G128" s="253">
        <f>E128-F128</f>
        <v>353781395</v>
      </c>
      <c r="H128" s="220">
        <v>505969050</v>
      </c>
      <c r="I128" s="220">
        <v>138141242</v>
      </c>
      <c r="J128" s="220">
        <f t="shared" si="20"/>
        <v>367827808</v>
      </c>
      <c r="K128" s="206">
        <v>481527362</v>
      </c>
      <c r="L128" s="220">
        <v>150074381</v>
      </c>
      <c r="M128" s="220">
        <f t="shared" si="21"/>
        <v>331452981</v>
      </c>
      <c r="N128" s="206">
        <v>506297193</v>
      </c>
      <c r="O128" s="101"/>
      <c r="P128" s="501" t="s">
        <v>1183</v>
      </c>
      <c r="Q128" s="454">
        <f>191804345/1000</f>
        <v>191804.345</v>
      </c>
      <c r="R128" s="455">
        <f t="shared" si="22"/>
        <v>0.16177662380033564</v>
      </c>
      <c r="S128" s="101"/>
      <c r="T128" s="101"/>
      <c r="U128" s="101"/>
      <c r="V128" s="101"/>
    </row>
    <row r="129" spans="2:25" ht="55.2" x14ac:dyDescent="0.25">
      <c r="B129" s="188" t="s">
        <v>597</v>
      </c>
      <c r="C129" s="161" t="s">
        <v>793</v>
      </c>
      <c r="D129" s="188" t="s">
        <v>465</v>
      </c>
      <c r="E129" s="253">
        <v>619254390</v>
      </c>
      <c r="F129" s="253">
        <v>216421897</v>
      </c>
      <c r="G129" s="253">
        <f>E129-F129</f>
        <v>402832493</v>
      </c>
      <c r="H129" s="220">
        <v>639981882</v>
      </c>
      <c r="I129" s="220">
        <v>245113601</v>
      </c>
      <c r="J129" s="220">
        <f t="shared" si="20"/>
        <v>394868281</v>
      </c>
      <c r="K129" s="206">
        <v>601269960</v>
      </c>
      <c r="L129" s="220">
        <v>253552283</v>
      </c>
      <c r="M129" s="220">
        <f t="shared" si="21"/>
        <v>347717677</v>
      </c>
      <c r="N129" s="206">
        <v>611505343</v>
      </c>
      <c r="O129" s="101"/>
      <c r="P129" s="501" t="s">
        <v>1184</v>
      </c>
      <c r="Q129" s="454">
        <f>6859848/1000</f>
        <v>6859.848</v>
      </c>
      <c r="R129" s="455">
        <f t="shared" si="22"/>
        <v>5.7859119365803987E-3</v>
      </c>
      <c r="S129" s="101"/>
      <c r="T129" s="101"/>
      <c r="U129" s="101"/>
      <c r="V129" s="101"/>
    </row>
    <row r="130" spans="2:25" ht="114.75" customHeight="1" x14ac:dyDescent="0.25">
      <c r="B130" s="188" t="s">
        <v>598</v>
      </c>
      <c r="C130" s="161" t="s">
        <v>794</v>
      </c>
      <c r="D130" s="188" t="s">
        <v>465</v>
      </c>
      <c r="E130" s="237">
        <v>986948044</v>
      </c>
      <c r="F130" s="253">
        <v>236634989</v>
      </c>
      <c r="G130" s="253">
        <f>986948044-F130</f>
        <v>750313055</v>
      </c>
      <c r="H130" s="220">
        <v>1078633728</v>
      </c>
      <c r="I130" s="220">
        <v>264886232</v>
      </c>
      <c r="J130" s="220">
        <f t="shared" si="20"/>
        <v>813747496</v>
      </c>
      <c r="K130" s="206">
        <v>1029101007</v>
      </c>
      <c r="L130" s="220">
        <v>274026136</v>
      </c>
      <c r="M130" s="220">
        <f t="shared" si="21"/>
        <v>755074871</v>
      </c>
      <c r="N130" s="206">
        <v>1071586298</v>
      </c>
      <c r="O130" s="101"/>
      <c r="P130" s="501" t="s">
        <v>1185</v>
      </c>
      <c r="Q130" s="454">
        <f>E129/1000</f>
        <v>619254.39</v>
      </c>
      <c r="R130" s="455">
        <f t="shared" si="22"/>
        <v>0.52230769061950255</v>
      </c>
      <c r="S130" s="101"/>
      <c r="T130" s="101"/>
      <c r="U130" s="101"/>
      <c r="V130" s="101"/>
    </row>
    <row r="131" spans="2:25" ht="55.2" x14ac:dyDescent="0.25">
      <c r="B131" s="322" t="s">
        <v>599</v>
      </c>
      <c r="C131" s="161" t="s">
        <v>786</v>
      </c>
      <c r="D131" s="188" t="s">
        <v>465</v>
      </c>
      <c r="E131" s="253">
        <v>687585698</v>
      </c>
      <c r="F131" s="253">
        <v>222909938</v>
      </c>
      <c r="G131" s="253">
        <f>E131-F131</f>
        <v>464675760</v>
      </c>
      <c r="H131" s="220">
        <v>723767269</v>
      </c>
      <c r="I131" s="220">
        <v>251129117</v>
      </c>
      <c r="J131" s="220">
        <f t="shared" si="20"/>
        <v>472638152</v>
      </c>
      <c r="K131" s="206">
        <v>683372029</v>
      </c>
      <c r="L131" s="220">
        <v>260047193</v>
      </c>
      <c r="M131" s="220">
        <f t="shared" si="21"/>
        <v>423324836</v>
      </c>
      <c r="N131" s="206">
        <v>688983190</v>
      </c>
      <c r="O131" s="101"/>
      <c r="P131" s="501" t="s">
        <v>1186</v>
      </c>
      <c r="Q131" s="454">
        <f>(E131-E129)/1000</f>
        <v>68331.308000000005</v>
      </c>
      <c r="R131" s="455">
        <f t="shared" si="22"/>
        <v>5.7633774188488099E-2</v>
      </c>
      <c r="S131" s="101"/>
      <c r="T131" s="101"/>
      <c r="U131" s="101"/>
      <c r="V131" s="101"/>
    </row>
    <row r="132" spans="2:25" ht="27.6" x14ac:dyDescent="0.25">
      <c r="B132" s="322" t="s">
        <v>600</v>
      </c>
      <c r="C132" s="161" t="s">
        <v>795</v>
      </c>
      <c r="D132" s="188" t="s">
        <v>465</v>
      </c>
      <c r="E132" s="253">
        <v>258727938</v>
      </c>
      <c r="F132" s="253">
        <v>6651820</v>
      </c>
      <c r="G132" s="253">
        <f>E132-F132</f>
        <v>252076118</v>
      </c>
      <c r="H132" s="220">
        <v>313186016</v>
      </c>
      <c r="I132" s="220">
        <v>5745472</v>
      </c>
      <c r="J132" s="220">
        <f t="shared" si="20"/>
        <v>307440544</v>
      </c>
      <c r="K132" s="206">
        <v>310408696</v>
      </c>
      <c r="L132" s="220">
        <v>7666900</v>
      </c>
      <c r="M132" s="220">
        <f t="shared" si="21"/>
        <v>302741796</v>
      </c>
      <c r="N132" s="206">
        <v>349201519</v>
      </c>
      <c r="O132" s="101"/>
      <c r="P132" s="501" t="s">
        <v>1187</v>
      </c>
      <c r="Q132" s="454">
        <f>E133/1000</f>
        <v>35756.911</v>
      </c>
      <c r="R132" s="455">
        <f t="shared" si="22"/>
        <v>3.0159026580493176E-2</v>
      </c>
      <c r="S132" s="101"/>
      <c r="T132" s="101"/>
      <c r="U132" s="101"/>
      <c r="V132" s="101"/>
    </row>
    <row r="133" spans="2:25" ht="41.4" x14ac:dyDescent="0.25">
      <c r="B133" s="323" t="s">
        <v>601</v>
      </c>
      <c r="C133" s="161" t="s">
        <v>796</v>
      </c>
      <c r="D133" s="188" t="s">
        <v>465</v>
      </c>
      <c r="E133" s="253">
        <v>35756911</v>
      </c>
      <c r="F133" s="253">
        <v>5347347</v>
      </c>
      <c r="G133" s="253">
        <f>E133-F133</f>
        <v>30409564</v>
      </c>
      <c r="H133" s="220">
        <v>31539990</v>
      </c>
      <c r="I133" s="220">
        <v>3912950</v>
      </c>
      <c r="J133" s="220">
        <f t="shared" si="20"/>
        <v>27627040</v>
      </c>
      <c r="K133" s="206">
        <v>31234733</v>
      </c>
      <c r="L133" s="220">
        <v>5864382.9800000004</v>
      </c>
      <c r="M133" s="220">
        <f t="shared" si="21"/>
        <v>25370350.02</v>
      </c>
      <c r="N133" s="206">
        <v>33401589</v>
      </c>
      <c r="O133" s="101"/>
      <c r="P133" s="501" t="s">
        <v>1188</v>
      </c>
      <c r="Q133" s="454">
        <f>E134/1000</f>
        <v>4877.4979999999996</v>
      </c>
      <c r="R133" s="455">
        <f t="shared" si="22"/>
        <v>4.1139065907651335E-3</v>
      </c>
      <c r="S133" s="101"/>
      <c r="T133" s="101"/>
      <c r="U133" s="101"/>
      <c r="V133" s="101"/>
    </row>
    <row r="134" spans="2:25" ht="33.75" customHeight="1" x14ac:dyDescent="0.25">
      <c r="B134" s="323" t="s">
        <v>602</v>
      </c>
      <c r="C134" s="161" t="s">
        <v>789</v>
      </c>
      <c r="D134" s="188" t="s">
        <v>465</v>
      </c>
      <c r="E134" s="253">
        <v>4877498</v>
      </c>
      <c r="F134" s="253">
        <v>1725884</v>
      </c>
      <c r="G134" s="253">
        <f>E134-F134</f>
        <v>3151614</v>
      </c>
      <c r="H134" s="220">
        <v>10140453.119999999</v>
      </c>
      <c r="I134" s="220">
        <v>4098693</v>
      </c>
      <c r="J134" s="220">
        <f>H134-I134</f>
        <v>6041760.1199999992</v>
      </c>
      <c r="K134" s="206">
        <v>4085548.5</v>
      </c>
      <c r="L134" s="220">
        <v>447660</v>
      </c>
      <c r="M134" s="220">
        <f>K134-L134</f>
        <v>3637888.5</v>
      </c>
      <c r="N134" s="324">
        <f>N130-N131-N132-N133</f>
        <v>0</v>
      </c>
      <c r="O134" s="101"/>
      <c r="P134" s="456"/>
      <c r="Q134" s="501"/>
      <c r="R134" s="457"/>
      <c r="S134" s="101"/>
      <c r="T134" s="101"/>
      <c r="U134" s="101"/>
      <c r="V134" s="101"/>
    </row>
    <row r="135" spans="2:25" ht="27.6" x14ac:dyDescent="0.25">
      <c r="B135" s="221" t="s">
        <v>604</v>
      </c>
      <c r="C135" s="161" t="s">
        <v>790</v>
      </c>
      <c r="D135" s="188" t="s">
        <v>465</v>
      </c>
      <c r="E135" s="253">
        <v>198664193</v>
      </c>
      <c r="F135" s="253">
        <v>100852766</v>
      </c>
      <c r="G135" s="253">
        <f>E135-F135</f>
        <v>97811427</v>
      </c>
      <c r="H135" s="220">
        <v>163172051</v>
      </c>
      <c r="I135" s="220">
        <v>108461156</v>
      </c>
      <c r="J135" s="220">
        <f t="shared" si="20"/>
        <v>54710895</v>
      </c>
      <c r="K135" s="206">
        <v>139236654</v>
      </c>
      <c r="L135" s="220">
        <v>115360132</v>
      </c>
      <c r="M135" s="220">
        <f t="shared" si="21"/>
        <v>23876522</v>
      </c>
      <c r="N135" s="206">
        <v>130534843</v>
      </c>
      <c r="O135" s="101"/>
      <c r="P135" s="501" t="s">
        <v>1189</v>
      </c>
      <c r="Q135" s="502">
        <f>SUM(Q127:Q133)</f>
        <v>1185612.2379999999</v>
      </c>
      <c r="R135" s="457">
        <f>SUM(R127:R134)</f>
        <v>1</v>
      </c>
      <c r="S135" s="101"/>
      <c r="T135" s="101"/>
      <c r="U135" s="101"/>
      <c r="V135" s="101"/>
    </row>
    <row r="137" spans="2:25" ht="41.4" x14ac:dyDescent="0.3">
      <c r="B137" s="221" t="s">
        <v>467</v>
      </c>
      <c r="C137" s="160" t="s">
        <v>797</v>
      </c>
      <c r="D137" s="188" t="s">
        <v>591</v>
      </c>
      <c r="E137" s="258">
        <f>E135/E128</f>
        <v>0.41015331242742104</v>
      </c>
      <c r="F137" s="258">
        <f>F135/F128</f>
        <v>0.77231924754321724</v>
      </c>
      <c r="G137" s="258">
        <f>G135/G128</f>
        <v>0.27647419672818013</v>
      </c>
      <c r="H137" s="222">
        <v>0.32269999999999999</v>
      </c>
      <c r="I137" s="222">
        <f>I135/I128</f>
        <v>0.78514681372272588</v>
      </c>
      <c r="J137" s="222">
        <f>J135/J128</f>
        <v>0.14874050794985028</v>
      </c>
      <c r="K137" s="222">
        <v>0.2893</v>
      </c>
      <c r="L137" s="222">
        <f>L135/L128</f>
        <v>0.76868637559131425</v>
      </c>
      <c r="M137" s="222">
        <f>M135/M128</f>
        <v>7.2035924757605369E-2</v>
      </c>
      <c r="N137" s="222">
        <v>0.25790000000000002</v>
      </c>
      <c r="O137" s="101"/>
      <c r="P137" s="101"/>
      <c r="R137" s="58">
        <f>21.8+16.2+0.6+52.2+5.8+3+0.4</f>
        <v>100.00000000000001</v>
      </c>
      <c r="S137" s="101"/>
      <c r="T137" s="101"/>
      <c r="U137" s="101"/>
      <c r="V137" s="101"/>
    </row>
    <row r="138" spans="2:25" x14ac:dyDescent="0.3">
      <c r="B138" s="119"/>
      <c r="C138" s="119"/>
      <c r="D138" s="120"/>
      <c r="E138" s="120"/>
      <c r="F138" s="120"/>
      <c r="G138" s="120"/>
      <c r="H138" s="121"/>
      <c r="I138" s="121"/>
      <c r="J138" s="121"/>
      <c r="K138" s="122"/>
      <c r="L138" s="122"/>
      <c r="M138" s="122"/>
      <c r="N138" s="101"/>
      <c r="O138" s="101"/>
      <c r="P138" s="101"/>
      <c r="S138" s="101"/>
      <c r="T138" s="101"/>
      <c r="U138" s="101"/>
      <c r="V138" s="101"/>
      <c r="W138" s="101"/>
      <c r="X138" s="101"/>
      <c r="Y138" s="101"/>
    </row>
    <row r="139" spans="2:25" ht="19.8" x14ac:dyDescent="0.3">
      <c r="B139" s="99"/>
      <c r="C139" s="99"/>
      <c r="D139" s="120"/>
      <c r="E139" s="147"/>
      <c r="F139" s="120"/>
      <c r="G139" s="120"/>
      <c r="H139" s="121"/>
      <c r="I139" s="121"/>
      <c r="J139" s="121"/>
      <c r="K139" s="122"/>
      <c r="L139" s="122"/>
      <c r="M139" s="122"/>
      <c r="N139" s="101"/>
      <c r="O139" s="101"/>
      <c r="P139" s="101"/>
      <c r="S139" s="101"/>
      <c r="T139" s="101"/>
      <c r="U139" s="101"/>
      <c r="V139" s="101"/>
      <c r="W139" s="101"/>
      <c r="X139" s="101"/>
      <c r="Y139" s="101"/>
    </row>
    <row r="140" spans="2:25" ht="19.8" x14ac:dyDescent="0.3">
      <c r="B140" s="243" t="s">
        <v>667</v>
      </c>
      <c r="C140" s="244" t="s">
        <v>798</v>
      </c>
      <c r="D140" s="260" t="s">
        <v>430</v>
      </c>
      <c r="E140" s="245" t="s">
        <v>433</v>
      </c>
    </row>
    <row r="141" spans="2:25" x14ac:dyDescent="0.3">
      <c r="B141" s="188" t="s">
        <v>669</v>
      </c>
      <c r="C141" s="161" t="s">
        <v>799</v>
      </c>
      <c r="D141" s="188" t="s">
        <v>670</v>
      </c>
      <c r="E141" s="259">
        <v>0</v>
      </c>
    </row>
    <row r="147" spans="8:14" x14ac:dyDescent="0.3">
      <c r="H147" s="101"/>
    </row>
    <row r="148" spans="8:14" x14ac:dyDescent="0.25">
      <c r="L148" s="101"/>
      <c r="N148" s="7"/>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sheetPr codeName="Sheet23"/>
  <dimension ref="A1:R182"/>
  <sheetViews>
    <sheetView workbookViewId="0"/>
  </sheetViews>
  <sheetFormatPr defaultColWidth="8.77734375" defaultRowHeight="13.8" x14ac:dyDescent="0.25"/>
  <cols>
    <col min="1" max="1" width="21.44140625" style="2" customWidth="1"/>
    <col min="2" max="2" width="52.77734375" style="9" customWidth="1"/>
    <col min="3" max="3" width="83.44140625" style="9" customWidth="1"/>
    <col min="4" max="4" width="14.77734375" style="9" customWidth="1"/>
    <col min="5" max="5" width="15.44140625" style="9" customWidth="1"/>
    <col min="6" max="6" width="15.21875" style="9" customWidth="1"/>
    <col min="7" max="8" width="14.77734375" style="9" customWidth="1"/>
    <col min="9" max="9" width="16.77734375" style="9" customWidth="1"/>
    <col min="10" max="13" width="14.77734375" style="9" customWidth="1"/>
    <col min="14" max="14" width="13.21875" style="9" customWidth="1"/>
    <col min="15" max="15" width="9.21875" style="9" customWidth="1"/>
    <col min="16" max="18" width="9.21875" style="2" customWidth="1"/>
    <col min="19" max="16384" width="8.77734375" style="2"/>
  </cols>
  <sheetData>
    <row r="1" spans="1:18" ht="35.4" x14ac:dyDescent="0.55000000000000004">
      <c r="A1" s="60"/>
    </row>
    <row r="2" spans="1:18" ht="35.4" x14ac:dyDescent="0.55000000000000004">
      <c r="A2" s="60"/>
      <c r="B2" s="1665" t="s">
        <v>23</v>
      </c>
      <c r="C2" s="1665"/>
      <c r="D2" s="1665"/>
      <c r="E2" s="1665"/>
      <c r="F2" s="1665"/>
      <c r="G2" s="1665"/>
      <c r="H2" s="1665"/>
      <c r="I2" s="1665"/>
      <c r="J2" s="1665"/>
      <c r="K2" s="1665"/>
      <c r="L2" s="1665"/>
      <c r="M2" s="1665"/>
      <c r="N2" s="1665"/>
      <c r="O2" s="1665"/>
      <c r="P2" s="1665"/>
      <c r="Q2" s="1665"/>
      <c r="R2" s="1665"/>
    </row>
    <row r="4" spans="1:18" ht="22.5" customHeight="1" x14ac:dyDescent="0.25">
      <c r="B4" s="1743" t="s">
        <v>1190</v>
      </c>
      <c r="C4" s="1743"/>
      <c r="D4" s="1743"/>
      <c r="E4" s="1743"/>
      <c r="F4" s="1743"/>
      <c r="G4" s="1743"/>
      <c r="H4" s="1743"/>
      <c r="I4" s="1743"/>
      <c r="J4" s="1743"/>
      <c r="K4" s="1743"/>
      <c r="L4" s="1743"/>
      <c r="M4" s="1743"/>
      <c r="N4" s="1743"/>
      <c r="O4" s="1743"/>
    </row>
    <row r="5" spans="1:18" x14ac:dyDescent="0.25">
      <c r="B5" s="61"/>
      <c r="C5" s="61"/>
      <c r="D5" s="61"/>
      <c r="E5" s="61"/>
      <c r="F5" s="61"/>
      <c r="G5" s="61"/>
      <c r="H5" s="61"/>
      <c r="I5" s="61"/>
      <c r="J5" s="61"/>
      <c r="K5" s="61"/>
      <c r="L5" s="61"/>
      <c r="M5" s="61"/>
      <c r="N5" s="61"/>
      <c r="O5" s="61"/>
    </row>
    <row r="6" spans="1:18" ht="17.55" customHeight="1" x14ac:dyDescent="0.25">
      <c r="B6" s="284" t="s">
        <v>1191</v>
      </c>
      <c r="C6" s="469" t="s">
        <v>1192</v>
      </c>
      <c r="D6" s="1744" t="s">
        <v>433</v>
      </c>
      <c r="E6" s="1744"/>
      <c r="F6" s="1744"/>
      <c r="G6" s="1744" t="s">
        <v>434</v>
      </c>
      <c r="H6" s="1744"/>
      <c r="I6" s="1744"/>
      <c r="J6" s="1744" t="s">
        <v>435</v>
      </c>
      <c r="K6" s="1744"/>
      <c r="L6" s="1745"/>
      <c r="M6" s="1746" t="s">
        <v>1193</v>
      </c>
      <c r="N6" s="1746" t="s">
        <v>1194</v>
      </c>
      <c r="O6" s="61"/>
      <c r="P6" s="61"/>
    </row>
    <row r="7" spans="1:18" ht="31.05" customHeight="1" x14ac:dyDescent="0.25">
      <c r="A7" s="9"/>
      <c r="B7" s="285" t="s">
        <v>809</v>
      </c>
      <c r="C7" s="286" t="s">
        <v>1195</v>
      </c>
      <c r="D7" s="287" t="s">
        <v>810</v>
      </c>
      <c r="E7" s="287" t="s">
        <v>811</v>
      </c>
      <c r="F7" s="287" t="s">
        <v>708</v>
      </c>
      <c r="G7" s="287" t="s">
        <v>810</v>
      </c>
      <c r="H7" s="287" t="s">
        <v>811</v>
      </c>
      <c r="I7" s="287" t="s">
        <v>708</v>
      </c>
      <c r="J7" s="287" t="s">
        <v>810</v>
      </c>
      <c r="K7" s="287" t="s">
        <v>811</v>
      </c>
      <c r="L7" s="321" t="s">
        <v>708</v>
      </c>
      <c r="M7" s="1747"/>
      <c r="N7" s="1747"/>
      <c r="O7" s="92" t="s">
        <v>813</v>
      </c>
    </row>
    <row r="8" spans="1:18" x14ac:dyDescent="0.25">
      <c r="B8" s="193" t="s">
        <v>814</v>
      </c>
      <c r="C8" s="473"/>
      <c r="D8" s="283"/>
      <c r="E8" s="283"/>
      <c r="F8" s="283"/>
      <c r="G8" s="283"/>
      <c r="H8" s="283"/>
      <c r="I8" s="283"/>
      <c r="J8" s="283"/>
      <c r="K8" s="283"/>
      <c r="L8" s="283"/>
      <c r="M8" s="344"/>
      <c r="N8" s="92"/>
      <c r="O8" s="92"/>
    </row>
    <row r="9" spans="1:18" x14ac:dyDescent="0.25">
      <c r="B9" s="288" t="s">
        <v>815</v>
      </c>
      <c r="C9" s="1710" t="s">
        <v>1196</v>
      </c>
      <c r="D9" s="472">
        <v>1116</v>
      </c>
      <c r="E9" s="472">
        <v>2798</v>
      </c>
      <c r="F9" s="472">
        <f>SUM(D9:E9)</f>
        <v>3914</v>
      </c>
      <c r="G9" s="1698">
        <v>2333</v>
      </c>
      <c r="H9" s="1698">
        <v>4901</v>
      </c>
      <c r="I9" s="1698">
        <f>SUM(G9:H9)</f>
        <v>7234</v>
      </c>
      <c r="J9" s="1698">
        <v>2344</v>
      </c>
      <c r="K9" s="1698">
        <v>5229</v>
      </c>
      <c r="L9" s="1698">
        <f>J9+K9</f>
        <v>7573</v>
      </c>
      <c r="M9" s="343">
        <f t="shared" ref="M9:M14" si="0">D9/F9</f>
        <v>0.28513030148185997</v>
      </c>
      <c r="N9" s="1612"/>
      <c r="O9" s="1612"/>
      <c r="P9" s="2" t="str">
        <f>B9</f>
        <v xml:space="preserve">UK </v>
      </c>
      <c r="Q9" s="89">
        <f>F9+F16</f>
        <v>4079</v>
      </c>
    </row>
    <row r="10" spans="1:18" x14ac:dyDescent="0.25">
      <c r="B10" s="288" t="s">
        <v>816</v>
      </c>
      <c r="C10" s="1710"/>
      <c r="D10" s="472">
        <v>1088</v>
      </c>
      <c r="E10" s="472">
        <v>1602</v>
      </c>
      <c r="F10" s="472">
        <f>SUM(D10:E10)</f>
        <v>2690</v>
      </c>
      <c r="G10" s="1698"/>
      <c r="H10" s="1698"/>
      <c r="I10" s="1698"/>
      <c r="J10" s="1698"/>
      <c r="K10" s="1698"/>
      <c r="L10" s="1698"/>
      <c r="M10" s="343">
        <f t="shared" si="0"/>
        <v>0.40446096654275093</v>
      </c>
      <c r="N10" s="1736"/>
      <c r="O10" s="1736"/>
      <c r="P10" s="2" t="str">
        <f>B10</f>
        <v>Rest of Europe</v>
      </c>
      <c r="Q10" s="89">
        <f>F10+F17</f>
        <v>2858</v>
      </c>
    </row>
    <row r="11" spans="1:18" x14ac:dyDescent="0.25">
      <c r="B11" s="288" t="s">
        <v>817</v>
      </c>
      <c r="C11" s="1710"/>
      <c r="D11" s="472">
        <v>554</v>
      </c>
      <c r="E11" s="472">
        <v>1606</v>
      </c>
      <c r="F11" s="472">
        <f>SUM(D11:E11)</f>
        <v>2160</v>
      </c>
      <c r="G11" s="472">
        <v>685</v>
      </c>
      <c r="H11" s="472">
        <v>2076</v>
      </c>
      <c r="I11" s="472">
        <f>SUM(G11:H11)</f>
        <v>2761</v>
      </c>
      <c r="J11" s="472">
        <v>660</v>
      </c>
      <c r="K11" s="472">
        <v>2078</v>
      </c>
      <c r="L11" s="472">
        <f>J11+K11</f>
        <v>2738</v>
      </c>
      <c r="M11" s="343">
        <f t="shared" si="0"/>
        <v>0.25648148148148148</v>
      </c>
      <c r="N11" s="94"/>
      <c r="O11" s="94"/>
      <c r="P11" s="2" t="str">
        <f>B11</f>
        <v>North America</v>
      </c>
      <c r="Q11" s="89">
        <f>F11+F18</f>
        <v>2186</v>
      </c>
    </row>
    <row r="12" spans="1:18" x14ac:dyDescent="0.25">
      <c r="B12" s="288" t="s">
        <v>818</v>
      </c>
      <c r="C12" s="1710"/>
      <c r="D12" s="472">
        <v>537</v>
      </c>
      <c r="E12" s="472">
        <v>1902</v>
      </c>
      <c r="F12" s="472">
        <f>SUM(D12:E12)</f>
        <v>2439</v>
      </c>
      <c r="G12" s="472">
        <v>510</v>
      </c>
      <c r="H12" s="472">
        <v>1965</v>
      </c>
      <c r="I12" s="472">
        <f>SUM(G12:H12)</f>
        <v>2475</v>
      </c>
      <c r="J12" s="472">
        <v>441</v>
      </c>
      <c r="K12" s="472">
        <v>1913</v>
      </c>
      <c r="L12" s="472">
        <f>J12+K12</f>
        <v>2354</v>
      </c>
      <c r="M12" s="343">
        <f t="shared" si="0"/>
        <v>0.22017220172201721</v>
      </c>
      <c r="N12" s="94"/>
      <c r="O12" s="94"/>
      <c r="P12" s="2" t="str">
        <f>B12</f>
        <v>Asia</v>
      </c>
      <c r="Q12" s="89">
        <f>F12+F19</f>
        <v>2459</v>
      </c>
    </row>
    <row r="13" spans="1:18" x14ac:dyDescent="0.25">
      <c r="B13" s="288" t="s">
        <v>819</v>
      </c>
      <c r="C13" s="1710"/>
      <c r="D13" s="472">
        <v>280</v>
      </c>
      <c r="E13" s="472">
        <v>701</v>
      </c>
      <c r="F13" s="472">
        <f>SUM(D13:E13)</f>
        <v>981</v>
      </c>
      <c r="G13" s="472">
        <v>200</v>
      </c>
      <c r="H13" s="472">
        <v>410</v>
      </c>
      <c r="I13" s="472">
        <f>SUM(G13:H13)</f>
        <v>610</v>
      </c>
      <c r="J13" s="472">
        <v>198</v>
      </c>
      <c r="K13" s="472">
        <v>396</v>
      </c>
      <c r="L13" s="472">
        <f>J13+K13</f>
        <v>594</v>
      </c>
      <c r="M13" s="343">
        <f t="shared" si="0"/>
        <v>0.2854230377166157</v>
      </c>
      <c r="N13" s="94"/>
      <c r="O13" s="94"/>
      <c r="P13" s="2" t="str">
        <f>B13</f>
        <v>Rest of World</v>
      </c>
      <c r="Q13" s="89">
        <f>F13+F20</f>
        <v>1056</v>
      </c>
    </row>
    <row r="14" spans="1:18" x14ac:dyDescent="0.25">
      <c r="B14" s="424" t="s">
        <v>820</v>
      </c>
      <c r="C14" s="1710"/>
      <c r="D14" s="472">
        <f t="shared" ref="D14:L14" si="1">SUM(D9:D13)</f>
        <v>3575</v>
      </c>
      <c r="E14" s="472">
        <f t="shared" si="1"/>
        <v>8609</v>
      </c>
      <c r="F14" s="472">
        <f t="shared" si="1"/>
        <v>12184</v>
      </c>
      <c r="G14" s="472">
        <f t="shared" si="1"/>
        <v>3728</v>
      </c>
      <c r="H14" s="472">
        <f t="shared" si="1"/>
        <v>9352</v>
      </c>
      <c r="I14" s="472">
        <f t="shared" si="1"/>
        <v>13080</v>
      </c>
      <c r="J14" s="472">
        <f t="shared" si="1"/>
        <v>3643</v>
      </c>
      <c r="K14" s="472">
        <f t="shared" si="1"/>
        <v>9616</v>
      </c>
      <c r="L14" s="472">
        <f t="shared" si="1"/>
        <v>13259</v>
      </c>
      <c r="M14" s="343">
        <f t="shared" si="0"/>
        <v>0.29341759684832569</v>
      </c>
      <c r="N14" s="95"/>
      <c r="O14" s="95"/>
      <c r="Q14" s="89"/>
    </row>
    <row r="15" spans="1:18" x14ac:dyDescent="0.25">
      <c r="B15" s="328" t="s">
        <v>821</v>
      </c>
      <c r="C15" s="334"/>
      <c r="D15" s="335"/>
      <c r="E15" s="335"/>
      <c r="F15" s="335"/>
      <c r="G15" s="335"/>
      <c r="H15" s="335"/>
      <c r="I15" s="335"/>
      <c r="J15" s="335"/>
      <c r="K15" s="335"/>
      <c r="L15" s="335"/>
      <c r="M15" s="343"/>
      <c r="N15" s="92"/>
      <c r="O15" s="92"/>
    </row>
    <row r="16" spans="1:18" ht="14.4" x14ac:dyDescent="0.3">
      <c r="B16" s="336" t="s">
        <v>815</v>
      </c>
      <c r="C16" s="1740" t="s">
        <v>1197</v>
      </c>
      <c r="D16" s="470">
        <v>64</v>
      </c>
      <c r="E16" s="470">
        <v>101</v>
      </c>
      <c r="F16" s="470">
        <f>SUM(D16:E16)</f>
        <v>165</v>
      </c>
      <c r="G16" s="1742">
        <v>102</v>
      </c>
      <c r="H16" s="1742">
        <v>104</v>
      </c>
      <c r="I16" s="1742">
        <f>SUM(G16:H16)</f>
        <v>206</v>
      </c>
      <c r="J16" s="1742">
        <v>103</v>
      </c>
      <c r="K16" s="1742">
        <v>154</v>
      </c>
      <c r="L16" s="1742">
        <f>J16+K16</f>
        <v>257</v>
      </c>
      <c r="M16" s="343">
        <f t="shared" ref="M16:M21" si="2">D16/F16</f>
        <v>0.38787878787878788</v>
      </c>
      <c r="N16" s="92"/>
      <c r="O16" s="92"/>
      <c r="P16" t="s">
        <v>822</v>
      </c>
      <c r="Q16" s="378">
        <v>0.54900000000000004</v>
      </c>
      <c r="R16" s="379">
        <v>0.55000000000000004</v>
      </c>
    </row>
    <row r="17" spans="1:18" x14ac:dyDescent="0.25">
      <c r="B17" s="336" t="s">
        <v>816</v>
      </c>
      <c r="C17" s="1740"/>
      <c r="D17" s="470">
        <v>77</v>
      </c>
      <c r="E17" s="470">
        <v>91</v>
      </c>
      <c r="F17" s="470">
        <f>SUM(D17:E17)</f>
        <v>168</v>
      </c>
      <c r="G17" s="1742"/>
      <c r="H17" s="1742"/>
      <c r="I17" s="1742"/>
      <c r="J17" s="1742"/>
      <c r="K17" s="1742"/>
      <c r="L17" s="1742"/>
      <c r="M17" s="343">
        <f t="shared" si="2"/>
        <v>0.45833333333333331</v>
      </c>
      <c r="N17" s="93"/>
      <c r="O17" s="93"/>
      <c r="P17" s="2" t="s">
        <v>823</v>
      </c>
      <c r="Q17" s="378">
        <v>8.3000000000000004E-2</v>
      </c>
      <c r="R17" s="379">
        <v>0.08</v>
      </c>
    </row>
    <row r="18" spans="1:18" x14ac:dyDescent="0.25">
      <c r="B18" s="336" t="s">
        <v>817</v>
      </c>
      <c r="C18" s="1740"/>
      <c r="D18" s="470">
        <v>13</v>
      </c>
      <c r="E18" s="470">
        <v>13</v>
      </c>
      <c r="F18" s="470">
        <f>SUM(D18:E18)</f>
        <v>26</v>
      </c>
      <c r="G18" s="470">
        <v>30</v>
      </c>
      <c r="H18" s="470">
        <v>44</v>
      </c>
      <c r="I18" s="470">
        <f>SUM(G18:H18)</f>
        <v>74</v>
      </c>
      <c r="J18" s="470">
        <v>4</v>
      </c>
      <c r="K18" s="470">
        <v>51</v>
      </c>
      <c r="L18" s="470">
        <f>J18+K18</f>
        <v>55</v>
      </c>
      <c r="M18" s="343">
        <f t="shared" si="2"/>
        <v>0.5</v>
      </c>
      <c r="N18" s="93"/>
      <c r="O18" s="93"/>
      <c r="P18" s="2" t="s">
        <v>824</v>
      </c>
      <c r="Q18" s="378">
        <v>0.111</v>
      </c>
      <c r="R18" s="379">
        <v>0.11</v>
      </c>
    </row>
    <row r="19" spans="1:18" x14ac:dyDescent="0.25">
      <c r="B19" s="336" t="s">
        <v>818</v>
      </c>
      <c r="C19" s="1740"/>
      <c r="D19" s="470">
        <v>10</v>
      </c>
      <c r="E19" s="470">
        <v>10</v>
      </c>
      <c r="F19" s="470">
        <f>SUM(D19:E19)</f>
        <v>20</v>
      </c>
      <c r="G19" s="470">
        <v>10</v>
      </c>
      <c r="H19" s="470">
        <v>12</v>
      </c>
      <c r="I19" s="470">
        <f>SUM(G19:H19)</f>
        <v>22</v>
      </c>
      <c r="J19" s="470">
        <v>14</v>
      </c>
      <c r="K19" s="470">
        <v>13</v>
      </c>
      <c r="L19" s="470">
        <f>J19+K19</f>
        <v>27</v>
      </c>
      <c r="M19" s="343">
        <f t="shared" si="2"/>
        <v>0.5</v>
      </c>
      <c r="N19" s="93"/>
      <c r="O19" s="93"/>
      <c r="P19" s="2" t="s">
        <v>817</v>
      </c>
      <c r="Q19" s="378">
        <v>0.17299999999999999</v>
      </c>
      <c r="R19" s="379">
        <v>0.17</v>
      </c>
    </row>
    <row r="20" spans="1:18" x14ac:dyDescent="0.25">
      <c r="B20" s="336" t="s">
        <v>819</v>
      </c>
      <c r="C20" s="1740"/>
      <c r="D20" s="470">
        <v>34</v>
      </c>
      <c r="E20" s="470">
        <v>41</v>
      </c>
      <c r="F20" s="470">
        <f>SUM(D20:E20)</f>
        <v>75</v>
      </c>
      <c r="G20" s="470">
        <v>28</v>
      </c>
      <c r="H20" s="470">
        <v>20</v>
      </c>
      <c r="I20" s="470">
        <f>SUM(G20:H20)</f>
        <v>48</v>
      </c>
      <c r="J20" s="470">
        <v>19</v>
      </c>
      <c r="K20" s="470">
        <v>24</v>
      </c>
      <c r="L20" s="470">
        <f>J20+K20</f>
        <v>43</v>
      </c>
      <c r="M20" s="343">
        <f t="shared" si="2"/>
        <v>0.45333333333333331</v>
      </c>
      <c r="N20" s="93"/>
      <c r="O20" s="93"/>
      <c r="P20" s="2" t="s">
        <v>819</v>
      </c>
      <c r="Q20" s="378">
        <v>8.4000000000000005E-2</v>
      </c>
      <c r="R20" s="379">
        <v>0.09</v>
      </c>
    </row>
    <row r="21" spans="1:18" x14ac:dyDescent="0.25">
      <c r="B21" s="423" t="s">
        <v>820</v>
      </c>
      <c r="C21" s="1741"/>
      <c r="D21" s="413">
        <f t="shared" ref="D21:K21" si="3">SUM(D16:D20)</f>
        <v>198</v>
      </c>
      <c r="E21" s="413">
        <f t="shared" si="3"/>
        <v>256</v>
      </c>
      <c r="F21" s="413">
        <f t="shared" si="3"/>
        <v>454</v>
      </c>
      <c r="G21" s="413">
        <f t="shared" si="3"/>
        <v>170</v>
      </c>
      <c r="H21" s="413">
        <f t="shared" si="3"/>
        <v>180</v>
      </c>
      <c r="I21" s="413">
        <f t="shared" si="3"/>
        <v>350</v>
      </c>
      <c r="J21" s="413">
        <f t="shared" si="3"/>
        <v>140</v>
      </c>
      <c r="K21" s="413">
        <f t="shared" si="3"/>
        <v>242</v>
      </c>
      <c r="L21" s="413">
        <f>J21+K21</f>
        <v>382</v>
      </c>
      <c r="M21" s="414">
        <f t="shared" si="2"/>
        <v>0.43612334801762115</v>
      </c>
      <c r="N21" s="61"/>
      <c r="O21" s="61"/>
      <c r="Q21" s="378">
        <f>SUM(Q16:Q20)</f>
        <v>0.99999999999999989</v>
      </c>
      <c r="R21" s="342">
        <f>SUM(R16:R20)</f>
        <v>1</v>
      </c>
    </row>
    <row r="22" spans="1:18" x14ac:dyDescent="0.25">
      <c r="B22" s="416" t="s">
        <v>825</v>
      </c>
      <c r="C22" s="417"/>
      <c r="D22" s="418"/>
      <c r="E22" s="418"/>
      <c r="F22" s="418"/>
      <c r="G22" s="418"/>
      <c r="H22" s="418"/>
      <c r="I22" s="418"/>
      <c r="J22" s="418"/>
      <c r="K22" s="418"/>
      <c r="L22" s="418"/>
      <c r="M22" s="418"/>
      <c r="N22" s="61"/>
      <c r="O22" s="61"/>
    </row>
    <row r="23" spans="1:18" x14ac:dyDescent="0.25">
      <c r="B23" s="419" t="s">
        <v>815</v>
      </c>
      <c r="C23" s="1739" t="s">
        <v>1198</v>
      </c>
      <c r="D23" s="430">
        <f t="shared" ref="D23:L23" si="4">D9+D16</f>
        <v>1180</v>
      </c>
      <c r="E23" s="430">
        <f t="shared" si="4"/>
        <v>2899</v>
      </c>
      <c r="F23" s="430">
        <f t="shared" si="4"/>
        <v>4079</v>
      </c>
      <c r="G23" s="1734">
        <f t="shared" si="4"/>
        <v>2435</v>
      </c>
      <c r="H23" s="1734">
        <f t="shared" si="4"/>
        <v>5005</v>
      </c>
      <c r="I23" s="1734">
        <f t="shared" si="4"/>
        <v>7440</v>
      </c>
      <c r="J23" s="1734">
        <f t="shared" si="4"/>
        <v>2447</v>
      </c>
      <c r="K23" s="1734">
        <f t="shared" si="4"/>
        <v>5383</v>
      </c>
      <c r="L23" s="1734">
        <f t="shared" si="4"/>
        <v>7830</v>
      </c>
      <c r="M23" s="421">
        <f t="shared" ref="M23:M28" si="5">D23/F23</f>
        <v>0.28928658985045352</v>
      </c>
      <c r="N23" s="61"/>
      <c r="O23" s="61"/>
    </row>
    <row r="24" spans="1:18" x14ac:dyDescent="0.25">
      <c r="B24" s="419" t="s">
        <v>816</v>
      </c>
      <c r="C24" s="1739"/>
      <c r="D24" s="430">
        <f t="shared" ref="D24:F27" si="6">D10+D17</f>
        <v>1165</v>
      </c>
      <c r="E24" s="430">
        <f t="shared" si="6"/>
        <v>1693</v>
      </c>
      <c r="F24" s="430">
        <f t="shared" si="6"/>
        <v>2858</v>
      </c>
      <c r="G24" s="1735"/>
      <c r="H24" s="1735"/>
      <c r="I24" s="1735"/>
      <c r="J24" s="1735"/>
      <c r="K24" s="1735"/>
      <c r="L24" s="1735"/>
      <c r="M24" s="421">
        <f t="shared" si="5"/>
        <v>0.40762771168649403</v>
      </c>
      <c r="N24" s="61"/>
      <c r="O24" s="61"/>
    </row>
    <row r="25" spans="1:18" x14ac:dyDescent="0.25">
      <c r="B25" s="419" t="s">
        <v>817</v>
      </c>
      <c r="C25" s="1739"/>
      <c r="D25" s="430">
        <f t="shared" si="6"/>
        <v>567</v>
      </c>
      <c r="E25" s="430">
        <f t="shared" si="6"/>
        <v>1619</v>
      </c>
      <c r="F25" s="430">
        <f t="shared" si="6"/>
        <v>2186</v>
      </c>
      <c r="G25" s="430">
        <f t="shared" ref="G25:L27" si="7">G11+G18</f>
        <v>715</v>
      </c>
      <c r="H25" s="430">
        <f t="shared" si="7"/>
        <v>2120</v>
      </c>
      <c r="I25" s="430">
        <f t="shared" si="7"/>
        <v>2835</v>
      </c>
      <c r="J25" s="430">
        <f t="shared" si="7"/>
        <v>664</v>
      </c>
      <c r="K25" s="430">
        <f t="shared" si="7"/>
        <v>2129</v>
      </c>
      <c r="L25" s="430">
        <f t="shared" si="7"/>
        <v>2793</v>
      </c>
      <c r="M25" s="421">
        <f t="shared" si="5"/>
        <v>0.25937785910338518</v>
      </c>
      <c r="N25" s="61"/>
      <c r="O25" s="61"/>
    </row>
    <row r="26" spans="1:18" x14ac:dyDescent="0.25">
      <c r="B26" s="419" t="s">
        <v>818</v>
      </c>
      <c r="C26" s="1739"/>
      <c r="D26" s="430">
        <f t="shared" si="6"/>
        <v>547</v>
      </c>
      <c r="E26" s="430">
        <f t="shared" si="6"/>
        <v>1912</v>
      </c>
      <c r="F26" s="430">
        <f t="shared" si="6"/>
        <v>2459</v>
      </c>
      <c r="G26" s="430">
        <f t="shared" si="7"/>
        <v>520</v>
      </c>
      <c r="H26" s="430">
        <f t="shared" si="7"/>
        <v>1977</v>
      </c>
      <c r="I26" s="430">
        <f t="shared" si="7"/>
        <v>2497</v>
      </c>
      <c r="J26" s="430">
        <f t="shared" si="7"/>
        <v>455</v>
      </c>
      <c r="K26" s="430">
        <f t="shared" si="7"/>
        <v>1926</v>
      </c>
      <c r="L26" s="430">
        <f t="shared" si="7"/>
        <v>2381</v>
      </c>
      <c r="M26" s="421">
        <f t="shared" si="5"/>
        <v>0.22244814965433102</v>
      </c>
      <c r="N26" s="61"/>
      <c r="O26" s="61"/>
    </row>
    <row r="27" spans="1:18" x14ac:dyDescent="0.25">
      <c r="B27" s="419" t="s">
        <v>819</v>
      </c>
      <c r="C27" s="1739"/>
      <c r="D27" s="430">
        <f t="shared" si="6"/>
        <v>314</v>
      </c>
      <c r="E27" s="430">
        <f t="shared" si="6"/>
        <v>742</v>
      </c>
      <c r="F27" s="430">
        <f t="shared" si="6"/>
        <v>1056</v>
      </c>
      <c r="G27" s="430">
        <f t="shared" si="7"/>
        <v>228</v>
      </c>
      <c r="H27" s="430">
        <f t="shared" si="7"/>
        <v>430</v>
      </c>
      <c r="I27" s="430">
        <f t="shared" si="7"/>
        <v>658</v>
      </c>
      <c r="J27" s="430">
        <f t="shared" si="7"/>
        <v>217</v>
      </c>
      <c r="K27" s="430">
        <f t="shared" si="7"/>
        <v>420</v>
      </c>
      <c r="L27" s="430">
        <f t="shared" si="7"/>
        <v>637</v>
      </c>
      <c r="M27" s="421">
        <f t="shared" si="5"/>
        <v>0.29734848484848486</v>
      </c>
      <c r="N27" s="61"/>
      <c r="O27" s="61"/>
    </row>
    <row r="28" spans="1:18" x14ac:dyDescent="0.25">
      <c r="B28" s="422" t="s">
        <v>820</v>
      </c>
      <c r="C28" s="1739"/>
      <c r="D28" s="420">
        <f>D14+D21</f>
        <v>3773</v>
      </c>
      <c r="E28" s="420">
        <f>E14+E21</f>
        <v>8865</v>
      </c>
      <c r="F28" s="420">
        <f>D28+E28</f>
        <v>12638</v>
      </c>
      <c r="G28" s="420">
        <f>G14+G21</f>
        <v>3898</v>
      </c>
      <c r="H28" s="420">
        <f>H14+H21</f>
        <v>9532</v>
      </c>
      <c r="I28" s="420">
        <f>G28+H28</f>
        <v>13430</v>
      </c>
      <c r="J28" s="420">
        <f>J14+J21</f>
        <v>3783</v>
      </c>
      <c r="K28" s="420">
        <f>K14+K21</f>
        <v>9858</v>
      </c>
      <c r="L28" s="420">
        <f>J28+K28</f>
        <v>13641</v>
      </c>
      <c r="M28" s="421">
        <f t="shared" si="5"/>
        <v>0.29854407342934008</v>
      </c>
      <c r="N28" s="61"/>
      <c r="O28" s="61"/>
    </row>
    <row r="29" spans="1:18" x14ac:dyDescent="0.25">
      <c r="B29" s="340"/>
      <c r="C29" s="341"/>
      <c r="D29" s="519"/>
      <c r="E29" s="519"/>
      <c r="F29" s="519"/>
      <c r="G29" s="519"/>
      <c r="H29" s="519"/>
      <c r="I29" s="519"/>
      <c r="J29" s="519"/>
      <c r="K29" s="519"/>
      <c r="L29" s="519"/>
      <c r="M29" s="519"/>
      <c r="N29" s="1612"/>
      <c r="O29" s="61"/>
    </row>
    <row r="30" spans="1:18" x14ac:dyDescent="0.25">
      <c r="B30" s="428" t="s">
        <v>827</v>
      </c>
      <c r="C30" s="429" t="s">
        <v>1199</v>
      </c>
      <c r="D30" s="430">
        <v>3</v>
      </c>
      <c r="E30" s="430">
        <v>6</v>
      </c>
      <c r="F30" s="430">
        <f t="shared" ref="F30:F35" si="8">D30+E30</f>
        <v>9</v>
      </c>
      <c r="G30" s="430">
        <v>3</v>
      </c>
      <c r="H30" s="430">
        <v>6</v>
      </c>
      <c r="I30" s="430">
        <f t="shared" ref="I30:I35" si="9">G30+H30</f>
        <v>9</v>
      </c>
      <c r="J30" s="430">
        <v>2</v>
      </c>
      <c r="K30" s="430">
        <v>5</v>
      </c>
      <c r="L30" s="430">
        <f t="shared" ref="L30:L35" si="10">J30+K30</f>
        <v>7</v>
      </c>
      <c r="M30" s="421">
        <f t="shared" ref="M30:M35" si="11">D30/F30</f>
        <v>0.33333333333333331</v>
      </c>
      <c r="N30" s="1736"/>
      <c r="O30" s="61"/>
    </row>
    <row r="31" spans="1:18" x14ac:dyDescent="0.25">
      <c r="B31" s="428" t="s">
        <v>828</v>
      </c>
      <c r="C31" s="429" t="s">
        <v>1200</v>
      </c>
      <c r="D31" s="430">
        <v>3</v>
      </c>
      <c r="E31" s="430">
        <v>9</v>
      </c>
      <c r="F31" s="430">
        <f t="shared" si="8"/>
        <v>12</v>
      </c>
      <c r="G31" s="430">
        <v>2</v>
      </c>
      <c r="H31" s="430">
        <v>6</v>
      </c>
      <c r="I31" s="430">
        <f t="shared" si="9"/>
        <v>8</v>
      </c>
      <c r="J31" s="430">
        <v>4</v>
      </c>
      <c r="K31" s="430">
        <v>5</v>
      </c>
      <c r="L31" s="430">
        <f t="shared" si="10"/>
        <v>9</v>
      </c>
      <c r="M31" s="421">
        <f t="shared" si="11"/>
        <v>0.25</v>
      </c>
      <c r="O31" s="61"/>
    </row>
    <row r="32" spans="1:18" s="9" customFormat="1" ht="28.05" customHeight="1" x14ac:dyDescent="0.25">
      <c r="A32" s="2"/>
      <c r="B32" s="426" t="s">
        <v>829</v>
      </c>
      <c r="C32" s="427" t="s">
        <v>1201</v>
      </c>
      <c r="D32" s="425">
        <v>13</v>
      </c>
      <c r="E32" s="425">
        <v>86</v>
      </c>
      <c r="F32" s="425">
        <f t="shared" si="8"/>
        <v>99</v>
      </c>
      <c r="G32" s="425">
        <v>17</v>
      </c>
      <c r="H32" s="425">
        <v>100</v>
      </c>
      <c r="I32" s="425">
        <f t="shared" si="9"/>
        <v>117</v>
      </c>
      <c r="J32" s="425">
        <v>16</v>
      </c>
      <c r="K32" s="425">
        <v>95</v>
      </c>
      <c r="L32" s="425">
        <f t="shared" si="10"/>
        <v>111</v>
      </c>
      <c r="M32" s="415">
        <f t="shared" si="11"/>
        <v>0.13131313131313133</v>
      </c>
      <c r="O32" s="61"/>
    </row>
    <row r="33" spans="1:15" x14ac:dyDescent="0.25">
      <c r="B33" s="332" t="s">
        <v>830</v>
      </c>
      <c r="C33" s="333" t="s">
        <v>1202</v>
      </c>
      <c r="D33" s="331">
        <v>31</v>
      </c>
      <c r="E33" s="331">
        <v>52</v>
      </c>
      <c r="F33" s="331">
        <f t="shared" si="8"/>
        <v>83</v>
      </c>
      <c r="G33" s="331">
        <v>22</v>
      </c>
      <c r="H33" s="331">
        <v>38</v>
      </c>
      <c r="I33" s="331">
        <f t="shared" si="9"/>
        <v>60</v>
      </c>
      <c r="J33" s="331">
        <v>21</v>
      </c>
      <c r="K33" s="331">
        <v>41</v>
      </c>
      <c r="L33" s="331">
        <f t="shared" si="10"/>
        <v>62</v>
      </c>
      <c r="M33" s="343">
        <f t="shared" si="11"/>
        <v>0.37349397590361444</v>
      </c>
      <c r="O33" s="61"/>
    </row>
    <row r="34" spans="1:15" ht="52.8" x14ac:dyDescent="0.25">
      <c r="B34" s="345" t="s">
        <v>1203</v>
      </c>
      <c r="C34" s="346" t="s">
        <v>1204</v>
      </c>
      <c r="D34" s="337">
        <v>478</v>
      </c>
      <c r="E34" s="337">
        <v>1223</v>
      </c>
      <c r="F34" s="337">
        <f t="shared" si="8"/>
        <v>1701</v>
      </c>
      <c r="G34" s="337">
        <v>487</v>
      </c>
      <c r="H34" s="337">
        <v>1302</v>
      </c>
      <c r="I34" s="337">
        <f t="shared" si="9"/>
        <v>1789</v>
      </c>
      <c r="J34" s="347"/>
      <c r="K34" s="347"/>
      <c r="L34" s="348">
        <f t="shared" si="10"/>
        <v>0</v>
      </c>
      <c r="M34" s="409">
        <f t="shared" si="11"/>
        <v>0.28101116990005881</v>
      </c>
      <c r="N34" s="410">
        <f>(M34-0.3)/(0.4-0.3)</f>
        <v>-0.18988830099941173</v>
      </c>
      <c r="O34" s="71"/>
    </row>
    <row r="35" spans="1:15" x14ac:dyDescent="0.25">
      <c r="B35" s="329" t="s">
        <v>832</v>
      </c>
      <c r="C35" s="330"/>
      <c r="D35" s="331">
        <v>748</v>
      </c>
      <c r="E35" s="331">
        <v>1496</v>
      </c>
      <c r="F35" s="331">
        <f t="shared" si="8"/>
        <v>2244</v>
      </c>
      <c r="G35" s="331">
        <v>718</v>
      </c>
      <c r="H35" s="331">
        <v>1355</v>
      </c>
      <c r="I35" s="331">
        <f t="shared" si="9"/>
        <v>2073</v>
      </c>
      <c r="J35" s="331">
        <v>475</v>
      </c>
      <c r="K35" s="331">
        <v>1117</v>
      </c>
      <c r="L35" s="331">
        <f t="shared" si="10"/>
        <v>1592</v>
      </c>
      <c r="M35" s="343">
        <f t="shared" si="11"/>
        <v>0.33333333333333331</v>
      </c>
      <c r="O35" s="61"/>
    </row>
    <row r="36" spans="1:15" x14ac:dyDescent="0.25">
      <c r="C36" s="64"/>
      <c r="D36" s="520"/>
      <c r="E36" s="520"/>
      <c r="F36" s="521"/>
      <c r="G36" s="522"/>
      <c r="H36" s="522"/>
      <c r="I36" s="522"/>
      <c r="J36" s="520"/>
      <c r="K36" s="520"/>
      <c r="L36" s="520"/>
      <c r="M36" s="61"/>
      <c r="O36" s="61"/>
    </row>
    <row r="37" spans="1:15" x14ac:dyDescent="0.25">
      <c r="B37" s="313" t="s">
        <v>835</v>
      </c>
      <c r="C37" s="296"/>
      <c r="D37" s="291">
        <v>0</v>
      </c>
      <c r="E37" s="291">
        <v>0</v>
      </c>
      <c r="F37" s="291">
        <f>D37+E37</f>
        <v>0</v>
      </c>
      <c r="G37" s="291">
        <v>0</v>
      </c>
      <c r="H37" s="291">
        <v>0</v>
      </c>
      <c r="I37" s="291">
        <f>G37+H37</f>
        <v>0</v>
      </c>
      <c r="J37" s="291">
        <v>1</v>
      </c>
      <c r="K37" s="291">
        <v>0</v>
      </c>
      <c r="L37" s="291">
        <v>1</v>
      </c>
      <c r="M37" s="61"/>
      <c r="O37" s="61"/>
    </row>
    <row r="38" spans="1:15" x14ac:dyDescent="0.25">
      <c r="B38" s="313" t="s">
        <v>837</v>
      </c>
      <c r="C38" s="296"/>
      <c r="D38" s="291">
        <v>0</v>
      </c>
      <c r="E38" s="291">
        <v>3</v>
      </c>
      <c r="F38" s="291">
        <f>D38+E38</f>
        <v>3</v>
      </c>
      <c r="G38" s="291">
        <v>0</v>
      </c>
      <c r="H38" s="291">
        <v>3</v>
      </c>
      <c r="I38" s="291">
        <f>G38+H38</f>
        <v>3</v>
      </c>
      <c r="J38" s="291">
        <v>0</v>
      </c>
      <c r="K38" s="291">
        <v>2</v>
      </c>
      <c r="L38" s="291">
        <v>2</v>
      </c>
      <c r="M38" s="61"/>
      <c r="O38" s="61"/>
    </row>
    <row r="39" spans="1:15" x14ac:dyDescent="0.25">
      <c r="B39" s="313" t="s">
        <v>838</v>
      </c>
      <c r="C39" s="296"/>
      <c r="D39" s="291">
        <v>0</v>
      </c>
      <c r="E39" s="291">
        <v>2</v>
      </c>
      <c r="F39" s="291">
        <f>D39+E39</f>
        <v>2</v>
      </c>
      <c r="G39" s="291">
        <v>0</v>
      </c>
      <c r="H39" s="291">
        <v>2</v>
      </c>
      <c r="I39" s="291">
        <f>G39+H39</f>
        <v>2</v>
      </c>
      <c r="J39" s="291">
        <v>2</v>
      </c>
      <c r="K39" s="291">
        <v>4</v>
      </c>
      <c r="L39" s="291">
        <v>6</v>
      </c>
      <c r="M39" s="61"/>
      <c r="O39" s="61"/>
    </row>
    <row r="40" spans="1:15" x14ac:dyDescent="0.25">
      <c r="B40" s="313" t="s">
        <v>839</v>
      </c>
      <c r="C40" s="296"/>
      <c r="D40" s="291">
        <v>3</v>
      </c>
      <c r="E40" s="291">
        <v>1</v>
      </c>
      <c r="F40" s="291">
        <f>D40+E40</f>
        <v>4</v>
      </c>
      <c r="G40" s="291">
        <v>3</v>
      </c>
      <c r="H40" s="291">
        <v>1</v>
      </c>
      <c r="I40" s="291">
        <f>G40+H40</f>
        <v>4</v>
      </c>
      <c r="J40" s="291">
        <v>0</v>
      </c>
      <c r="K40" s="291">
        <v>0</v>
      </c>
      <c r="L40" s="291">
        <v>0</v>
      </c>
      <c r="M40" s="61"/>
      <c r="O40" s="61"/>
    </row>
    <row r="41" spans="1:15" x14ac:dyDescent="0.25">
      <c r="B41" s="314" t="s">
        <v>840</v>
      </c>
      <c r="C41" s="315"/>
      <c r="D41" s="293">
        <f t="shared" ref="D41:K41" si="12">SUM(D37:D40)</f>
        <v>3</v>
      </c>
      <c r="E41" s="293">
        <f t="shared" si="12"/>
        <v>6</v>
      </c>
      <c r="F41" s="293">
        <f t="shared" si="12"/>
        <v>9</v>
      </c>
      <c r="G41" s="293">
        <f t="shared" si="12"/>
        <v>3</v>
      </c>
      <c r="H41" s="293">
        <f t="shared" si="12"/>
        <v>6</v>
      </c>
      <c r="I41" s="293">
        <f t="shared" si="12"/>
        <v>9</v>
      </c>
      <c r="J41" s="293">
        <f t="shared" si="12"/>
        <v>3</v>
      </c>
      <c r="K41" s="293">
        <f t="shared" si="12"/>
        <v>6</v>
      </c>
      <c r="L41" s="293">
        <v>9</v>
      </c>
      <c r="M41" s="343">
        <f>D41/F41</f>
        <v>0.33333333333333331</v>
      </c>
      <c r="O41" s="61"/>
    </row>
    <row r="42" spans="1:15" x14ac:dyDescent="0.25">
      <c r="C42" s="64"/>
      <c r="D42" s="523"/>
      <c r="E42" s="523"/>
      <c r="F42" s="521"/>
      <c r="G42" s="521"/>
      <c r="H42" s="521"/>
      <c r="I42" s="521"/>
      <c r="J42" s="523"/>
      <c r="K42" s="523"/>
      <c r="L42" s="523"/>
      <c r="M42" s="61"/>
      <c r="O42" s="61"/>
    </row>
    <row r="43" spans="1:15" ht="21.6" customHeight="1" x14ac:dyDescent="0.25">
      <c r="B43" s="272" t="s">
        <v>841</v>
      </c>
      <c r="C43" s="1716" t="s">
        <v>1205</v>
      </c>
      <c r="D43" s="291">
        <v>640</v>
      </c>
      <c r="E43" s="291">
        <v>1388</v>
      </c>
      <c r="F43" s="291">
        <f>D43+E43</f>
        <v>2028</v>
      </c>
      <c r="G43" s="352">
        <v>719</v>
      </c>
      <c r="H43" s="352">
        <v>1509</v>
      </c>
      <c r="I43" s="352">
        <f>G43+H43</f>
        <v>2228</v>
      </c>
      <c r="J43" s="352">
        <v>730</v>
      </c>
      <c r="K43" s="352">
        <v>1608</v>
      </c>
      <c r="L43" s="352">
        <f>J43+K43</f>
        <v>2338</v>
      </c>
      <c r="M43" s="343">
        <f>D43/F43</f>
        <v>0.31558185404339251</v>
      </c>
      <c r="O43" s="61"/>
    </row>
    <row r="44" spans="1:15" ht="21.6" customHeight="1" x14ac:dyDescent="0.25">
      <c r="B44" s="272" t="s">
        <v>1206</v>
      </c>
      <c r="C44" s="1716"/>
      <c r="D44" s="291">
        <v>1971</v>
      </c>
      <c r="E44" s="291">
        <v>4463</v>
      </c>
      <c r="F44" s="291">
        <f>D44+E44</f>
        <v>6434</v>
      </c>
      <c r="G44" s="1737">
        <v>2477</v>
      </c>
      <c r="H44" s="1737">
        <v>6050</v>
      </c>
      <c r="I44" s="1737">
        <f>G44+H44</f>
        <v>8527</v>
      </c>
      <c r="J44" s="1737">
        <v>2331</v>
      </c>
      <c r="K44" s="1737">
        <v>5927</v>
      </c>
      <c r="L44" s="1737">
        <f>J44+K44</f>
        <v>8258</v>
      </c>
      <c r="M44" s="343">
        <f>D44/F44</f>
        <v>0.30634131178116258</v>
      </c>
      <c r="O44" s="61"/>
    </row>
    <row r="45" spans="1:15" ht="21.6" customHeight="1" x14ac:dyDescent="0.25">
      <c r="A45" s="6"/>
      <c r="B45" s="272" t="s">
        <v>843</v>
      </c>
      <c r="C45" s="1716"/>
      <c r="D45" s="291">
        <v>962</v>
      </c>
      <c r="E45" s="291">
        <v>2456</v>
      </c>
      <c r="F45" s="291">
        <f>D45+E45</f>
        <v>3418</v>
      </c>
      <c r="G45" s="1738"/>
      <c r="H45" s="1738"/>
      <c r="I45" s="1738"/>
      <c r="J45" s="1738"/>
      <c r="K45" s="1738"/>
      <c r="L45" s="1738"/>
      <c r="M45" s="343">
        <f>D45/F45</f>
        <v>0.28145114101813928</v>
      </c>
      <c r="O45" s="61"/>
    </row>
    <row r="46" spans="1:15" ht="21.6" customHeight="1" x14ac:dyDescent="0.25">
      <c r="A46" s="370"/>
      <c r="B46" s="272" t="s">
        <v>844</v>
      </c>
      <c r="C46" s="1716"/>
      <c r="D46" s="291">
        <v>123</v>
      </c>
      <c r="E46" s="291">
        <v>434</v>
      </c>
      <c r="F46" s="291">
        <f>D46+E46</f>
        <v>557</v>
      </c>
      <c r="G46" s="352">
        <v>703</v>
      </c>
      <c r="H46" s="352">
        <v>1972</v>
      </c>
      <c r="I46" s="352">
        <f>G46+H46</f>
        <v>2675</v>
      </c>
      <c r="J46" s="352">
        <v>722</v>
      </c>
      <c r="K46" s="352">
        <v>2322</v>
      </c>
      <c r="L46" s="352">
        <f>J46+K46</f>
        <v>3044</v>
      </c>
      <c r="M46" s="343">
        <f>D46/F46</f>
        <v>0.22082585278276481</v>
      </c>
      <c r="O46" s="61"/>
    </row>
    <row r="47" spans="1:15" s="72" customFormat="1" ht="25.2" x14ac:dyDescent="0.25">
      <c r="A47" s="371"/>
      <c r="B47" s="193" t="s">
        <v>825</v>
      </c>
      <c r="C47" s="292" t="s">
        <v>1207</v>
      </c>
      <c r="D47" s="297">
        <f t="shared" ref="D47:L47" si="13">SUM(D43:D46)</f>
        <v>3696</v>
      </c>
      <c r="E47" s="297">
        <f t="shared" si="13"/>
        <v>8741</v>
      </c>
      <c r="F47" s="297">
        <f t="shared" si="13"/>
        <v>12437</v>
      </c>
      <c r="G47" s="353">
        <f t="shared" si="13"/>
        <v>3899</v>
      </c>
      <c r="H47" s="353">
        <f t="shared" si="13"/>
        <v>9531</v>
      </c>
      <c r="I47" s="353">
        <f t="shared" si="13"/>
        <v>13430</v>
      </c>
      <c r="J47" s="353">
        <f t="shared" si="13"/>
        <v>3783</v>
      </c>
      <c r="K47" s="353">
        <f t="shared" si="13"/>
        <v>9857</v>
      </c>
      <c r="L47" s="353">
        <f t="shared" si="13"/>
        <v>13640</v>
      </c>
      <c r="M47" s="343">
        <f>D47/F47</f>
        <v>0.2971777759909946</v>
      </c>
      <c r="O47" s="73"/>
    </row>
    <row r="48" spans="1:15" x14ac:dyDescent="0.25">
      <c r="B48" s="96"/>
      <c r="C48" s="311"/>
      <c r="D48" s="521"/>
      <c r="E48" s="521"/>
      <c r="F48" s="521"/>
      <c r="G48" s="521"/>
      <c r="H48" s="521"/>
      <c r="I48" s="521"/>
      <c r="J48" s="523"/>
      <c r="K48" s="523"/>
      <c r="L48" s="523"/>
      <c r="M48" s="61"/>
      <c r="O48" s="61"/>
    </row>
    <row r="49" spans="2:16" ht="16.5" customHeight="1" x14ac:dyDescent="0.25">
      <c r="B49" s="168" t="s">
        <v>832</v>
      </c>
      <c r="C49" s="473" t="s">
        <v>1208</v>
      </c>
      <c r="D49" s="299">
        <v>748</v>
      </c>
      <c r="E49" s="299">
        <v>1496</v>
      </c>
      <c r="F49" s="300">
        <f>D49+E49</f>
        <v>2244</v>
      </c>
      <c r="G49" s="291">
        <v>718</v>
      </c>
      <c r="H49" s="291">
        <v>1355</v>
      </c>
      <c r="I49" s="291">
        <f>G49+H49</f>
        <v>2073</v>
      </c>
      <c r="J49" s="291">
        <v>475</v>
      </c>
      <c r="K49" s="291">
        <v>1117</v>
      </c>
      <c r="L49" s="291">
        <f>J49+K49</f>
        <v>1592</v>
      </c>
      <c r="M49" s="61"/>
      <c r="O49" s="61"/>
    </row>
    <row r="50" spans="2:16" ht="17.25" customHeight="1" x14ac:dyDescent="0.25">
      <c r="B50" s="168" t="s">
        <v>872</v>
      </c>
      <c r="C50" s="473" t="s">
        <v>1209</v>
      </c>
      <c r="D50" s="301">
        <v>449</v>
      </c>
      <c r="E50" s="301">
        <v>1082</v>
      </c>
      <c r="F50" s="300">
        <f>D50+E50</f>
        <v>1531</v>
      </c>
      <c r="G50" s="295">
        <v>444</v>
      </c>
      <c r="H50" s="295">
        <v>1115</v>
      </c>
      <c r="I50" s="295">
        <f>G50+H50</f>
        <v>1559</v>
      </c>
      <c r="J50" s="295">
        <v>317</v>
      </c>
      <c r="K50" s="295">
        <v>797</v>
      </c>
      <c r="L50" s="295">
        <f>J50+K50</f>
        <v>1114</v>
      </c>
      <c r="M50" s="61"/>
      <c r="O50" s="61"/>
    </row>
    <row r="51" spans="2:16" ht="23.25" customHeight="1" x14ac:dyDescent="0.25">
      <c r="B51" s="168" t="s">
        <v>874</v>
      </c>
      <c r="C51" s="1716" t="s">
        <v>1210</v>
      </c>
      <c r="D51" s="301">
        <v>375</v>
      </c>
      <c r="E51" s="301">
        <v>996</v>
      </c>
      <c r="F51" s="300">
        <f>D51+E51</f>
        <v>1371</v>
      </c>
      <c r="G51" s="295">
        <v>115</v>
      </c>
      <c r="H51" s="295">
        <v>396</v>
      </c>
      <c r="I51" s="295">
        <f>G51+H51</f>
        <v>511</v>
      </c>
      <c r="J51" s="295">
        <v>230</v>
      </c>
      <c r="K51" s="295">
        <v>782</v>
      </c>
      <c r="L51" s="295">
        <f>J51+K51</f>
        <v>1012</v>
      </c>
      <c r="M51" s="61"/>
      <c r="O51" s="61"/>
    </row>
    <row r="52" spans="2:16" ht="26.25" customHeight="1" x14ac:dyDescent="0.25">
      <c r="B52" s="201" t="s">
        <v>1211</v>
      </c>
      <c r="C52" s="1716"/>
      <c r="D52" s="359">
        <v>125</v>
      </c>
      <c r="E52" s="359">
        <v>375</v>
      </c>
      <c r="F52" s="359">
        <f>D52+E52</f>
        <v>500</v>
      </c>
      <c r="G52" s="1717"/>
      <c r="H52" s="1718"/>
      <c r="I52" s="1719"/>
      <c r="J52" s="1717"/>
      <c r="K52" s="1718"/>
      <c r="L52" s="1719"/>
      <c r="M52" s="61"/>
      <c r="O52" s="61"/>
    </row>
    <row r="53" spans="2:16" ht="37.799999999999997" x14ac:dyDescent="0.25">
      <c r="B53" s="201" t="s">
        <v>876</v>
      </c>
      <c r="C53" s="473" t="s">
        <v>1212</v>
      </c>
      <c r="D53" s="302">
        <v>0.123</v>
      </c>
      <c r="E53" s="302">
        <v>0.121</v>
      </c>
      <c r="F53" s="302">
        <v>0.122</v>
      </c>
      <c r="G53" s="1720">
        <v>0.11550000000000001</v>
      </c>
      <c r="H53" s="1721"/>
      <c r="I53" s="1722"/>
      <c r="J53" s="1720">
        <v>8.2000000000000003E-2</v>
      </c>
      <c r="K53" s="1721"/>
      <c r="L53" s="1722"/>
      <c r="M53" s="61"/>
      <c r="O53" s="61"/>
    </row>
    <row r="54" spans="2:16" ht="28.5" customHeight="1" x14ac:dyDescent="0.25">
      <c r="B54" s="201" t="s">
        <v>1213</v>
      </c>
      <c r="C54" s="1716" t="s">
        <v>1214</v>
      </c>
      <c r="D54" s="302">
        <v>0.10299999999999999</v>
      </c>
      <c r="E54" s="302">
        <v>0.111</v>
      </c>
      <c r="F54" s="302">
        <v>0.109</v>
      </c>
      <c r="G54" s="1720">
        <v>3.7900000000000003E-2</v>
      </c>
      <c r="H54" s="1721"/>
      <c r="I54" s="1722"/>
      <c r="J54" s="1720">
        <v>7.4999999999999997E-2</v>
      </c>
      <c r="K54" s="1721"/>
      <c r="L54" s="1722"/>
      <c r="M54" s="61"/>
      <c r="O54" s="61"/>
    </row>
    <row r="55" spans="2:16" ht="35.1" customHeight="1" x14ac:dyDescent="0.25">
      <c r="B55" s="201" t="s">
        <v>1215</v>
      </c>
      <c r="C55" s="1716"/>
      <c r="D55" s="360">
        <v>3.4000000000000002E-2</v>
      </c>
      <c r="E55" s="360">
        <v>3.7999999999999999E-2</v>
      </c>
      <c r="F55" s="360">
        <v>3.6999999999999998E-2</v>
      </c>
      <c r="G55" s="1723">
        <v>3.8199999999999998E-2</v>
      </c>
      <c r="H55" s="1724"/>
      <c r="I55" s="1725"/>
      <c r="J55" s="1726">
        <v>7.5999999999999998E-2</v>
      </c>
      <c r="K55" s="1727"/>
      <c r="L55" s="1728"/>
      <c r="M55" s="61"/>
      <c r="O55" s="61"/>
    </row>
    <row r="56" spans="2:16" ht="30" customHeight="1" x14ac:dyDescent="0.25">
      <c r="B56" s="201" t="s">
        <v>1216</v>
      </c>
      <c r="C56" s="1729" t="s">
        <v>1217</v>
      </c>
      <c r="D56" s="302">
        <f>D53+D54</f>
        <v>0.22599999999999998</v>
      </c>
      <c r="E56" s="302">
        <f>E53+E54</f>
        <v>0.23199999999999998</v>
      </c>
      <c r="F56" s="302">
        <f>F53+F54</f>
        <v>0.23099999999999998</v>
      </c>
      <c r="G56" s="1731">
        <f>G53+G54</f>
        <v>0.15340000000000001</v>
      </c>
      <c r="H56" s="1732"/>
      <c r="I56" s="1733"/>
      <c r="J56" s="1731">
        <f>J53+J54</f>
        <v>0.157</v>
      </c>
      <c r="K56" s="1732"/>
      <c r="L56" s="1733"/>
      <c r="M56" s="61"/>
      <c r="O56" s="61"/>
    </row>
    <row r="57" spans="2:16" ht="30" customHeight="1" x14ac:dyDescent="0.25">
      <c r="B57" s="201" t="s">
        <v>1218</v>
      </c>
      <c r="C57" s="1730"/>
      <c r="D57" s="360">
        <f>D53+D55</f>
        <v>0.157</v>
      </c>
      <c r="E57" s="360">
        <f>E53+E55</f>
        <v>0.159</v>
      </c>
      <c r="F57" s="360">
        <f>F53+F55</f>
        <v>0.159</v>
      </c>
      <c r="G57" s="1723">
        <f>G53+G55</f>
        <v>0.1537</v>
      </c>
      <c r="H57" s="1724"/>
      <c r="I57" s="1725"/>
      <c r="J57" s="1723">
        <f>J53+J55</f>
        <v>0.158</v>
      </c>
      <c r="K57" s="1724"/>
      <c r="L57" s="1725"/>
      <c r="M57" s="61"/>
      <c r="O57" s="61"/>
    </row>
    <row r="58" spans="2:16" x14ac:dyDescent="0.25">
      <c r="B58" s="62" t="s">
        <v>1219</v>
      </c>
      <c r="C58" s="96"/>
      <c r="D58" s="63"/>
      <c r="E58" s="63"/>
      <c r="F58" s="63"/>
      <c r="G58" s="63"/>
      <c r="H58" s="63"/>
      <c r="I58" s="63"/>
      <c r="J58" s="63"/>
      <c r="K58" s="63"/>
      <c r="L58" s="63"/>
      <c r="M58" s="63"/>
      <c r="O58" s="61"/>
      <c r="P58" s="61"/>
    </row>
    <row r="59" spans="2:16" x14ac:dyDescent="0.25">
      <c r="B59" s="61"/>
      <c r="C59" s="61"/>
      <c r="D59" s="61"/>
      <c r="E59" s="61"/>
      <c r="F59" s="61"/>
      <c r="G59" s="61"/>
      <c r="H59" s="61"/>
      <c r="I59" s="61"/>
      <c r="J59" s="61"/>
      <c r="K59" s="61"/>
      <c r="L59" s="61"/>
      <c r="M59" s="61"/>
      <c r="O59" s="61"/>
    </row>
    <row r="60" spans="2:16" s="81" customFormat="1" ht="17.55" hidden="1" customHeight="1" x14ac:dyDescent="0.25">
      <c r="B60" s="75" t="s">
        <v>1220</v>
      </c>
      <c r="C60" s="76" t="s">
        <v>1192</v>
      </c>
      <c r="D60" s="77" t="s">
        <v>433</v>
      </c>
      <c r="E60" s="77" t="s">
        <v>434</v>
      </c>
      <c r="F60" s="77" t="s">
        <v>435</v>
      </c>
      <c r="G60" s="78"/>
      <c r="H60" s="79"/>
      <c r="I60" s="79"/>
      <c r="J60" s="78"/>
      <c r="K60" s="79"/>
      <c r="L60" s="79"/>
      <c r="M60" s="80"/>
      <c r="O60" s="80"/>
    </row>
    <row r="61" spans="2:16" s="81" customFormat="1" ht="17.55" hidden="1" customHeight="1" x14ac:dyDescent="0.25">
      <c r="B61" s="82" t="s">
        <v>1221</v>
      </c>
      <c r="C61" s="76"/>
      <c r="D61" s="83"/>
      <c r="E61" s="83"/>
      <c r="F61" s="83"/>
      <c r="G61" s="78"/>
      <c r="H61" s="79"/>
      <c r="I61" s="79"/>
      <c r="J61" s="78"/>
      <c r="K61" s="79"/>
      <c r="L61" s="79"/>
      <c r="M61" s="80"/>
      <c r="O61" s="80"/>
    </row>
    <row r="62" spans="2:16" s="81" customFormat="1" ht="17.55" hidden="1" customHeight="1" x14ac:dyDescent="0.25">
      <c r="B62" s="84" t="s">
        <v>815</v>
      </c>
      <c r="C62" s="1713" t="s">
        <v>1222</v>
      </c>
      <c r="D62" s="85"/>
      <c r="E62" s="85"/>
      <c r="F62" s="85"/>
      <c r="G62" s="80"/>
      <c r="H62" s="80"/>
      <c r="I62" s="80"/>
      <c r="J62" s="80"/>
      <c r="K62" s="80"/>
      <c r="L62" s="80"/>
      <c r="M62" s="80"/>
      <c r="O62" s="80"/>
    </row>
    <row r="63" spans="2:16" s="81" customFormat="1" ht="17.55" hidden="1" customHeight="1" x14ac:dyDescent="0.25">
      <c r="B63" s="84" t="s">
        <v>816</v>
      </c>
      <c r="C63" s="1713"/>
      <c r="D63" s="85"/>
      <c r="E63" s="85"/>
      <c r="F63" s="85"/>
      <c r="G63" s="80"/>
      <c r="H63" s="80"/>
      <c r="I63" s="80"/>
      <c r="J63" s="80"/>
      <c r="K63" s="80"/>
      <c r="L63" s="80"/>
      <c r="M63" s="80"/>
      <c r="O63" s="80"/>
    </row>
    <row r="64" spans="2:16" s="81" customFormat="1" ht="17.55" hidden="1" customHeight="1" x14ac:dyDescent="0.25">
      <c r="B64" s="84" t="s">
        <v>817</v>
      </c>
      <c r="C64" s="1713"/>
      <c r="D64" s="85"/>
      <c r="E64" s="85"/>
      <c r="F64" s="85"/>
      <c r="G64" s="80"/>
      <c r="H64" s="80"/>
      <c r="I64" s="80"/>
      <c r="J64" s="80"/>
      <c r="K64" s="80"/>
      <c r="L64" s="80"/>
      <c r="M64" s="80"/>
      <c r="O64" s="80"/>
    </row>
    <row r="65" spans="2:15" s="81" customFormat="1" ht="17.55" hidden="1" customHeight="1" x14ac:dyDescent="0.25">
      <c r="B65" s="84" t="s">
        <v>818</v>
      </c>
      <c r="C65" s="1713"/>
      <c r="D65" s="85"/>
      <c r="E65" s="85"/>
      <c r="F65" s="85"/>
      <c r="G65" s="80"/>
      <c r="H65" s="80"/>
      <c r="I65" s="80"/>
      <c r="J65" s="80"/>
      <c r="K65" s="80"/>
      <c r="L65" s="80"/>
      <c r="M65" s="80"/>
      <c r="O65" s="80"/>
    </row>
    <row r="66" spans="2:15" s="81" customFormat="1" ht="17.55" hidden="1" customHeight="1" x14ac:dyDescent="0.25">
      <c r="B66" s="84" t="s">
        <v>819</v>
      </c>
      <c r="C66" s="1713"/>
      <c r="D66" s="85"/>
      <c r="E66" s="85"/>
      <c r="F66" s="85"/>
      <c r="G66" s="80"/>
      <c r="H66" s="80"/>
      <c r="I66" s="80"/>
      <c r="J66" s="80"/>
      <c r="K66" s="80"/>
      <c r="L66" s="80"/>
      <c r="M66" s="80"/>
      <c r="O66" s="80"/>
    </row>
    <row r="67" spans="2:15" s="81" customFormat="1" ht="17.55" hidden="1" customHeight="1" x14ac:dyDescent="0.25">
      <c r="B67" s="86" t="s">
        <v>820</v>
      </c>
      <c r="C67" s="1713"/>
      <c r="D67" s="85">
        <f>SUM(D62:D66)</f>
        <v>0</v>
      </c>
      <c r="E67" s="85">
        <f>SUM(E62:E66)</f>
        <v>0</v>
      </c>
      <c r="F67" s="85">
        <f>SUM(F62:F66)</f>
        <v>0</v>
      </c>
      <c r="G67" s="80"/>
      <c r="H67" s="80"/>
      <c r="I67" s="80"/>
      <c r="J67" s="80"/>
      <c r="K67" s="80"/>
      <c r="L67" s="80"/>
      <c r="M67" s="80"/>
      <c r="O67" s="80"/>
    </row>
    <row r="68" spans="2:15" s="81" customFormat="1" ht="17.55" hidden="1" customHeight="1" x14ac:dyDescent="0.25">
      <c r="B68" s="87" t="s">
        <v>1223</v>
      </c>
      <c r="C68" s="475"/>
      <c r="D68" s="85"/>
      <c r="E68" s="85"/>
      <c r="F68" s="85"/>
      <c r="G68" s="80"/>
      <c r="H68" s="80"/>
      <c r="I68" s="80"/>
      <c r="J68" s="80"/>
      <c r="K68" s="80"/>
      <c r="L68" s="80"/>
      <c r="M68" s="80"/>
      <c r="O68" s="80"/>
    </row>
    <row r="69" spans="2:15" s="81" customFormat="1" ht="17.55" hidden="1" customHeight="1" x14ac:dyDescent="0.25">
      <c r="B69" s="84" t="s">
        <v>815</v>
      </c>
      <c r="C69" s="1713" t="s">
        <v>1224</v>
      </c>
      <c r="D69" s="85">
        <v>376</v>
      </c>
      <c r="E69" s="85"/>
      <c r="F69" s="85"/>
      <c r="G69" s="80"/>
      <c r="H69" s="80"/>
      <c r="I69" s="80"/>
      <c r="J69" s="80"/>
      <c r="K69" s="80"/>
      <c r="L69" s="80"/>
      <c r="M69" s="80"/>
      <c r="O69" s="80"/>
    </row>
    <row r="70" spans="2:15" s="81" customFormat="1" ht="17.55" hidden="1" customHeight="1" x14ac:dyDescent="0.25">
      <c r="B70" s="84" t="s">
        <v>816</v>
      </c>
      <c r="C70" s="1713"/>
      <c r="D70" s="85">
        <v>316</v>
      </c>
      <c r="E70" s="85"/>
      <c r="F70" s="85"/>
      <c r="G70" s="80"/>
      <c r="H70" s="80"/>
      <c r="I70" s="80"/>
      <c r="J70" s="80"/>
      <c r="K70" s="80"/>
      <c r="L70" s="80"/>
      <c r="M70" s="80"/>
      <c r="O70" s="80"/>
    </row>
    <row r="71" spans="2:15" s="81" customFormat="1" ht="17.55" hidden="1" customHeight="1" x14ac:dyDescent="0.25">
      <c r="B71" s="84" t="s">
        <v>817</v>
      </c>
      <c r="C71" s="1713"/>
      <c r="D71" s="85">
        <v>72</v>
      </c>
      <c r="E71" s="85"/>
      <c r="F71" s="85"/>
      <c r="G71" s="80"/>
      <c r="H71" s="80"/>
      <c r="I71" s="80"/>
      <c r="J71" s="80"/>
      <c r="K71" s="80"/>
      <c r="L71" s="80"/>
      <c r="M71" s="80"/>
      <c r="O71" s="80"/>
    </row>
    <row r="72" spans="2:15" s="81" customFormat="1" ht="17.55" hidden="1" customHeight="1" x14ac:dyDescent="0.25">
      <c r="B72" s="84" t="s">
        <v>818</v>
      </c>
      <c r="C72" s="1713"/>
      <c r="D72" s="85">
        <v>142</v>
      </c>
      <c r="E72" s="85"/>
      <c r="F72" s="85"/>
      <c r="G72" s="80"/>
      <c r="H72" s="80"/>
      <c r="I72" s="80"/>
      <c r="J72" s="80"/>
      <c r="K72" s="80"/>
      <c r="L72" s="80"/>
      <c r="M72" s="80"/>
      <c r="O72" s="80"/>
    </row>
    <row r="73" spans="2:15" s="81" customFormat="1" ht="17.55" hidden="1" customHeight="1" x14ac:dyDescent="0.25">
      <c r="B73" s="84" t="s">
        <v>819</v>
      </c>
      <c r="C73" s="1713"/>
      <c r="D73" s="85">
        <v>43</v>
      </c>
      <c r="E73" s="85"/>
      <c r="F73" s="85"/>
      <c r="G73" s="80"/>
      <c r="H73" s="80"/>
      <c r="I73" s="80"/>
      <c r="J73" s="80"/>
      <c r="K73" s="80"/>
      <c r="L73" s="80"/>
      <c r="M73" s="80"/>
      <c r="O73" s="80"/>
    </row>
    <row r="74" spans="2:15" s="81" customFormat="1" ht="17.55" hidden="1" customHeight="1" x14ac:dyDescent="0.25">
      <c r="B74" s="86" t="s">
        <v>820</v>
      </c>
      <c r="C74" s="1713"/>
      <c r="D74" s="85">
        <f>SUM(D69:D73)</f>
        <v>949</v>
      </c>
      <c r="E74" s="85">
        <f>SUM(E69:E73)</f>
        <v>0</v>
      </c>
      <c r="F74" s="85">
        <f>SUM(F69:F73)</f>
        <v>0</v>
      </c>
      <c r="G74" s="80"/>
      <c r="H74" s="80"/>
      <c r="I74" s="80"/>
      <c r="J74" s="80"/>
      <c r="K74" s="80"/>
      <c r="L74" s="80"/>
      <c r="M74" s="80"/>
      <c r="O74" s="80"/>
    </row>
    <row r="75" spans="2:15" s="81" customFormat="1" ht="17.55" hidden="1" customHeight="1" x14ac:dyDescent="0.25">
      <c r="B75" s="87" t="s">
        <v>1225</v>
      </c>
      <c r="C75" s="475"/>
      <c r="D75" s="85"/>
      <c r="E75" s="85"/>
      <c r="F75" s="85"/>
      <c r="G75" s="80"/>
      <c r="H75" s="80"/>
      <c r="I75" s="80"/>
      <c r="J75" s="80"/>
      <c r="K75" s="80"/>
      <c r="L75" s="80"/>
      <c r="M75" s="80"/>
      <c r="O75" s="80"/>
    </row>
    <row r="76" spans="2:15" s="81" customFormat="1" ht="17.55" hidden="1" customHeight="1" x14ac:dyDescent="0.25">
      <c r="B76" s="84" t="s">
        <v>815</v>
      </c>
      <c r="C76" s="1713" t="s">
        <v>1226</v>
      </c>
      <c r="D76" s="85"/>
      <c r="E76" s="85"/>
      <c r="F76" s="85"/>
      <c r="G76" s="80"/>
      <c r="H76" s="80"/>
      <c r="I76" s="80"/>
      <c r="J76" s="80"/>
      <c r="K76" s="80"/>
      <c r="L76" s="80"/>
      <c r="M76" s="80"/>
      <c r="O76" s="80"/>
    </row>
    <row r="77" spans="2:15" s="81" customFormat="1" ht="17.55" hidden="1" customHeight="1" x14ac:dyDescent="0.25">
      <c r="B77" s="84" t="s">
        <v>816</v>
      </c>
      <c r="C77" s="1713"/>
      <c r="D77" s="85"/>
      <c r="E77" s="85"/>
      <c r="F77" s="85"/>
      <c r="G77" s="80"/>
      <c r="H77" s="80"/>
      <c r="I77" s="80"/>
      <c r="J77" s="80"/>
      <c r="K77" s="80"/>
      <c r="L77" s="80"/>
      <c r="M77" s="80"/>
      <c r="O77" s="80"/>
    </row>
    <row r="78" spans="2:15" s="81" customFormat="1" ht="17.55" hidden="1" customHeight="1" x14ac:dyDescent="0.25">
      <c r="B78" s="84" t="s">
        <v>817</v>
      </c>
      <c r="C78" s="1713"/>
      <c r="D78" s="85"/>
      <c r="E78" s="85"/>
      <c r="F78" s="85"/>
      <c r="G78" s="80"/>
      <c r="H78" s="80"/>
      <c r="I78" s="80"/>
      <c r="J78" s="80"/>
      <c r="K78" s="80"/>
      <c r="L78" s="80"/>
      <c r="M78" s="80"/>
      <c r="O78" s="80"/>
    </row>
    <row r="79" spans="2:15" s="81" customFormat="1" ht="17.55" hidden="1" customHeight="1" x14ac:dyDescent="0.25">
      <c r="B79" s="84" t="s">
        <v>818</v>
      </c>
      <c r="C79" s="1713"/>
      <c r="D79" s="85"/>
      <c r="E79" s="85"/>
      <c r="F79" s="85"/>
      <c r="G79" s="80"/>
      <c r="H79" s="80"/>
      <c r="I79" s="80"/>
      <c r="J79" s="80"/>
      <c r="K79" s="80"/>
      <c r="L79" s="80"/>
      <c r="M79" s="80"/>
      <c r="O79" s="80"/>
    </row>
    <row r="80" spans="2:15" s="81" customFormat="1" ht="17.55" hidden="1" customHeight="1" x14ac:dyDescent="0.25">
      <c r="B80" s="84" t="s">
        <v>819</v>
      </c>
      <c r="C80" s="1713"/>
      <c r="D80" s="85"/>
      <c r="E80" s="85"/>
      <c r="F80" s="85"/>
      <c r="G80" s="80"/>
      <c r="H80" s="80"/>
      <c r="I80" s="80"/>
      <c r="J80" s="80"/>
      <c r="K80" s="80"/>
      <c r="L80" s="80"/>
      <c r="M80" s="80"/>
      <c r="O80" s="80"/>
    </row>
    <row r="81" spans="1:15" s="81" customFormat="1" ht="17.55" hidden="1" customHeight="1" x14ac:dyDescent="0.25">
      <c r="B81" s="86" t="s">
        <v>820</v>
      </c>
      <c r="C81" s="1713"/>
      <c r="D81" s="85">
        <f>SUM(D76:D80)</f>
        <v>0</v>
      </c>
      <c r="E81" s="85">
        <f>SUM(E76:E80)</f>
        <v>0</v>
      </c>
      <c r="F81" s="85">
        <f>SUM(F76:F80)</f>
        <v>0</v>
      </c>
      <c r="G81" s="80"/>
      <c r="H81" s="80"/>
      <c r="I81" s="80"/>
      <c r="J81" s="80"/>
      <c r="K81" s="80"/>
      <c r="L81" s="80"/>
      <c r="M81" s="80"/>
      <c r="O81" s="80"/>
    </row>
    <row r="82" spans="1:15" s="81" customFormat="1" ht="17.55" hidden="1" customHeight="1" x14ac:dyDescent="0.25">
      <c r="B82" s="88" t="s">
        <v>1227</v>
      </c>
      <c r="C82" s="475"/>
      <c r="D82" s="85">
        <f>D67+D74+D81</f>
        <v>949</v>
      </c>
      <c r="E82" s="85">
        <f>E67+E74+E81</f>
        <v>0</v>
      </c>
      <c r="F82" s="85">
        <f>F67+F74+F81</f>
        <v>0</v>
      </c>
      <c r="G82" s="80"/>
      <c r="H82" s="80"/>
      <c r="I82" s="80"/>
      <c r="J82" s="80"/>
      <c r="K82" s="80"/>
      <c r="L82" s="80"/>
      <c r="M82" s="80"/>
      <c r="O82" s="80"/>
    </row>
    <row r="83" spans="1:15" ht="23.1" customHeight="1" x14ac:dyDescent="0.25">
      <c r="A83" s="1714" t="s">
        <v>1228</v>
      </c>
      <c r="B83" s="308" t="s">
        <v>1220</v>
      </c>
      <c r="C83" s="310" t="s">
        <v>1192</v>
      </c>
      <c r="D83" s="479" t="s">
        <v>433</v>
      </c>
      <c r="E83" s="479" t="s">
        <v>434</v>
      </c>
      <c r="F83" s="479" t="s">
        <v>435</v>
      </c>
      <c r="G83" s="61"/>
      <c r="H83" s="61"/>
      <c r="I83" s="61"/>
      <c r="J83" s="61"/>
      <c r="K83" s="61"/>
      <c r="L83" s="61"/>
      <c r="M83" s="61"/>
      <c r="O83" s="61"/>
    </row>
    <row r="84" spans="1:15" x14ac:dyDescent="0.25">
      <c r="A84" s="1714"/>
      <c r="B84" s="288" t="s">
        <v>815</v>
      </c>
      <c r="C84" s="1715" t="s">
        <v>1229</v>
      </c>
      <c r="D84" s="303">
        <v>376</v>
      </c>
      <c r="E84" s="304"/>
      <c r="F84" s="304"/>
      <c r="G84" s="61"/>
      <c r="H84" s="61"/>
      <c r="I84" s="61"/>
      <c r="J84" s="61"/>
      <c r="K84" s="61"/>
      <c r="L84" s="61"/>
      <c r="M84" s="61"/>
      <c r="O84" s="61"/>
    </row>
    <row r="85" spans="1:15" x14ac:dyDescent="0.25">
      <c r="A85" s="1714"/>
      <c r="B85" s="288" t="s">
        <v>816</v>
      </c>
      <c r="C85" s="1715"/>
      <c r="D85" s="303">
        <v>316</v>
      </c>
      <c r="E85" s="304"/>
      <c r="F85" s="304"/>
      <c r="G85" s="61"/>
      <c r="H85" s="61"/>
      <c r="I85" s="61"/>
      <c r="J85" s="61"/>
      <c r="K85" s="61"/>
      <c r="L85" s="61"/>
      <c r="M85" s="61"/>
      <c r="O85" s="61"/>
    </row>
    <row r="86" spans="1:15" x14ac:dyDescent="0.25">
      <c r="A86" s="1714"/>
      <c r="B86" s="288" t="s">
        <v>817</v>
      </c>
      <c r="C86" s="1715"/>
      <c r="D86" s="303">
        <v>72</v>
      </c>
      <c r="E86" s="304"/>
      <c r="F86" s="304"/>
      <c r="G86" s="61"/>
      <c r="H86" s="61"/>
      <c r="I86" s="61"/>
      <c r="J86" s="61"/>
      <c r="K86" s="61"/>
      <c r="L86" s="61"/>
      <c r="M86" s="61"/>
      <c r="O86" s="61"/>
    </row>
    <row r="87" spans="1:15" x14ac:dyDescent="0.25">
      <c r="A87" s="1714"/>
      <c r="B87" s="288" t="s">
        <v>818</v>
      </c>
      <c r="C87" s="1715"/>
      <c r="D87" s="303">
        <v>142</v>
      </c>
      <c r="E87" s="304"/>
      <c r="F87" s="304"/>
      <c r="G87" s="61"/>
      <c r="H87" s="61"/>
      <c r="I87" s="61"/>
      <c r="J87" s="61"/>
      <c r="K87" s="61"/>
      <c r="L87" s="61"/>
      <c r="M87" s="61"/>
      <c r="O87" s="61"/>
    </row>
    <row r="88" spans="1:15" x14ac:dyDescent="0.25">
      <c r="A88" s="1714"/>
      <c r="B88" s="288" t="s">
        <v>819</v>
      </c>
      <c r="C88" s="1715"/>
      <c r="D88" s="303">
        <v>43</v>
      </c>
      <c r="E88" s="304"/>
      <c r="F88" s="304"/>
      <c r="G88" s="61"/>
      <c r="H88" s="61"/>
      <c r="I88" s="61"/>
      <c r="J88" s="61"/>
      <c r="K88" s="61"/>
      <c r="L88" s="61"/>
      <c r="M88" s="61"/>
      <c r="O88" s="61"/>
    </row>
    <row r="89" spans="1:15" x14ac:dyDescent="0.25">
      <c r="A89" s="1714"/>
      <c r="B89" s="289" t="s">
        <v>820</v>
      </c>
      <c r="C89" s="1715"/>
      <c r="D89" s="303">
        <f>SUM(D84:D88)</f>
        <v>949</v>
      </c>
      <c r="E89" s="304">
        <f>SUM(E84:E88)</f>
        <v>0</v>
      </c>
      <c r="F89" s="304">
        <f>SUM(F84:F88)</f>
        <v>0</v>
      </c>
      <c r="G89" s="61"/>
      <c r="H89" s="61"/>
      <c r="I89" s="61"/>
      <c r="J89" s="61"/>
      <c r="K89" s="61"/>
      <c r="L89" s="61"/>
      <c r="M89" s="61"/>
      <c r="O89" s="61"/>
    </row>
    <row r="90" spans="1:15" x14ac:dyDescent="0.25">
      <c r="C90" s="64"/>
      <c r="D90" s="474"/>
      <c r="E90" s="474"/>
      <c r="F90" s="474"/>
      <c r="G90" s="61"/>
      <c r="H90" s="61"/>
      <c r="I90" s="61"/>
      <c r="J90" s="61"/>
      <c r="K90" s="61"/>
      <c r="L90" s="61"/>
      <c r="M90" s="61"/>
      <c r="O90" s="61"/>
    </row>
    <row r="91" spans="1:15" ht="17.399999999999999" x14ac:dyDescent="0.25">
      <c r="B91" s="477" t="s">
        <v>1230</v>
      </c>
      <c r="C91" s="310" t="s">
        <v>1192</v>
      </c>
      <c r="D91" s="282" t="s">
        <v>433</v>
      </c>
      <c r="E91" s="282" t="s">
        <v>434</v>
      </c>
      <c r="F91" s="282" t="s">
        <v>435</v>
      </c>
      <c r="G91" s="61"/>
      <c r="H91" s="61"/>
      <c r="I91" s="61"/>
      <c r="J91" s="61"/>
      <c r="K91" s="61"/>
      <c r="L91" s="61"/>
      <c r="M91" s="61"/>
      <c r="O91" s="61"/>
    </row>
    <row r="92" spans="1:15" ht="25.2" x14ac:dyDescent="0.25">
      <c r="B92" s="327" t="s">
        <v>1231</v>
      </c>
      <c r="C92" s="305" t="s">
        <v>1232</v>
      </c>
      <c r="D92" s="354">
        <f>D89+F28</f>
        <v>13587</v>
      </c>
      <c r="E92" s="354">
        <f>E89+I28</f>
        <v>13430</v>
      </c>
      <c r="F92" s="355">
        <f>F89+L28</f>
        <v>13641</v>
      </c>
      <c r="G92" s="61"/>
      <c r="H92" s="61"/>
      <c r="I92" s="61"/>
      <c r="J92" s="61"/>
      <c r="K92" s="61"/>
      <c r="L92" s="61"/>
      <c r="M92" s="61"/>
      <c r="O92" s="61"/>
    </row>
    <row r="93" spans="1:15" x14ac:dyDescent="0.25">
      <c r="B93" s="168" t="s">
        <v>1233</v>
      </c>
      <c r="C93" s="307" t="s">
        <v>1198</v>
      </c>
      <c r="D93" s="173">
        <v>12666</v>
      </c>
      <c r="E93" s="173">
        <v>13497</v>
      </c>
      <c r="F93" s="173">
        <v>13546</v>
      </c>
      <c r="G93" s="61"/>
      <c r="H93" s="61"/>
      <c r="I93" s="61"/>
      <c r="J93" s="61"/>
      <c r="K93" s="61"/>
      <c r="L93" s="61"/>
      <c r="M93" s="61"/>
      <c r="O93" s="61"/>
    </row>
    <row r="94" spans="1:15" x14ac:dyDescent="0.25">
      <c r="B94" s="168" t="s">
        <v>1234</v>
      </c>
      <c r="C94" s="307" t="s">
        <v>1198</v>
      </c>
      <c r="D94" s="316">
        <v>12510</v>
      </c>
      <c r="E94" s="349"/>
      <c r="F94" s="349"/>
      <c r="G94" s="61"/>
      <c r="H94" s="61"/>
      <c r="I94" s="61"/>
      <c r="J94" s="61"/>
      <c r="K94" s="61"/>
      <c r="L94" s="61"/>
      <c r="M94" s="61"/>
      <c r="O94" s="61"/>
    </row>
    <row r="95" spans="1:15" x14ac:dyDescent="0.25">
      <c r="B95" s="61"/>
      <c r="C95" s="61"/>
      <c r="D95" s="61"/>
      <c r="E95" s="61"/>
      <c r="F95" s="61"/>
      <c r="G95" s="61"/>
      <c r="H95" s="61"/>
      <c r="I95" s="61"/>
      <c r="J95" s="61"/>
      <c r="K95" s="61"/>
      <c r="L95" s="61"/>
      <c r="M95" s="61"/>
      <c r="O95" s="61"/>
    </row>
    <row r="96" spans="1:15" ht="17.399999999999999" x14ac:dyDescent="0.25">
      <c r="B96" s="477" t="s">
        <v>1235</v>
      </c>
      <c r="C96" s="310" t="s">
        <v>1192</v>
      </c>
      <c r="D96" s="1708" t="s">
        <v>433</v>
      </c>
      <c r="E96" s="1708"/>
      <c r="F96" s="1708"/>
      <c r="G96" s="1708" t="s">
        <v>434</v>
      </c>
      <c r="H96" s="1708"/>
      <c r="I96" s="1708"/>
      <c r="J96" s="1708" t="s">
        <v>435</v>
      </c>
      <c r="K96" s="1708"/>
      <c r="L96" s="1709"/>
      <c r="M96" s="61"/>
      <c r="O96" s="61"/>
    </row>
    <row r="97" spans="1:15" ht="25.2" x14ac:dyDescent="0.25">
      <c r="B97" s="285" t="s">
        <v>809</v>
      </c>
      <c r="C97" s="286" t="s">
        <v>1195</v>
      </c>
      <c r="D97" s="287" t="s">
        <v>810</v>
      </c>
      <c r="E97" s="287" t="s">
        <v>811</v>
      </c>
      <c r="F97" s="287" t="s">
        <v>708</v>
      </c>
      <c r="G97" s="287" t="s">
        <v>810</v>
      </c>
      <c r="H97" s="287" t="s">
        <v>811</v>
      </c>
      <c r="I97" s="287" t="s">
        <v>708</v>
      </c>
      <c r="J97" s="287" t="s">
        <v>810</v>
      </c>
      <c r="K97" s="287" t="s">
        <v>811</v>
      </c>
      <c r="L97" s="321" t="s">
        <v>708</v>
      </c>
      <c r="M97" s="61"/>
      <c r="O97" s="61"/>
    </row>
    <row r="98" spans="1:15" x14ac:dyDescent="0.25">
      <c r="A98" s="74"/>
      <c r="B98" s="193" t="s">
        <v>806</v>
      </c>
      <c r="C98" s="290"/>
      <c r="D98" s="472"/>
      <c r="E98" s="472"/>
      <c r="F98" s="472"/>
      <c r="G98" s="472"/>
      <c r="H98" s="472"/>
      <c r="I98" s="472"/>
      <c r="J98" s="472"/>
      <c r="K98" s="472"/>
      <c r="L98" s="472"/>
      <c r="M98" s="61"/>
      <c r="O98" s="61"/>
    </row>
    <row r="99" spans="1:15" x14ac:dyDescent="0.25">
      <c r="A99" s="74"/>
      <c r="B99" s="288" t="s">
        <v>815</v>
      </c>
      <c r="C99" s="1710" t="s">
        <v>1236</v>
      </c>
      <c r="D99" s="1711">
        <v>289</v>
      </c>
      <c r="E99" s="1711">
        <v>270</v>
      </c>
      <c r="F99" s="1711">
        <f>SUM(D99:E99)</f>
        <v>559</v>
      </c>
      <c r="G99" s="1698">
        <v>342</v>
      </c>
      <c r="H99" s="1698">
        <v>407</v>
      </c>
      <c r="I99" s="1698">
        <f>SUM(G99:H99)</f>
        <v>749</v>
      </c>
      <c r="J99" s="1698">
        <v>258</v>
      </c>
      <c r="K99" s="1698">
        <v>476</v>
      </c>
      <c r="L99" s="1698">
        <v>734</v>
      </c>
      <c r="M99" s="61"/>
      <c r="O99" s="61"/>
    </row>
    <row r="100" spans="1:15" x14ac:dyDescent="0.25">
      <c r="A100" s="74"/>
      <c r="B100" s="288" t="s">
        <v>816</v>
      </c>
      <c r="C100" s="1710"/>
      <c r="D100" s="1712"/>
      <c r="E100" s="1712"/>
      <c r="F100" s="1712"/>
      <c r="G100" s="1698"/>
      <c r="H100" s="1698"/>
      <c r="I100" s="1698"/>
      <c r="J100" s="1698"/>
      <c r="K100" s="1698"/>
      <c r="L100" s="1698"/>
      <c r="M100" s="61"/>
      <c r="O100" s="61"/>
    </row>
    <row r="101" spans="1:15" x14ac:dyDescent="0.25">
      <c r="A101" s="74"/>
      <c r="B101" s="288" t="s">
        <v>817</v>
      </c>
      <c r="C101" s="1710"/>
      <c r="D101" s="294">
        <v>21</v>
      </c>
      <c r="E101" s="294">
        <v>49</v>
      </c>
      <c r="F101" s="294">
        <f>SUM(D101:E101)</f>
        <v>70</v>
      </c>
      <c r="G101" s="472">
        <v>3</v>
      </c>
      <c r="H101" s="472">
        <v>8</v>
      </c>
      <c r="I101" s="472">
        <f>SUM(G101:H101)</f>
        <v>11</v>
      </c>
      <c r="J101" s="472">
        <v>12</v>
      </c>
      <c r="K101" s="472">
        <v>26</v>
      </c>
      <c r="L101" s="472">
        <v>38</v>
      </c>
      <c r="M101" s="61"/>
      <c r="O101" s="61"/>
    </row>
    <row r="102" spans="1:15" x14ac:dyDescent="0.25">
      <c r="A102" s="74"/>
      <c r="B102" s="288" t="s">
        <v>818</v>
      </c>
      <c r="C102" s="1710"/>
      <c r="D102" s="294">
        <v>16</v>
      </c>
      <c r="E102" s="294">
        <v>235</v>
      </c>
      <c r="F102" s="294">
        <f>SUM(D102:E102)</f>
        <v>251</v>
      </c>
      <c r="G102" s="472">
        <v>18</v>
      </c>
      <c r="H102" s="472">
        <v>124</v>
      </c>
      <c r="I102" s="472">
        <f>SUM(G102:H102)</f>
        <v>142</v>
      </c>
      <c r="J102" s="472">
        <v>34</v>
      </c>
      <c r="K102" s="472">
        <v>135</v>
      </c>
      <c r="L102" s="472">
        <v>169</v>
      </c>
      <c r="M102" s="61"/>
      <c r="O102" s="61"/>
    </row>
    <row r="103" spans="1:15" x14ac:dyDescent="0.25">
      <c r="A103" s="74"/>
      <c r="B103" s="288" t="s">
        <v>819</v>
      </c>
      <c r="C103" s="1710"/>
      <c r="D103" s="294">
        <v>1</v>
      </c>
      <c r="E103" s="294">
        <v>4</v>
      </c>
      <c r="F103" s="294">
        <f>SUM(D103:E103)</f>
        <v>5</v>
      </c>
      <c r="G103" s="472">
        <v>4</v>
      </c>
      <c r="H103" s="472">
        <v>9</v>
      </c>
      <c r="I103" s="472">
        <f>SUM(G103:H103)</f>
        <v>13</v>
      </c>
      <c r="J103" s="472">
        <v>1</v>
      </c>
      <c r="K103" s="472"/>
      <c r="L103" s="472">
        <v>1</v>
      </c>
      <c r="M103" s="61"/>
      <c r="O103" s="61"/>
    </row>
    <row r="104" spans="1:15" x14ac:dyDescent="0.25">
      <c r="A104" s="74"/>
      <c r="B104" s="289" t="s">
        <v>820</v>
      </c>
      <c r="C104" s="1710"/>
      <c r="D104" s="294">
        <f t="shared" ref="D104:L104" si="14">SUM(D99:D103)</f>
        <v>327</v>
      </c>
      <c r="E104" s="294">
        <f t="shared" si="14"/>
        <v>558</v>
      </c>
      <c r="F104" s="294">
        <f t="shared" si="14"/>
        <v>885</v>
      </c>
      <c r="G104" s="472">
        <f t="shared" si="14"/>
        <v>367</v>
      </c>
      <c r="H104" s="472">
        <f t="shared" si="14"/>
        <v>548</v>
      </c>
      <c r="I104" s="472">
        <f t="shared" si="14"/>
        <v>915</v>
      </c>
      <c r="J104" s="472">
        <f t="shared" si="14"/>
        <v>305</v>
      </c>
      <c r="K104" s="472">
        <f t="shared" si="14"/>
        <v>637</v>
      </c>
      <c r="L104" s="472">
        <f t="shared" si="14"/>
        <v>942</v>
      </c>
      <c r="M104" s="61"/>
      <c r="O104" s="61"/>
    </row>
    <row r="105" spans="1:15" x14ac:dyDescent="0.25">
      <c r="B105" s="61"/>
      <c r="C105" s="61"/>
      <c r="D105" s="61"/>
      <c r="E105" s="61"/>
      <c r="F105" s="61"/>
      <c r="G105" s="61"/>
      <c r="H105" s="61"/>
      <c r="I105" s="61"/>
      <c r="J105" s="61"/>
      <c r="K105" s="61"/>
      <c r="L105" s="61"/>
      <c r="M105" s="61"/>
      <c r="O105" s="61"/>
    </row>
    <row r="106" spans="1:15" x14ac:dyDescent="0.25">
      <c r="B106" s="1699" t="s">
        <v>881</v>
      </c>
      <c r="C106" s="1701" t="s">
        <v>1192</v>
      </c>
      <c r="D106" s="1703" t="s">
        <v>433</v>
      </c>
      <c r="E106" s="1704"/>
      <c r="F106" s="1705"/>
      <c r="G106" s="1706" t="s">
        <v>434</v>
      </c>
      <c r="H106" s="1707"/>
      <c r="I106" s="1706" t="s">
        <v>435</v>
      </c>
      <c r="J106" s="1707"/>
      <c r="K106" s="63"/>
      <c r="L106" s="63"/>
      <c r="M106" s="63"/>
      <c r="O106" s="63"/>
    </row>
    <row r="107" spans="1:15" ht="82.8" x14ac:dyDescent="0.25">
      <c r="B107" s="1700"/>
      <c r="C107" s="1702"/>
      <c r="D107" s="433" t="s">
        <v>1237</v>
      </c>
      <c r="E107" s="480" t="s">
        <v>883</v>
      </c>
      <c r="F107" s="480" t="s">
        <v>884</v>
      </c>
      <c r="G107" s="480" t="s">
        <v>883</v>
      </c>
      <c r="H107" s="480" t="s">
        <v>884</v>
      </c>
      <c r="I107" s="480" t="s">
        <v>883</v>
      </c>
      <c r="J107" s="480" t="s">
        <v>884</v>
      </c>
      <c r="K107" s="63"/>
      <c r="L107" s="63"/>
      <c r="O107" s="63"/>
    </row>
    <row r="108" spans="1:15" x14ac:dyDescent="0.25">
      <c r="B108" s="418" t="s">
        <v>815</v>
      </c>
      <c r="C108" s="1689" t="s">
        <v>1238</v>
      </c>
      <c r="D108" s="434">
        <v>4162</v>
      </c>
      <c r="E108" s="431">
        <v>893</v>
      </c>
      <c r="F108" s="435">
        <f t="shared" ref="F108:F113" si="15">E108/(D108)</f>
        <v>0.2145603075444498</v>
      </c>
      <c r="G108" s="1690">
        <v>2468</v>
      </c>
      <c r="H108" s="1691">
        <v>0.32</v>
      </c>
      <c r="I108" s="1693">
        <v>2134</v>
      </c>
      <c r="J108" s="1691">
        <v>0.27</v>
      </c>
      <c r="K108" s="63"/>
      <c r="L108" s="63"/>
      <c r="M108" s="63"/>
      <c r="N108" s="63"/>
      <c r="O108" s="63"/>
    </row>
    <row r="109" spans="1:15" x14ac:dyDescent="0.25">
      <c r="B109" s="418" t="s">
        <v>816</v>
      </c>
      <c r="C109" s="1689"/>
      <c r="D109" s="434">
        <v>2734</v>
      </c>
      <c r="E109" s="431">
        <v>668</v>
      </c>
      <c r="F109" s="435">
        <f t="shared" si="15"/>
        <v>0.24433065106071689</v>
      </c>
      <c r="G109" s="1690"/>
      <c r="H109" s="1692"/>
      <c r="I109" s="1694"/>
      <c r="J109" s="1692"/>
      <c r="K109" s="351"/>
      <c r="L109" s="63"/>
      <c r="M109" s="63"/>
      <c r="N109" s="63"/>
      <c r="O109" s="63"/>
    </row>
    <row r="110" spans="1:15" x14ac:dyDescent="0.25">
      <c r="B110" s="418" t="s">
        <v>817</v>
      </c>
      <c r="C110" s="1689"/>
      <c r="D110" s="434">
        <v>2271</v>
      </c>
      <c r="E110" s="431">
        <v>397</v>
      </c>
      <c r="F110" s="435">
        <f t="shared" si="15"/>
        <v>0.17481285777190664</v>
      </c>
      <c r="G110" s="476">
        <v>502</v>
      </c>
      <c r="H110" s="448">
        <v>0.18</v>
      </c>
      <c r="I110" s="476">
        <v>494</v>
      </c>
      <c r="J110" s="448">
        <v>0.21</v>
      </c>
      <c r="K110" s="351"/>
      <c r="L110" s="63"/>
      <c r="M110" s="63"/>
      <c r="N110" s="63"/>
      <c r="O110" s="63"/>
    </row>
    <row r="111" spans="1:15" x14ac:dyDescent="0.25">
      <c r="B111" s="418" t="s">
        <v>818</v>
      </c>
      <c r="C111" s="1689"/>
      <c r="D111" s="434">
        <v>2442</v>
      </c>
      <c r="E111" s="524">
        <v>660</v>
      </c>
      <c r="F111" s="435">
        <f t="shared" si="15"/>
        <v>0.27027027027027029</v>
      </c>
      <c r="G111" s="476">
        <v>149</v>
      </c>
      <c r="H111" s="448">
        <v>0.06</v>
      </c>
      <c r="I111" s="476">
        <v>118</v>
      </c>
      <c r="J111" s="448">
        <v>0.05</v>
      </c>
      <c r="K111" s="351"/>
      <c r="L111" s="63"/>
      <c r="M111" s="63"/>
      <c r="N111" s="63"/>
      <c r="O111" s="63"/>
    </row>
    <row r="112" spans="1:15" x14ac:dyDescent="0.25">
      <c r="B112" s="418" t="s">
        <v>819</v>
      </c>
      <c r="C112" s="1689"/>
      <c r="D112" s="434">
        <v>1057</v>
      </c>
      <c r="E112" s="431">
        <v>545</v>
      </c>
      <c r="F112" s="435">
        <f t="shared" si="15"/>
        <v>0.51561021759697256</v>
      </c>
      <c r="G112" s="476">
        <v>295</v>
      </c>
      <c r="H112" s="449">
        <v>0.49</v>
      </c>
      <c r="I112" s="450">
        <v>252</v>
      </c>
      <c r="J112" s="449">
        <v>0.4</v>
      </c>
      <c r="K112" s="351"/>
      <c r="L112" s="63"/>
      <c r="M112" s="63"/>
      <c r="N112" s="63"/>
      <c r="O112" s="63"/>
    </row>
    <row r="113" spans="1:15" x14ac:dyDescent="0.25">
      <c r="B113" s="432" t="s">
        <v>885</v>
      </c>
      <c r="C113" s="1689"/>
      <c r="D113" s="431">
        <f>SUM(D108:D112)</f>
        <v>12666</v>
      </c>
      <c r="E113" s="431">
        <f>SUM(E108:E112)</f>
        <v>3163</v>
      </c>
      <c r="F113" s="435">
        <f t="shared" si="15"/>
        <v>0.24972366966682458</v>
      </c>
      <c r="G113" s="476">
        <f>G108+G110+G111+G112</f>
        <v>3414</v>
      </c>
      <c r="H113" s="448">
        <v>0.25</v>
      </c>
      <c r="I113" s="476">
        <f>I108+I110+I111+I112</f>
        <v>2998</v>
      </c>
      <c r="J113" s="448">
        <v>0.22</v>
      </c>
      <c r="K113" s="351"/>
      <c r="L113" s="63"/>
      <c r="M113" s="63"/>
      <c r="N113" s="63"/>
      <c r="O113" s="63"/>
    </row>
    <row r="114" spans="1:15" x14ac:dyDescent="0.25">
      <c r="C114" s="91"/>
    </row>
    <row r="115" spans="1:15" ht="17.399999999999999" x14ac:dyDescent="0.25">
      <c r="B115" s="478" t="s">
        <v>887</v>
      </c>
      <c r="C115" s="439" t="s">
        <v>1192</v>
      </c>
      <c r="D115" s="1695" t="s">
        <v>433</v>
      </c>
      <c r="E115" s="1696"/>
      <c r="F115" s="1696"/>
      <c r="G115" s="1697"/>
    </row>
    <row r="116" spans="1:15" ht="26.25" customHeight="1" x14ac:dyDescent="0.25">
      <c r="B116" s="376" t="s">
        <v>809</v>
      </c>
      <c r="C116" s="377" t="s">
        <v>1195</v>
      </c>
      <c r="D116" s="440" t="s">
        <v>810</v>
      </c>
      <c r="E116" s="440" t="s">
        <v>811</v>
      </c>
      <c r="F116" s="440" t="s">
        <v>708</v>
      </c>
      <c r="G116" s="440" t="s">
        <v>888</v>
      </c>
    </row>
    <row r="117" spans="1:15" x14ac:dyDescent="0.25">
      <c r="B117" s="418" t="s">
        <v>815</v>
      </c>
      <c r="C117" s="1681" t="s">
        <v>1239</v>
      </c>
      <c r="D117" s="436">
        <v>215</v>
      </c>
      <c r="E117" s="436">
        <v>370</v>
      </c>
      <c r="F117" s="436">
        <v>585</v>
      </c>
      <c r="G117" s="441">
        <f t="shared" ref="G117:G122" si="16">F117/F23</f>
        <v>0.14341750429026723</v>
      </c>
    </row>
    <row r="118" spans="1:15" x14ac:dyDescent="0.25">
      <c r="B118" s="418" t="s">
        <v>816</v>
      </c>
      <c r="C118" s="1682"/>
      <c r="D118" s="436">
        <v>83</v>
      </c>
      <c r="E118" s="436">
        <v>102</v>
      </c>
      <c r="F118" s="436">
        <v>185</v>
      </c>
      <c r="G118" s="441">
        <f t="shared" si="16"/>
        <v>6.4730580825752268E-2</v>
      </c>
    </row>
    <row r="119" spans="1:15" x14ac:dyDescent="0.25">
      <c r="B119" s="418" t="s">
        <v>817</v>
      </c>
      <c r="C119" s="1682"/>
      <c r="D119" s="436">
        <v>99</v>
      </c>
      <c r="E119" s="436">
        <v>205</v>
      </c>
      <c r="F119" s="436">
        <v>304</v>
      </c>
      <c r="G119" s="441">
        <f t="shared" si="16"/>
        <v>0.13906678865507777</v>
      </c>
    </row>
    <row r="120" spans="1:15" x14ac:dyDescent="0.25">
      <c r="B120" s="418" t="s">
        <v>818</v>
      </c>
      <c r="C120" s="1682"/>
      <c r="D120" s="436">
        <v>42</v>
      </c>
      <c r="E120" s="436">
        <v>111</v>
      </c>
      <c r="F120" s="436">
        <v>153</v>
      </c>
      <c r="G120" s="441">
        <f t="shared" si="16"/>
        <v>6.2220414802765349E-2</v>
      </c>
    </row>
    <row r="121" spans="1:15" x14ac:dyDescent="0.25">
      <c r="B121" s="418" t="s">
        <v>819</v>
      </c>
      <c r="C121" s="1682"/>
      <c r="D121" s="436">
        <v>13</v>
      </c>
      <c r="E121" s="436">
        <v>38</v>
      </c>
      <c r="F121" s="436">
        <v>51</v>
      </c>
      <c r="G121" s="441">
        <f t="shared" si="16"/>
        <v>4.8295454545454544E-2</v>
      </c>
    </row>
    <row r="122" spans="1:15" x14ac:dyDescent="0.25">
      <c r="B122" s="432" t="s">
        <v>885</v>
      </c>
      <c r="C122" s="1682"/>
      <c r="D122" s="437">
        <f>SUM(D117:D121)</f>
        <v>452</v>
      </c>
      <c r="E122" s="437">
        <f>SUM(E117:E121)</f>
        <v>826</v>
      </c>
      <c r="F122" s="438">
        <f>SUM(F117:F121)</f>
        <v>1278</v>
      </c>
      <c r="G122" s="441">
        <f t="shared" si="16"/>
        <v>0.10112359550561797</v>
      </c>
    </row>
    <row r="123" spans="1:15" x14ac:dyDescent="0.25">
      <c r="C123" s="91"/>
    </row>
    <row r="124" spans="1:15" ht="17.399999999999999" x14ac:dyDescent="0.25">
      <c r="A124" s="2" t="s">
        <v>1240</v>
      </c>
      <c r="B124" s="451" t="s">
        <v>889</v>
      </c>
      <c r="C124" s="458" t="s">
        <v>1192</v>
      </c>
      <c r="D124" s="1683" t="s">
        <v>433</v>
      </c>
      <c r="E124" s="1683"/>
      <c r="F124" s="1683"/>
    </row>
    <row r="125" spans="1:15" ht="27.6" x14ac:dyDescent="0.25">
      <c r="A125" s="9" t="s">
        <v>1241</v>
      </c>
      <c r="B125" s="459" t="s">
        <v>809</v>
      </c>
      <c r="C125" s="460" t="s">
        <v>1195</v>
      </c>
      <c r="D125" s="461" t="s">
        <v>810</v>
      </c>
      <c r="E125" s="461" t="s">
        <v>811</v>
      </c>
      <c r="F125" s="461" t="s">
        <v>708</v>
      </c>
    </row>
    <row r="126" spans="1:15" ht="27.6" x14ac:dyDescent="0.25">
      <c r="B126" s="462" t="s">
        <v>1242</v>
      </c>
      <c r="C126" s="463"/>
      <c r="D126" s="510"/>
      <c r="E126" s="510"/>
      <c r="F126" s="510"/>
    </row>
    <row r="127" spans="1:15" ht="27.6" x14ac:dyDescent="0.25">
      <c r="B127" s="462" t="s">
        <v>890</v>
      </c>
      <c r="C127" s="463"/>
      <c r="D127" s="510">
        <v>20</v>
      </c>
      <c r="E127" s="510">
        <v>6</v>
      </c>
      <c r="F127" s="510">
        <v>26</v>
      </c>
    </row>
    <row r="128" spans="1:15" ht="37.5" customHeight="1" x14ac:dyDescent="0.25">
      <c r="B128" s="462" t="s">
        <v>891</v>
      </c>
      <c r="C128" s="465" t="s">
        <v>1243</v>
      </c>
      <c r="D128" s="510">
        <v>0</v>
      </c>
      <c r="E128" s="510">
        <v>2</v>
      </c>
      <c r="F128" s="510">
        <v>2</v>
      </c>
    </row>
    <row r="129" spans="1:9" ht="49.05" customHeight="1" x14ac:dyDescent="0.25">
      <c r="B129" s="462" t="s">
        <v>892</v>
      </c>
      <c r="C129" s="465" t="s">
        <v>1244</v>
      </c>
      <c r="D129" s="510"/>
      <c r="E129" s="510"/>
      <c r="F129" s="510"/>
    </row>
    <row r="130" spans="1:9" ht="27.6" x14ac:dyDescent="0.25">
      <c r="B130" s="462" t="s">
        <v>893</v>
      </c>
      <c r="C130" s="465" t="s">
        <v>1243</v>
      </c>
      <c r="D130" s="511" t="s">
        <v>1245</v>
      </c>
      <c r="E130" s="511" t="s">
        <v>1246</v>
      </c>
      <c r="F130" s="510"/>
    </row>
    <row r="131" spans="1:9" ht="14.25" customHeight="1" x14ac:dyDescent="0.25">
      <c r="C131" s="91"/>
    </row>
    <row r="132" spans="1:9" ht="32.1" customHeight="1" x14ac:dyDescent="0.25">
      <c r="A132" s="2" t="s">
        <v>1240</v>
      </c>
      <c r="B132" s="451" t="s">
        <v>896</v>
      </c>
      <c r="C132" s="512" t="s">
        <v>1192</v>
      </c>
      <c r="D132" s="1684" t="s">
        <v>433</v>
      </c>
      <c r="E132" s="1684"/>
      <c r="F132" s="1684"/>
      <c r="G132" s="1684" t="s">
        <v>433</v>
      </c>
      <c r="H132" s="1684"/>
      <c r="I132" s="1684"/>
    </row>
    <row r="133" spans="1:9" ht="25.2" x14ac:dyDescent="0.25">
      <c r="A133" s="1685" t="s">
        <v>1247</v>
      </c>
      <c r="B133" s="459" t="s">
        <v>809</v>
      </c>
      <c r="C133" s="460" t="s">
        <v>1195</v>
      </c>
      <c r="D133" s="461" t="s">
        <v>810</v>
      </c>
      <c r="E133" s="461" t="s">
        <v>811</v>
      </c>
      <c r="F133" s="461" t="s">
        <v>708</v>
      </c>
      <c r="G133" s="461" t="s">
        <v>810</v>
      </c>
      <c r="H133" s="461" t="s">
        <v>811</v>
      </c>
      <c r="I133" s="461" t="s">
        <v>708</v>
      </c>
    </row>
    <row r="134" spans="1:9" x14ac:dyDescent="0.25">
      <c r="A134" s="1685"/>
      <c r="B134" s="462" t="s">
        <v>897</v>
      </c>
      <c r="C134" s="1686" t="s">
        <v>1248</v>
      </c>
      <c r="D134" s="464">
        <v>3509</v>
      </c>
      <c r="E134" s="464">
        <v>7737</v>
      </c>
      <c r="F134" s="464">
        <v>11246</v>
      </c>
      <c r="G134" s="509">
        <v>0.98199999999999998</v>
      </c>
      <c r="H134" s="509">
        <v>0.89900000000000002</v>
      </c>
      <c r="I134" s="509">
        <v>0.92300000000000004</v>
      </c>
    </row>
    <row r="135" spans="1:9" x14ac:dyDescent="0.25">
      <c r="B135" s="442" t="s">
        <v>898</v>
      </c>
      <c r="C135" s="1687"/>
      <c r="D135" s="464">
        <v>182</v>
      </c>
      <c r="E135" s="464">
        <v>230</v>
      </c>
      <c r="F135" s="464">
        <v>412</v>
      </c>
      <c r="G135" s="509">
        <v>0.91900000000000004</v>
      </c>
      <c r="H135" s="509">
        <v>0.89800000000000002</v>
      </c>
      <c r="I135" s="509">
        <v>0.90700000000000003</v>
      </c>
    </row>
    <row r="136" spans="1:9" x14ac:dyDescent="0.25">
      <c r="B136" s="442" t="s">
        <v>899</v>
      </c>
      <c r="C136" s="1688"/>
      <c r="D136" s="464">
        <v>3691</v>
      </c>
      <c r="E136" s="464">
        <v>7967</v>
      </c>
      <c r="F136" s="464">
        <v>11658</v>
      </c>
      <c r="G136" s="509">
        <v>0.97799999999999998</v>
      </c>
      <c r="H136" s="509">
        <v>0.89900000000000002</v>
      </c>
      <c r="I136" s="509">
        <v>0.92200000000000004</v>
      </c>
    </row>
    <row r="137" spans="1:9" ht="14.25" customHeight="1" x14ac:dyDescent="0.25">
      <c r="C137" s="91"/>
    </row>
    <row r="138" spans="1:9" ht="22.5" customHeight="1" x14ac:dyDescent="0.25">
      <c r="B138" s="1674" t="s">
        <v>896</v>
      </c>
      <c r="C138" s="1676" t="s">
        <v>1192</v>
      </c>
      <c r="D138" s="1678" t="s">
        <v>433</v>
      </c>
      <c r="E138" s="1679"/>
      <c r="F138" s="63"/>
      <c r="G138" s="63"/>
    </row>
    <row r="139" spans="1:9" ht="22.5" customHeight="1" x14ac:dyDescent="0.25">
      <c r="B139" s="1675"/>
      <c r="C139" s="1677"/>
      <c r="D139" s="310" t="s">
        <v>708</v>
      </c>
      <c r="E139" s="310" t="s">
        <v>463</v>
      </c>
      <c r="F139" s="63"/>
      <c r="G139" s="63"/>
    </row>
    <row r="140" spans="1:9" ht="69" x14ac:dyDescent="0.25">
      <c r="B140" s="442" t="s">
        <v>826</v>
      </c>
      <c r="C140" s="515" t="s">
        <v>1249</v>
      </c>
      <c r="D140" s="513">
        <f>F28-980</f>
        <v>11658</v>
      </c>
      <c r="E140" s="514">
        <v>0.92200000000000004</v>
      </c>
      <c r="F140" s="467"/>
      <c r="G140" s="466"/>
      <c r="I140" s="466"/>
    </row>
    <row r="141" spans="1:9" ht="14.25" customHeight="1" x14ac:dyDescent="0.25">
      <c r="C141" s="91"/>
    </row>
    <row r="142" spans="1:9" ht="27.6" x14ac:dyDescent="0.25">
      <c r="A142" s="10" t="s">
        <v>1250</v>
      </c>
      <c r="B142" s="308" t="s">
        <v>915</v>
      </c>
      <c r="C142" s="310" t="s">
        <v>1192</v>
      </c>
      <c r="D142" s="309" t="s">
        <v>433</v>
      </c>
      <c r="E142" s="309" t="s">
        <v>434</v>
      </c>
      <c r="F142" s="309" t="s">
        <v>435</v>
      </c>
      <c r="G142" s="309" t="s">
        <v>436</v>
      </c>
    </row>
    <row r="143" spans="1:9" x14ac:dyDescent="0.25">
      <c r="A143" s="2" t="s">
        <v>1251</v>
      </c>
      <c r="B143" s="271" t="s">
        <v>916</v>
      </c>
      <c r="C143" s="473" t="s">
        <v>1252</v>
      </c>
      <c r="D143" s="306">
        <v>0.75</v>
      </c>
      <c r="E143" s="306" t="s">
        <v>917</v>
      </c>
      <c r="F143" s="525">
        <v>0.74</v>
      </c>
      <c r="G143" s="525">
        <v>0.64</v>
      </c>
    </row>
    <row r="144" spans="1:9" x14ac:dyDescent="0.25">
      <c r="B144" s="298" t="s">
        <v>918</v>
      </c>
      <c r="C144" s="473"/>
      <c r="D144" s="306"/>
      <c r="E144" s="306" t="s">
        <v>917</v>
      </c>
      <c r="F144" s="525">
        <v>0.65</v>
      </c>
      <c r="G144" s="525">
        <v>0.63</v>
      </c>
    </row>
    <row r="145" spans="1:15" ht="25.2" x14ac:dyDescent="0.25">
      <c r="B145" s="298" t="s">
        <v>919</v>
      </c>
      <c r="C145" s="473" t="s">
        <v>1253</v>
      </c>
      <c r="D145" s="298">
        <v>6.9</v>
      </c>
      <c r="E145" s="306" t="s">
        <v>917</v>
      </c>
      <c r="F145" s="526"/>
      <c r="G145" s="526"/>
    </row>
    <row r="146" spans="1:15" x14ac:dyDescent="0.25">
      <c r="C146" s="64"/>
      <c r="O146" s="2"/>
    </row>
    <row r="147" spans="1:15" ht="17.399999999999999" x14ac:dyDescent="0.25">
      <c r="B147" s="308" t="s">
        <v>900</v>
      </c>
      <c r="C147" s="310" t="s">
        <v>1192</v>
      </c>
      <c r="D147" s="309" t="s">
        <v>433</v>
      </c>
    </row>
    <row r="148" spans="1:15" ht="46.5" customHeight="1" x14ac:dyDescent="0.25">
      <c r="A148" s="312" t="s">
        <v>1254</v>
      </c>
      <c r="B148" s="339" t="s">
        <v>1255</v>
      </c>
      <c r="C148" s="330" t="s">
        <v>1256</v>
      </c>
      <c r="D148" s="350">
        <v>25.52</v>
      </c>
      <c r="N148" s="61"/>
      <c r="O148" s="61"/>
    </row>
    <row r="149" spans="1:15" x14ac:dyDescent="0.25">
      <c r="C149" s="91"/>
    </row>
    <row r="150" spans="1:15" ht="17.399999999999999" x14ac:dyDescent="0.25">
      <c r="A150" s="2" t="s">
        <v>1240</v>
      </c>
      <c r="B150" s="361" t="s">
        <v>900</v>
      </c>
      <c r="C150" s="471" t="s">
        <v>1192</v>
      </c>
      <c r="D150" s="1680" t="s">
        <v>433</v>
      </c>
      <c r="E150" s="1680"/>
      <c r="F150" s="1680"/>
      <c r="G150" s="1680"/>
      <c r="H150" s="1680"/>
    </row>
    <row r="151" spans="1:15" ht="96" customHeight="1" x14ac:dyDescent="0.25">
      <c r="B151" s="362"/>
      <c r="C151" s="373"/>
      <c r="D151" s="516" t="s">
        <v>1257</v>
      </c>
      <c r="E151" s="516" t="s">
        <v>1258</v>
      </c>
      <c r="F151" s="516" t="s">
        <v>1259</v>
      </c>
      <c r="G151" s="363" t="s">
        <v>1260</v>
      </c>
      <c r="H151" s="363" t="s">
        <v>908</v>
      </c>
    </row>
    <row r="152" spans="1:15" ht="14.4" hidden="1" x14ac:dyDescent="0.25">
      <c r="B152" s="362" t="s">
        <v>1261</v>
      </c>
      <c r="C152" s="374"/>
      <c r="D152" s="517">
        <v>20</v>
      </c>
      <c r="E152" s="517">
        <v>491</v>
      </c>
      <c r="F152" s="517">
        <v>42</v>
      </c>
      <c r="G152" s="362">
        <v>553</v>
      </c>
      <c r="H152" s="364">
        <f t="shared" ref="H152:H159" si="17">E152/G152</f>
        <v>0.88788426763110306</v>
      </c>
    </row>
    <row r="153" spans="1:15" ht="14.4" hidden="1" x14ac:dyDescent="0.25">
      <c r="B153" s="362" t="s">
        <v>1262</v>
      </c>
      <c r="C153" s="374"/>
      <c r="D153" s="517">
        <v>58</v>
      </c>
      <c r="E153" s="517">
        <v>648</v>
      </c>
      <c r="F153" s="517">
        <v>177</v>
      </c>
      <c r="G153" s="362">
        <v>883</v>
      </c>
      <c r="H153" s="364">
        <f t="shared" si="17"/>
        <v>0.73386183465458665</v>
      </c>
    </row>
    <row r="154" spans="1:15" ht="14.4" hidden="1" x14ac:dyDescent="0.25">
      <c r="B154" s="362" t="s">
        <v>1263</v>
      </c>
      <c r="C154" s="374"/>
      <c r="D154" s="517">
        <v>2</v>
      </c>
      <c r="E154" s="517">
        <v>562</v>
      </c>
      <c r="F154" s="517">
        <v>188</v>
      </c>
      <c r="G154" s="362">
        <v>752</v>
      </c>
      <c r="H154" s="364">
        <f t="shared" si="17"/>
        <v>0.74734042553191493</v>
      </c>
    </row>
    <row r="155" spans="1:15" ht="14.4" hidden="1" x14ac:dyDescent="0.25">
      <c r="B155" s="362" t="s">
        <v>1264</v>
      </c>
      <c r="C155" s="374"/>
      <c r="D155" s="517">
        <v>2</v>
      </c>
      <c r="E155" s="517">
        <v>86</v>
      </c>
      <c r="F155" s="517">
        <v>44</v>
      </c>
      <c r="G155" s="362">
        <v>132</v>
      </c>
      <c r="H155" s="364">
        <f t="shared" si="17"/>
        <v>0.65151515151515149</v>
      </c>
    </row>
    <row r="156" spans="1:15" ht="14.4" hidden="1" x14ac:dyDescent="0.25">
      <c r="B156" s="362" t="s">
        <v>1265</v>
      </c>
      <c r="C156" s="374"/>
      <c r="D156" s="517">
        <v>2</v>
      </c>
      <c r="E156" s="517">
        <v>270</v>
      </c>
      <c r="F156" s="517">
        <v>92</v>
      </c>
      <c r="G156" s="362">
        <v>364</v>
      </c>
      <c r="H156" s="364">
        <f t="shared" si="17"/>
        <v>0.74175824175824179</v>
      </c>
    </row>
    <row r="157" spans="1:15" ht="14.4" hidden="1" x14ac:dyDescent="0.25">
      <c r="B157" s="362" t="s">
        <v>1266</v>
      </c>
      <c r="C157" s="374"/>
      <c r="D157" s="517">
        <v>1</v>
      </c>
      <c r="E157" s="517">
        <v>113</v>
      </c>
      <c r="F157" s="517">
        <v>47</v>
      </c>
      <c r="G157" s="362">
        <v>161</v>
      </c>
      <c r="H157" s="364">
        <f t="shared" si="17"/>
        <v>0.70186335403726707</v>
      </c>
    </row>
    <row r="158" spans="1:15" ht="14.4" hidden="1" x14ac:dyDescent="0.25">
      <c r="B158" s="362" t="s">
        <v>1267</v>
      </c>
      <c r="C158" s="374"/>
      <c r="D158" s="517">
        <v>159</v>
      </c>
      <c r="E158" s="517">
        <v>149</v>
      </c>
      <c r="F158" s="517">
        <v>87</v>
      </c>
      <c r="G158" s="362">
        <v>395</v>
      </c>
      <c r="H158" s="364">
        <f t="shared" si="17"/>
        <v>0.37721518987341773</v>
      </c>
    </row>
    <row r="159" spans="1:15" ht="42.75" customHeight="1" x14ac:dyDescent="0.25">
      <c r="B159" s="442" t="s">
        <v>910</v>
      </c>
      <c r="C159" s="442" t="s">
        <v>1268</v>
      </c>
      <c r="D159" s="443">
        <v>244</v>
      </c>
      <c r="E159" s="443">
        <v>2319</v>
      </c>
      <c r="F159" s="443">
        <v>677</v>
      </c>
      <c r="G159" s="443">
        <f t="shared" ref="G159:G181" si="18">SUM(D159:F159)</f>
        <v>3240</v>
      </c>
      <c r="H159" s="444">
        <f t="shared" si="17"/>
        <v>0.71574074074074079</v>
      </c>
    </row>
    <row r="160" spans="1:15" hidden="1" x14ac:dyDescent="0.25">
      <c r="B160" s="442"/>
      <c r="C160" s="442"/>
      <c r="D160" s="445"/>
      <c r="E160" s="445"/>
      <c r="F160" s="445"/>
      <c r="G160" s="443">
        <f t="shared" si="18"/>
        <v>0</v>
      </c>
      <c r="H160" s="446"/>
    </row>
    <row r="161" spans="2:8" hidden="1" x14ac:dyDescent="0.25">
      <c r="B161" s="442"/>
      <c r="C161" s="442"/>
      <c r="D161" s="445"/>
      <c r="E161" s="445"/>
      <c r="F161" s="445"/>
      <c r="G161" s="443">
        <f t="shared" si="18"/>
        <v>0</v>
      </c>
      <c r="H161" s="446"/>
    </row>
    <row r="162" spans="2:8" hidden="1" x14ac:dyDescent="0.25">
      <c r="B162" s="442"/>
      <c r="C162" s="442"/>
      <c r="D162" s="445"/>
      <c r="E162" s="445"/>
      <c r="F162" s="445"/>
      <c r="G162" s="443">
        <f t="shared" si="18"/>
        <v>0</v>
      </c>
      <c r="H162" s="446"/>
    </row>
    <row r="163" spans="2:8" hidden="1" x14ac:dyDescent="0.25">
      <c r="B163" s="447"/>
      <c r="C163" s="442"/>
      <c r="D163" s="445"/>
      <c r="E163" s="443" t="s">
        <v>1258</v>
      </c>
      <c r="F163" s="443" t="s">
        <v>1269</v>
      </c>
      <c r="G163" s="443">
        <f t="shared" si="18"/>
        <v>0</v>
      </c>
      <c r="H163" s="444"/>
    </row>
    <row r="164" spans="2:8" hidden="1" x14ac:dyDescent="0.25">
      <c r="B164" s="447" t="s">
        <v>1261</v>
      </c>
      <c r="C164" s="442"/>
      <c r="D164" s="445"/>
      <c r="E164" s="443">
        <v>617</v>
      </c>
      <c r="F164" s="443">
        <v>120</v>
      </c>
      <c r="G164" s="443">
        <f t="shared" si="18"/>
        <v>737</v>
      </c>
      <c r="H164" s="444">
        <v>83.7</v>
      </c>
    </row>
    <row r="165" spans="2:8" hidden="1" x14ac:dyDescent="0.25">
      <c r="B165" s="447" t="s">
        <v>1262</v>
      </c>
      <c r="C165" s="442"/>
      <c r="D165" s="445"/>
      <c r="E165" s="443">
        <v>1227</v>
      </c>
      <c r="F165" s="443">
        <v>462</v>
      </c>
      <c r="G165" s="443">
        <f t="shared" si="18"/>
        <v>1689</v>
      </c>
      <c r="H165" s="444">
        <v>72.599999999999994</v>
      </c>
    </row>
    <row r="166" spans="2:8" hidden="1" x14ac:dyDescent="0.25">
      <c r="B166" s="447" t="s">
        <v>1263</v>
      </c>
      <c r="C166" s="442"/>
      <c r="D166" s="445"/>
      <c r="E166" s="443">
        <v>518</v>
      </c>
      <c r="F166" s="443">
        <v>310</v>
      </c>
      <c r="G166" s="443">
        <f t="shared" si="18"/>
        <v>828</v>
      </c>
      <c r="H166" s="444">
        <v>62.6</v>
      </c>
    </row>
    <row r="167" spans="2:8" hidden="1" x14ac:dyDescent="0.25">
      <c r="B167" s="447" t="s">
        <v>1264</v>
      </c>
      <c r="C167" s="442"/>
      <c r="D167" s="445"/>
      <c r="E167" s="443">
        <v>91</v>
      </c>
      <c r="F167" s="443">
        <v>48</v>
      </c>
      <c r="G167" s="443">
        <f t="shared" si="18"/>
        <v>139</v>
      </c>
      <c r="H167" s="444">
        <v>65.5</v>
      </c>
    </row>
    <row r="168" spans="2:8" hidden="1" x14ac:dyDescent="0.25">
      <c r="B168" s="447" t="s">
        <v>1265</v>
      </c>
      <c r="C168" s="442"/>
      <c r="D168" s="445"/>
      <c r="E168" s="443">
        <v>435</v>
      </c>
      <c r="F168" s="443">
        <v>226</v>
      </c>
      <c r="G168" s="443">
        <f t="shared" si="18"/>
        <v>661</v>
      </c>
      <c r="H168" s="444">
        <v>65.8</v>
      </c>
    </row>
    <row r="169" spans="2:8" hidden="1" x14ac:dyDescent="0.25">
      <c r="B169" s="447" t="s">
        <v>1266</v>
      </c>
      <c r="C169" s="442"/>
      <c r="D169" s="445"/>
      <c r="E169" s="443">
        <v>264</v>
      </c>
      <c r="F169" s="443">
        <v>66</v>
      </c>
      <c r="G169" s="443">
        <f t="shared" si="18"/>
        <v>330</v>
      </c>
      <c r="H169" s="444">
        <v>80</v>
      </c>
    </row>
    <row r="170" spans="2:8" hidden="1" x14ac:dyDescent="0.25">
      <c r="B170" s="447" t="s">
        <v>1267</v>
      </c>
      <c r="C170" s="442"/>
      <c r="D170" s="445"/>
      <c r="E170" s="443">
        <v>754</v>
      </c>
      <c r="F170" s="443">
        <v>985</v>
      </c>
      <c r="G170" s="443">
        <f t="shared" si="18"/>
        <v>1739</v>
      </c>
      <c r="H170" s="444">
        <v>43.4</v>
      </c>
    </row>
    <row r="171" spans="2:8" ht="48" customHeight="1" x14ac:dyDescent="0.25">
      <c r="B171" s="447" t="s">
        <v>909</v>
      </c>
      <c r="C171" s="442" t="s">
        <v>1270</v>
      </c>
      <c r="D171" s="445">
        <v>0</v>
      </c>
      <c r="E171" s="443">
        <v>3906</v>
      </c>
      <c r="F171" s="443">
        <v>2217</v>
      </c>
      <c r="G171" s="443">
        <f t="shared" si="18"/>
        <v>6123</v>
      </c>
      <c r="H171" s="444">
        <f>E171/G171</f>
        <v>0.63792258696717297</v>
      </c>
    </row>
    <row r="172" spans="2:8" hidden="1" x14ac:dyDescent="0.25">
      <c r="B172" s="373"/>
      <c r="C172" s="373"/>
      <c r="D172" s="445"/>
      <c r="E172" s="445"/>
      <c r="F172" s="445"/>
      <c r="G172" s="365">
        <f t="shared" si="18"/>
        <v>0</v>
      </c>
      <c r="H172" s="375"/>
    </row>
    <row r="173" spans="2:8" hidden="1" x14ac:dyDescent="0.25">
      <c r="B173" s="373"/>
      <c r="C173" s="373"/>
      <c r="D173" s="445"/>
      <c r="E173" s="445"/>
      <c r="F173" s="445"/>
      <c r="G173" s="365">
        <f t="shared" si="18"/>
        <v>0</v>
      </c>
      <c r="H173" s="375"/>
    </row>
    <row r="174" spans="2:8" ht="41.4" hidden="1" x14ac:dyDescent="0.25">
      <c r="B174" s="367"/>
      <c r="C174" s="373"/>
      <c r="D174" s="445" t="s">
        <v>1271</v>
      </c>
      <c r="E174" s="443" t="s">
        <v>1258</v>
      </c>
      <c r="F174" s="443" t="s">
        <v>1269</v>
      </c>
      <c r="G174" s="365">
        <f t="shared" si="18"/>
        <v>0</v>
      </c>
      <c r="H174" s="368"/>
    </row>
    <row r="175" spans="2:8" hidden="1" x14ac:dyDescent="0.25">
      <c r="B175" s="367" t="s">
        <v>1261</v>
      </c>
      <c r="C175" s="373"/>
      <c r="D175" s="518">
        <v>6</v>
      </c>
      <c r="E175" s="518">
        <v>1261</v>
      </c>
      <c r="F175" s="518">
        <v>138</v>
      </c>
      <c r="G175" s="365">
        <f t="shared" si="18"/>
        <v>1405</v>
      </c>
      <c r="H175" s="369">
        <v>0.897509</v>
      </c>
    </row>
    <row r="176" spans="2:8" hidden="1" x14ac:dyDescent="0.25">
      <c r="B176" s="367" t="s">
        <v>1262</v>
      </c>
      <c r="C176" s="373"/>
      <c r="D176" s="518">
        <v>8</v>
      </c>
      <c r="E176" s="518">
        <v>4043</v>
      </c>
      <c r="F176" s="518">
        <v>531</v>
      </c>
      <c r="G176" s="365">
        <f t="shared" si="18"/>
        <v>4582</v>
      </c>
      <c r="H176" s="369">
        <v>0.88236599999999998</v>
      </c>
    </row>
    <row r="177" spans="2:8" hidden="1" x14ac:dyDescent="0.25">
      <c r="B177" s="367" t="s">
        <v>1263</v>
      </c>
      <c r="C177" s="373"/>
      <c r="D177" s="518">
        <v>1</v>
      </c>
      <c r="E177" s="518">
        <v>1221</v>
      </c>
      <c r="F177" s="518">
        <v>168</v>
      </c>
      <c r="G177" s="365">
        <f t="shared" si="18"/>
        <v>1390</v>
      </c>
      <c r="H177" s="369">
        <v>0.878417</v>
      </c>
    </row>
    <row r="178" spans="2:8" hidden="1" x14ac:dyDescent="0.25">
      <c r="B178" s="367" t="s">
        <v>1264</v>
      </c>
      <c r="C178" s="373"/>
      <c r="D178" s="518">
        <v>53</v>
      </c>
      <c r="E178" s="518">
        <v>372</v>
      </c>
      <c r="F178" s="518">
        <v>77</v>
      </c>
      <c r="G178" s="365">
        <f t="shared" si="18"/>
        <v>502</v>
      </c>
      <c r="H178" s="369">
        <v>0.74103600000000003</v>
      </c>
    </row>
    <row r="179" spans="2:8" hidden="1" x14ac:dyDescent="0.25">
      <c r="B179" s="367" t="s">
        <v>1265</v>
      </c>
      <c r="C179" s="373"/>
      <c r="D179" s="518">
        <v>11</v>
      </c>
      <c r="E179" s="518">
        <v>1506</v>
      </c>
      <c r="F179" s="518">
        <v>183</v>
      </c>
      <c r="G179" s="365">
        <f t="shared" si="18"/>
        <v>1700</v>
      </c>
      <c r="H179" s="369">
        <v>0.88588199999999995</v>
      </c>
    </row>
    <row r="180" spans="2:8" hidden="1" x14ac:dyDescent="0.25">
      <c r="B180" s="367" t="s">
        <v>1266</v>
      </c>
      <c r="C180" s="373"/>
      <c r="D180" s="518">
        <v>19</v>
      </c>
      <c r="E180" s="518">
        <v>1232</v>
      </c>
      <c r="F180" s="518">
        <v>260</v>
      </c>
      <c r="G180" s="365">
        <f t="shared" si="18"/>
        <v>1511</v>
      </c>
      <c r="H180" s="369">
        <v>0.81535400000000002</v>
      </c>
    </row>
    <row r="181" spans="2:8" hidden="1" x14ac:dyDescent="0.25">
      <c r="B181" s="367" t="s">
        <v>1267</v>
      </c>
      <c r="C181" s="373"/>
      <c r="D181" s="443"/>
      <c r="E181" s="518">
        <v>12</v>
      </c>
      <c r="F181" s="443"/>
      <c r="G181" s="365">
        <f t="shared" si="18"/>
        <v>12</v>
      </c>
      <c r="H181" s="369">
        <v>1</v>
      </c>
    </row>
    <row r="182" spans="2:8" ht="32.25" customHeight="1" x14ac:dyDescent="0.25">
      <c r="B182" s="367" t="s">
        <v>1272</v>
      </c>
      <c r="C182" s="373" t="s">
        <v>1273</v>
      </c>
      <c r="D182" s="518"/>
      <c r="E182" s="518"/>
      <c r="F182" s="518"/>
      <c r="G182" s="365"/>
      <c r="H182" s="366"/>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21"/>
  <sheetViews>
    <sheetView zoomScale="80" zoomScaleNormal="80" workbookViewId="0"/>
  </sheetViews>
  <sheetFormatPr defaultColWidth="8.77734375" defaultRowHeight="13.8" x14ac:dyDescent="0.25"/>
  <cols>
    <col min="1" max="1" width="3" style="2" customWidth="1"/>
    <col min="2" max="2" width="49.77734375" style="2" customWidth="1"/>
    <col min="3" max="3" width="19" style="2" customWidth="1"/>
    <col min="4" max="4" width="14.21875" style="2" customWidth="1"/>
    <col min="5" max="5" width="37" style="2" customWidth="1"/>
    <col min="6" max="10" width="14.21875" style="2" customWidth="1"/>
    <col min="11" max="16384" width="8.77734375" style="2"/>
  </cols>
  <sheetData>
    <row r="2" spans="1:14" ht="31.05" customHeight="1" x14ac:dyDescent="0.25">
      <c r="B2" s="847" t="s">
        <v>12</v>
      </c>
      <c r="C2" s="848"/>
      <c r="D2" s="849"/>
      <c r="E2" s="849"/>
      <c r="F2" s="4"/>
      <c r="G2" s="4"/>
      <c r="H2" s="4"/>
      <c r="I2" s="4"/>
      <c r="J2" s="4"/>
      <c r="K2" s="4"/>
      <c r="L2" s="4"/>
      <c r="M2" s="4"/>
      <c r="N2" s="4"/>
    </row>
    <row r="3" spans="1:14" ht="8.1" customHeight="1" x14ac:dyDescent="0.25">
      <c r="B3" s="850"/>
      <c r="C3" s="851"/>
      <c r="D3" s="852"/>
      <c r="E3" s="852"/>
      <c r="F3" s="853"/>
      <c r="G3" s="853"/>
      <c r="H3" s="853"/>
      <c r="I3" s="853"/>
      <c r="J3" s="853"/>
    </row>
    <row r="4" spans="1:14" ht="18" customHeight="1" x14ac:dyDescent="0.25">
      <c r="A4" s="854"/>
      <c r="B4" s="855" t="s">
        <v>13</v>
      </c>
      <c r="C4" s="856"/>
      <c r="D4" s="856"/>
      <c r="E4" s="856"/>
    </row>
    <row r="5" spans="1:14" ht="18" customHeight="1" x14ac:dyDescent="0.25">
      <c r="A5" s="854"/>
      <c r="B5" s="857" t="s">
        <v>14</v>
      </c>
      <c r="C5" s="856"/>
      <c r="D5" s="856"/>
      <c r="E5" s="856"/>
    </row>
    <row r="6" spans="1:14" ht="18" customHeight="1" x14ac:dyDescent="0.25">
      <c r="A6" s="854"/>
      <c r="B6" s="857" t="s">
        <v>15</v>
      </c>
      <c r="C6" s="856"/>
      <c r="D6" s="856"/>
      <c r="E6" s="856"/>
    </row>
    <row r="7" spans="1:14" ht="18" customHeight="1" x14ac:dyDescent="0.25">
      <c r="A7" s="854"/>
      <c r="B7" s="857" t="s">
        <v>16</v>
      </c>
      <c r="C7" s="856"/>
      <c r="D7" s="856"/>
      <c r="E7" s="856"/>
    </row>
    <row r="8" spans="1:14" ht="18" customHeight="1" x14ac:dyDescent="0.25">
      <c r="A8" s="854"/>
      <c r="B8" s="857" t="s">
        <v>17</v>
      </c>
      <c r="C8" s="856"/>
      <c r="D8" s="856"/>
      <c r="E8" s="856"/>
    </row>
    <row r="9" spans="1:14" ht="18" customHeight="1" x14ac:dyDescent="0.25">
      <c r="A9" s="854"/>
      <c r="B9" s="857" t="s">
        <v>18</v>
      </c>
      <c r="C9" s="856"/>
      <c r="D9" s="856"/>
      <c r="E9" s="856"/>
    </row>
    <row r="10" spans="1:14" ht="18" customHeight="1" x14ac:dyDescent="0.25">
      <c r="A10" s="854"/>
      <c r="B10" s="857" t="s">
        <v>19</v>
      </c>
      <c r="C10" s="856"/>
      <c r="D10" s="856"/>
      <c r="E10" s="856"/>
    </row>
    <row r="11" spans="1:14" ht="18" customHeight="1" x14ac:dyDescent="0.25">
      <c r="A11" s="854"/>
      <c r="B11" s="857" t="s">
        <v>20</v>
      </c>
      <c r="C11" s="856"/>
      <c r="D11" s="856"/>
      <c r="E11" s="856"/>
    </row>
    <row r="12" spans="1:14" ht="18" customHeight="1" x14ac:dyDescent="0.25">
      <c r="A12" s="854"/>
      <c r="B12" s="857" t="s">
        <v>21</v>
      </c>
      <c r="C12" s="856"/>
      <c r="D12" s="856"/>
      <c r="E12" s="856"/>
    </row>
    <row r="13" spans="1:14" ht="18" customHeight="1" x14ac:dyDescent="0.25">
      <c r="A13" s="854"/>
      <c r="B13" s="857" t="s">
        <v>22</v>
      </c>
      <c r="C13" s="856"/>
      <c r="D13" s="856"/>
      <c r="E13" s="856"/>
    </row>
    <row r="14" spans="1:14" ht="18" customHeight="1" x14ac:dyDescent="0.25">
      <c r="A14" s="854"/>
      <c r="B14" s="857" t="s">
        <v>23</v>
      </c>
      <c r="C14" s="856"/>
      <c r="D14" s="856"/>
      <c r="E14" s="856"/>
    </row>
    <row r="15" spans="1:14" ht="18" customHeight="1" x14ac:dyDescent="0.25">
      <c r="A15" s="854"/>
      <c r="B15" s="857" t="s">
        <v>24</v>
      </c>
      <c r="C15" s="856"/>
      <c r="D15" s="856"/>
      <c r="E15" s="856"/>
    </row>
    <row r="16" spans="1:14" ht="18" customHeight="1" x14ac:dyDescent="0.25">
      <c r="A16" s="854"/>
      <c r="B16" s="857" t="s">
        <v>25</v>
      </c>
      <c r="C16" s="856"/>
      <c r="D16" s="856"/>
      <c r="E16" s="856"/>
    </row>
    <row r="17" spans="1:5" ht="18" customHeight="1" x14ac:dyDescent="0.25">
      <c r="A17" s="854"/>
      <c r="B17" s="857" t="s">
        <v>26</v>
      </c>
      <c r="C17" s="856"/>
      <c r="D17" s="856"/>
      <c r="E17" s="856"/>
    </row>
    <row r="18" spans="1:5" ht="18" customHeight="1" x14ac:dyDescent="0.25">
      <c r="A18" s="854"/>
      <c r="B18" s="857" t="s">
        <v>27</v>
      </c>
      <c r="C18" s="856"/>
      <c r="D18" s="856"/>
      <c r="E18" s="856"/>
    </row>
    <row r="19" spans="1:5" ht="18" customHeight="1" x14ac:dyDescent="0.25">
      <c r="A19" s="854"/>
      <c r="B19" s="857" t="s">
        <v>28</v>
      </c>
      <c r="C19" s="856"/>
      <c r="D19" s="856"/>
      <c r="E19" s="856"/>
    </row>
    <row r="20" spans="1:5" ht="18" customHeight="1" x14ac:dyDescent="0.25">
      <c r="A20" s="854"/>
      <c r="B20" s="857" t="s">
        <v>29</v>
      </c>
      <c r="C20" s="856"/>
      <c r="D20" s="856"/>
      <c r="E20" s="856"/>
    </row>
    <row r="21" spans="1:5" ht="14.55" customHeight="1" x14ac:dyDescent="0.25">
      <c r="B21" s="848"/>
      <c r="C21" s="848"/>
      <c r="D21" s="848"/>
      <c r="E21" s="848"/>
    </row>
  </sheetData>
  <sheetProtection algorithmName="SHA-512" hashValue="R3eFe4x4BAf+7Otyb34l3NcAKHRnG7yjEmTH1F41AJXtEBBGd1+9kQrBKFNemRtT9csv7n1Hf1LI+EO5DRcC/w==" saltValue="s0qlfXMDiWVtg89hQGnNug=="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ssured metrics'!Print_Area" display="ERM CVS Assured metrics" xr:uid="{B3B08489-F50B-45FB-B1D7-FA8CE32E8DC3}"/>
    <hyperlink ref="B11" location="'2030 targets'!A1" display="2030 targets" xr:uid="{87B28707-19FF-4E27-B2EB-EA55260F44F6}"/>
    <hyperlink ref="B13" location="Environment!A1" display="Environment" xr:uid="{BCFA1647-5EB9-4662-A571-49FF70179CD1}"/>
    <hyperlink ref="B15" location="'Health and Safety'!A1" display="Health and Safety" xr:uid="{F3FD2434-366A-4CCF-B1A4-AD5FCF76A749}"/>
    <hyperlink ref="B14" location="People!A1" display="People" xr:uid="{9AA10CB9-8D5D-45CA-8BA0-0C8A9D55782F}"/>
    <hyperlink ref="B16" location="'Ethics and Compliance'!A1" display="Ethics and Compliance" xr:uid="{BCD38343-DF9B-4126-B115-D3FA7E55B2B0}"/>
    <hyperlink ref="B17" location="'Community Investment'!A1" display="Community Investment" xr:uid="{EF6B5F51-59C1-4838-99E0-72D21E826A44}"/>
    <hyperlink ref="B18"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 ref="B12" location="'UN SDGs'!A1" display="UN SDGs" xr:uid="{2CFD4EFB-C0B1-48EB-8EFE-6E6FACABCFC1}"/>
    <hyperlink ref="B19" location="'Product Stewardship'!Print_Area" display="Product Stewardship" xr:uid="{F53E9A71-0086-482D-81B5-D69353E1489C}"/>
    <hyperlink ref="B20" location="'Basis of reporting'!A1" display="Basis of reporting" xr:uid="{268D6CDC-FB2E-431E-9655-1AF488D02D7B}"/>
  </hyperlinks>
  <pageMargins left="0.70866141732283472" right="0.70866141732283472" top="0.74803149606299213" bottom="0.74803149606299213" header="0.31496062992125984" footer="0.31496062992125984"/>
  <pageSetup paperSize="9" orientation="landscape" r:id="rId1"/>
  <rowBreaks count="1" manualBreakCount="1">
    <brk id="22"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codeName="Sheet8">
    <tabColor theme="3"/>
    <pageSetUpPr fitToPage="1"/>
  </sheetPr>
  <dimension ref="B2:P16"/>
  <sheetViews>
    <sheetView zoomScale="80" zoomScaleNormal="80" workbookViewId="0"/>
  </sheetViews>
  <sheetFormatPr defaultColWidth="8.77734375" defaultRowHeight="13.8" x14ac:dyDescent="0.25"/>
  <cols>
    <col min="1" max="1" width="2.21875" style="2" customWidth="1"/>
    <col min="2" max="2" width="11.5546875" style="2" customWidth="1"/>
    <col min="3" max="3" width="12.21875" style="2" customWidth="1"/>
    <col min="4" max="16" width="8.77734375" style="2"/>
    <col min="17" max="17" width="6.77734375" style="2" customWidth="1"/>
    <col min="18" max="16384" width="8.77734375" style="2"/>
  </cols>
  <sheetData>
    <row r="2" spans="2:16" ht="24.6" x14ac:dyDescent="0.25">
      <c r="B2" s="585" t="s">
        <v>13</v>
      </c>
      <c r="C2" s="586"/>
      <c r="D2" s="586"/>
    </row>
    <row r="4" spans="2:16" ht="87" customHeight="1" x14ac:dyDescent="0.25">
      <c r="B4" s="1435" t="s">
        <v>1360</v>
      </c>
      <c r="C4" s="1435"/>
      <c r="D4" s="1435"/>
      <c r="E4" s="1435"/>
      <c r="F4" s="1435"/>
      <c r="G4" s="1435"/>
      <c r="H4" s="1435"/>
      <c r="I4" s="1435"/>
      <c r="J4" s="1435"/>
      <c r="K4" s="1435"/>
      <c r="L4" s="1435"/>
      <c r="M4" s="1435"/>
      <c r="N4" s="1435"/>
      <c r="O4" s="1435"/>
      <c r="P4" s="1435"/>
    </row>
    <row r="5" spans="2:16" x14ac:dyDescent="0.25">
      <c r="B5" s="72" t="s">
        <v>30</v>
      </c>
      <c r="C5" s="72"/>
      <c r="D5" s="72"/>
      <c r="E5" s="72"/>
    </row>
    <row r="6" spans="2:16" ht="3.6" customHeight="1" x14ac:dyDescent="0.25"/>
    <row r="7" spans="2:16" ht="31.35" customHeight="1" x14ac:dyDescent="0.25">
      <c r="B7" s="1436" t="s">
        <v>31</v>
      </c>
      <c r="C7" s="628" t="s">
        <v>32</v>
      </c>
      <c r="D7" s="608"/>
      <c r="E7" s="608"/>
      <c r="F7" s="608"/>
      <c r="G7" s="609"/>
      <c r="H7" s="610"/>
      <c r="I7" s="610"/>
      <c r="J7" s="610"/>
      <c r="K7" s="610"/>
      <c r="L7" s="610"/>
      <c r="M7" s="610"/>
      <c r="N7" s="610"/>
      <c r="O7" s="610"/>
      <c r="P7" s="611"/>
    </row>
    <row r="8" spans="2:16" ht="31.35" customHeight="1" x14ac:dyDescent="0.25">
      <c r="B8" s="1437"/>
      <c r="C8" s="629" t="s">
        <v>33</v>
      </c>
      <c r="D8" s="612"/>
      <c r="E8" s="612"/>
      <c r="F8" s="612"/>
      <c r="G8" s="613"/>
      <c r="H8" s="614"/>
      <c r="I8" s="614"/>
      <c r="J8" s="614"/>
      <c r="K8" s="614"/>
      <c r="L8" s="614"/>
      <c r="M8" s="614"/>
      <c r="N8" s="614"/>
      <c r="O8" s="614"/>
      <c r="P8" s="615"/>
    </row>
    <row r="9" spans="2:16" ht="31.35" customHeight="1" x14ac:dyDescent="0.25">
      <c r="B9" s="1437"/>
      <c r="C9" s="629" t="s">
        <v>34</v>
      </c>
      <c r="D9" s="612"/>
      <c r="E9" s="612"/>
      <c r="F9" s="612"/>
      <c r="G9" s="613"/>
      <c r="H9" s="614"/>
      <c r="I9" s="614"/>
      <c r="J9" s="614"/>
      <c r="K9" s="614"/>
      <c r="L9" s="614"/>
      <c r="M9" s="614"/>
      <c r="N9" s="614"/>
      <c r="O9" s="614"/>
      <c r="P9" s="615"/>
    </row>
    <row r="10" spans="2:16" ht="31.35" customHeight="1" x14ac:dyDescent="0.25">
      <c r="B10" s="1437"/>
      <c r="C10" s="629" t="s">
        <v>35</v>
      </c>
      <c r="D10" s="612"/>
      <c r="E10" s="612"/>
      <c r="F10" s="612"/>
      <c r="G10" s="613"/>
      <c r="H10" s="614"/>
      <c r="I10" s="614"/>
      <c r="J10" s="614"/>
      <c r="K10" s="614"/>
      <c r="L10" s="614"/>
      <c r="M10" s="614"/>
      <c r="N10" s="614"/>
      <c r="O10" s="614"/>
      <c r="P10" s="615"/>
    </row>
    <row r="11" spans="2:16" ht="31.35" customHeight="1" x14ac:dyDescent="0.25">
      <c r="B11" s="1438"/>
      <c r="C11" s="630" t="s">
        <v>36</v>
      </c>
      <c r="D11" s="616"/>
      <c r="E11" s="616"/>
      <c r="F11" s="616"/>
      <c r="G11" s="617"/>
      <c r="H11" s="618"/>
      <c r="I11" s="618"/>
      <c r="J11" s="618"/>
      <c r="K11" s="618"/>
      <c r="L11" s="618"/>
      <c r="M11" s="618"/>
      <c r="N11" s="618"/>
      <c r="O11" s="618"/>
      <c r="P11" s="619"/>
    </row>
    <row r="12" spans="2:16" ht="31.35" customHeight="1" x14ac:dyDescent="0.25">
      <c r="B12" s="1439" t="s">
        <v>23</v>
      </c>
      <c r="C12" s="631" t="s">
        <v>37</v>
      </c>
      <c r="D12" s="620"/>
      <c r="E12" s="620"/>
      <c r="F12" s="620"/>
      <c r="G12" s="621"/>
      <c r="H12" s="622"/>
      <c r="I12" s="622"/>
      <c r="J12" s="622"/>
      <c r="K12" s="622"/>
      <c r="L12" s="622"/>
      <c r="M12" s="622"/>
      <c r="N12" s="622"/>
      <c r="O12" s="622"/>
      <c r="P12" s="623"/>
    </row>
    <row r="13" spans="2:16" ht="31.35" customHeight="1" x14ac:dyDescent="0.25">
      <c r="B13" s="1440"/>
      <c r="C13" s="632" t="s">
        <v>38</v>
      </c>
      <c r="D13" s="605"/>
      <c r="E13" s="605"/>
      <c r="F13" s="605"/>
      <c r="G13" s="606"/>
      <c r="H13" s="607"/>
      <c r="I13" s="607"/>
      <c r="J13" s="607"/>
      <c r="K13" s="607"/>
      <c r="L13" s="607"/>
      <c r="M13" s="607"/>
      <c r="N13" s="607"/>
      <c r="O13" s="607"/>
      <c r="P13" s="624"/>
    </row>
    <row r="14" spans="2:16" ht="31.35" customHeight="1" x14ac:dyDescent="0.25">
      <c r="B14" s="1440"/>
      <c r="C14" s="632" t="s">
        <v>39</v>
      </c>
      <c r="D14" s="605"/>
      <c r="E14" s="605"/>
      <c r="F14" s="605"/>
      <c r="G14" s="606"/>
      <c r="H14" s="607"/>
      <c r="I14" s="607"/>
      <c r="J14" s="607"/>
      <c r="K14" s="607"/>
      <c r="L14" s="607"/>
      <c r="M14" s="607"/>
      <c r="N14" s="607"/>
      <c r="O14" s="607"/>
      <c r="P14" s="624"/>
    </row>
    <row r="15" spans="2:16" ht="31.35" customHeight="1" x14ac:dyDescent="0.25">
      <c r="B15" s="1440"/>
      <c r="C15" s="632" t="s">
        <v>224</v>
      </c>
      <c r="D15" s="605"/>
      <c r="E15" s="605"/>
      <c r="F15" s="605"/>
      <c r="G15" s="606"/>
      <c r="H15" s="607"/>
      <c r="I15" s="607"/>
      <c r="J15" s="607"/>
      <c r="K15" s="607"/>
      <c r="L15" s="607"/>
      <c r="M15" s="607"/>
      <c r="N15" s="607"/>
      <c r="O15" s="607"/>
      <c r="P15" s="624"/>
    </row>
    <row r="16" spans="2:16" ht="31.35" customHeight="1" x14ac:dyDescent="0.25">
      <c r="B16" s="1441" t="s">
        <v>40</v>
      </c>
      <c r="C16" s="1442"/>
      <c r="D16" s="1442"/>
      <c r="E16" s="1442"/>
      <c r="F16" s="1442"/>
      <c r="G16" s="625"/>
      <c r="H16" s="626"/>
      <c r="I16" s="626"/>
      <c r="J16" s="626"/>
      <c r="K16" s="626"/>
      <c r="L16" s="626"/>
      <c r="M16" s="626"/>
      <c r="N16" s="626"/>
      <c r="O16" s="626"/>
      <c r="P16" s="627"/>
    </row>
  </sheetData>
  <sheetProtection algorithmName="SHA-512" hashValue="bGjLUxfz4naf2yAYrR/PyX9DpzsKU4BALu0MNbNV7PyzBnctaHb5ix8NYZqK3WOJI92N2qaF9Ycl6lBByhC29w==" saltValue="jHjfPpnfcrlHdMRQW1WBeg==" spinCount="100000" sheet="1" objects="1" scenarios="1"/>
  <mergeCells count="4">
    <mergeCell ref="B4:P4"/>
    <mergeCell ref="B7:B11"/>
    <mergeCell ref="B12:B15"/>
    <mergeCell ref="B16:F16"/>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A2:BK234"/>
  <sheetViews>
    <sheetView zoomScale="80" zoomScaleNormal="80" workbookViewId="0"/>
  </sheetViews>
  <sheetFormatPr defaultColWidth="9.21875" defaultRowHeight="17.399999999999999" x14ac:dyDescent="0.3"/>
  <cols>
    <col min="1" max="1" width="4.21875" style="58" customWidth="1"/>
    <col min="2" max="2" width="22.21875" style="860" customWidth="1"/>
    <col min="3" max="3" width="48.77734375" style="860" customWidth="1"/>
    <col min="4" max="4" width="83.44140625" style="58" customWidth="1"/>
    <col min="5" max="5" width="64.77734375" style="59" customWidth="1"/>
    <col min="6" max="6" width="22.44140625" style="58" customWidth="1"/>
    <col min="7" max="7" width="22.77734375" style="58" customWidth="1"/>
    <col min="8" max="8" width="37.77734375" style="58" customWidth="1"/>
    <col min="9" max="9" width="13" style="58" customWidth="1"/>
    <col min="10" max="10" width="47.44140625" style="58" customWidth="1"/>
    <col min="11" max="16384" width="9.21875" style="58"/>
  </cols>
  <sheetData>
    <row r="2" spans="2:18" ht="33.6" customHeight="1" x14ac:dyDescent="0.3">
      <c r="B2" s="1469" t="s">
        <v>41</v>
      </c>
      <c r="C2" s="1469"/>
      <c r="D2" s="1469"/>
      <c r="E2" s="1469"/>
      <c r="F2" s="1469"/>
      <c r="G2" s="1469"/>
      <c r="H2" s="1469"/>
      <c r="I2" s="1469"/>
    </row>
    <row r="4" spans="2:18" ht="16.2" x14ac:dyDescent="0.3">
      <c r="B4" s="1478" t="s">
        <v>42</v>
      </c>
      <c r="C4" s="1478"/>
      <c r="D4" s="1475" t="s">
        <v>43</v>
      </c>
      <c r="E4" s="1475"/>
    </row>
    <row r="5" spans="2:18" ht="16.2" x14ac:dyDescent="0.3">
      <c r="B5" s="1479" t="s">
        <v>44</v>
      </c>
      <c r="C5" s="1479"/>
      <c r="D5" s="1476" t="s">
        <v>45</v>
      </c>
      <c r="E5" s="1476"/>
    </row>
    <row r="6" spans="2:18" hidden="1" x14ac:dyDescent="0.3">
      <c r="B6" s="858" t="s">
        <v>46</v>
      </c>
      <c r="C6" s="858"/>
      <c r="D6" s="859" t="s">
        <v>47</v>
      </c>
    </row>
    <row r="7" spans="2:18" x14ac:dyDescent="0.3">
      <c r="C7" s="861"/>
      <c r="D7" s="496"/>
      <c r="F7"/>
      <c r="G7" s="496"/>
      <c r="H7" s="496"/>
      <c r="I7" s="452"/>
    </row>
    <row r="8" spans="2:18" ht="13.8" x14ac:dyDescent="0.3">
      <c r="B8" s="824" t="s">
        <v>48</v>
      </c>
      <c r="C8" s="58"/>
      <c r="D8" s="824"/>
      <c r="F8" s="496"/>
      <c r="G8" s="496"/>
      <c r="H8" s="496"/>
      <c r="I8" s="452"/>
      <c r="M8" s="1502"/>
      <c r="N8" s="1502"/>
      <c r="O8" s="1502"/>
      <c r="P8" s="1502"/>
      <c r="Q8" s="1502"/>
      <c r="R8" s="1502"/>
    </row>
    <row r="9" spans="2:18" ht="13.8" x14ac:dyDescent="0.3">
      <c r="B9" s="5" t="s">
        <v>49</v>
      </c>
      <c r="C9" s="58"/>
      <c r="D9" s="824"/>
      <c r="E9" s="862"/>
      <c r="F9" s="496"/>
      <c r="G9" s="496"/>
      <c r="H9" s="496"/>
      <c r="I9" s="452"/>
      <c r="M9" s="1502"/>
      <c r="N9" s="1502"/>
      <c r="O9" s="1502"/>
      <c r="P9" s="1502"/>
      <c r="Q9" s="1502"/>
      <c r="R9" s="1502"/>
    </row>
    <row r="10" spans="2:18" ht="13.8" x14ac:dyDescent="0.3">
      <c r="B10" s="5" t="s">
        <v>50</v>
      </c>
      <c r="C10" s="58"/>
      <c r="D10" s="824"/>
      <c r="E10" s="862"/>
      <c r="F10" s="496"/>
      <c r="G10" s="496"/>
      <c r="H10" s="496"/>
      <c r="I10" s="452"/>
      <c r="M10" s="1502"/>
      <c r="N10" s="1502"/>
      <c r="O10" s="1502"/>
      <c r="P10" s="1502"/>
      <c r="Q10" s="1502"/>
      <c r="R10" s="1502"/>
    </row>
    <row r="11" spans="2:18" ht="0.6" customHeight="1" x14ac:dyDescent="0.3">
      <c r="C11" s="861"/>
      <c r="D11" s="496"/>
      <c r="E11" s="862"/>
      <c r="F11" s="496"/>
      <c r="G11" s="496"/>
      <c r="H11" s="496"/>
      <c r="I11" s="452"/>
      <c r="M11" s="1502"/>
      <c r="N11" s="1502"/>
      <c r="O11" s="1502"/>
      <c r="P11" s="1502"/>
      <c r="Q11" s="1502"/>
      <c r="R11" s="1502"/>
    </row>
    <row r="12" spans="2:18" ht="14.55" customHeight="1" x14ac:dyDescent="0.3">
      <c r="B12" s="1480" t="s">
        <v>51</v>
      </c>
      <c r="C12" s="1505" t="s">
        <v>52</v>
      </c>
      <c r="D12" s="1505" t="s">
        <v>53</v>
      </c>
      <c r="E12" s="1507" t="s">
        <v>54</v>
      </c>
      <c r="F12" s="1508" t="s">
        <v>55</v>
      </c>
      <c r="G12" s="1508"/>
      <c r="H12" s="1508"/>
      <c r="I12" s="1505" t="s">
        <v>56</v>
      </c>
      <c r="M12" s="1502"/>
      <c r="N12" s="1502"/>
      <c r="O12" s="1502"/>
      <c r="P12" s="1502"/>
      <c r="Q12" s="1502"/>
      <c r="R12" s="1502"/>
    </row>
    <row r="13" spans="2:18" ht="30" customHeight="1" x14ac:dyDescent="0.3">
      <c r="B13" s="1480"/>
      <c r="C13" s="1505"/>
      <c r="D13" s="1505"/>
      <c r="E13" s="1507"/>
      <c r="F13" s="863" t="s">
        <v>57</v>
      </c>
      <c r="G13" s="863" t="s">
        <v>58</v>
      </c>
      <c r="H13" s="863" t="s">
        <v>59</v>
      </c>
      <c r="I13" s="1505"/>
      <c r="M13" s="1502"/>
      <c r="N13" s="1502"/>
      <c r="O13" s="1502"/>
      <c r="P13" s="1502"/>
      <c r="Q13" s="1502"/>
      <c r="R13" s="1502"/>
    </row>
    <row r="14" spans="2:18" x14ac:dyDescent="0.3">
      <c r="B14" s="864"/>
      <c r="C14" s="1492" t="s">
        <v>60</v>
      </c>
      <c r="D14" s="1492"/>
      <c r="E14" s="1492"/>
      <c r="F14" s="1492"/>
      <c r="G14" s="1492"/>
      <c r="H14" s="1492"/>
      <c r="I14" s="1506"/>
      <c r="M14" s="1502"/>
      <c r="N14" s="1502"/>
      <c r="O14" s="1502"/>
      <c r="P14" s="1502"/>
      <c r="Q14" s="1502"/>
      <c r="R14" s="1502"/>
    </row>
    <row r="15" spans="2:18" ht="18" customHeight="1" x14ac:dyDescent="0.3">
      <c r="B15" s="1483"/>
      <c r="C15" s="1467" t="s">
        <v>61</v>
      </c>
      <c r="D15" s="817" t="s">
        <v>62</v>
      </c>
      <c r="E15" s="865" t="s">
        <v>1412</v>
      </c>
      <c r="F15" s="1509" t="s">
        <v>63</v>
      </c>
      <c r="G15" s="1509"/>
      <c r="H15" s="1509"/>
      <c r="I15" s="1509"/>
    </row>
    <row r="16" spans="2:18" ht="18" customHeight="1" x14ac:dyDescent="0.3">
      <c r="B16" s="1483"/>
      <c r="C16" s="1467"/>
      <c r="D16" s="817" t="s">
        <v>64</v>
      </c>
      <c r="E16" s="865" t="s">
        <v>1327</v>
      </c>
      <c r="F16" s="1509"/>
      <c r="G16" s="1509"/>
      <c r="H16" s="1509"/>
      <c r="I16" s="1509"/>
    </row>
    <row r="17" spans="2:10" ht="18" customHeight="1" x14ac:dyDescent="0.3">
      <c r="B17" s="1483"/>
      <c r="C17" s="1467"/>
      <c r="D17" s="817" t="s">
        <v>65</v>
      </c>
      <c r="E17" s="865" t="s">
        <v>1328</v>
      </c>
      <c r="F17" s="1509"/>
      <c r="G17" s="1509"/>
      <c r="H17" s="1509"/>
      <c r="I17" s="1509"/>
      <c r="J17" s="505"/>
    </row>
    <row r="18" spans="2:10" ht="61.8" customHeight="1" x14ac:dyDescent="0.3">
      <c r="B18" s="1483"/>
      <c r="C18" s="1467"/>
      <c r="D18" s="817" t="s">
        <v>66</v>
      </c>
      <c r="E18" s="865" t="s">
        <v>1329</v>
      </c>
      <c r="F18" s="1509"/>
      <c r="G18" s="1509"/>
      <c r="H18" s="1509"/>
      <c r="I18" s="1509"/>
    </row>
    <row r="19" spans="2:10" ht="18" customHeight="1" x14ac:dyDescent="0.3">
      <c r="B19" s="1483"/>
      <c r="C19" s="1467"/>
      <c r="D19" s="817" t="s">
        <v>67</v>
      </c>
      <c r="E19" s="865" t="s">
        <v>1330</v>
      </c>
      <c r="F19" s="1509"/>
      <c r="G19" s="1509"/>
      <c r="H19" s="1509"/>
      <c r="I19" s="1509"/>
    </row>
    <row r="20" spans="2:10" ht="18" customHeight="1" x14ac:dyDescent="0.3">
      <c r="B20" s="1483"/>
      <c r="C20" s="1467"/>
      <c r="D20" s="817" t="s">
        <v>68</v>
      </c>
      <c r="E20" s="865" t="s">
        <v>1331</v>
      </c>
      <c r="F20" s="866"/>
      <c r="G20" s="866"/>
      <c r="H20" s="866"/>
      <c r="I20" s="1468"/>
    </row>
    <row r="21" spans="2:10" ht="29.55" customHeight="1" x14ac:dyDescent="0.3">
      <c r="B21" s="1483"/>
      <c r="C21" s="1467"/>
      <c r="D21" s="817" t="s">
        <v>69</v>
      </c>
      <c r="E21" s="865" t="s">
        <v>1413</v>
      </c>
      <c r="F21" s="866"/>
      <c r="G21" s="866"/>
      <c r="H21" s="866"/>
      <c r="I21" s="1468"/>
    </row>
    <row r="22" spans="2:10" ht="13.8" x14ac:dyDescent="0.3">
      <c r="B22" s="1483"/>
      <c r="C22" s="1467"/>
      <c r="D22" s="817" t="s">
        <v>70</v>
      </c>
      <c r="E22" s="865" t="s">
        <v>173</v>
      </c>
      <c r="F22" s="866"/>
      <c r="G22" s="866"/>
      <c r="H22" s="866"/>
      <c r="I22" s="1468"/>
    </row>
    <row r="23" spans="2:10" ht="18" customHeight="1" x14ac:dyDescent="0.3">
      <c r="B23" s="1483"/>
      <c r="C23" s="1467"/>
      <c r="D23" s="817" t="s">
        <v>71</v>
      </c>
      <c r="E23" s="865" t="s">
        <v>1332</v>
      </c>
      <c r="F23" s="866"/>
      <c r="G23" s="866"/>
      <c r="H23" s="866"/>
      <c r="I23" s="1468"/>
    </row>
    <row r="24" spans="2:10" ht="18" customHeight="1" x14ac:dyDescent="0.3">
      <c r="B24" s="1483"/>
      <c r="C24" s="1467"/>
      <c r="D24" s="867" t="s">
        <v>72</v>
      </c>
      <c r="E24" s="865" t="s">
        <v>1333</v>
      </c>
      <c r="F24" s="866"/>
      <c r="G24" s="866"/>
      <c r="H24" s="866"/>
      <c r="I24" s="1468"/>
    </row>
    <row r="25" spans="2:10" ht="18" customHeight="1" x14ac:dyDescent="0.3">
      <c r="B25" s="1483"/>
      <c r="C25" s="1467"/>
      <c r="D25" s="867" t="s">
        <v>73</v>
      </c>
      <c r="E25" s="865" t="s">
        <v>1334</v>
      </c>
      <c r="F25" s="866"/>
      <c r="G25" s="866"/>
      <c r="H25" s="866"/>
      <c r="I25" s="1468"/>
    </row>
    <row r="26" spans="2:10" ht="25.2" x14ac:dyDescent="0.3">
      <c r="B26" s="1483"/>
      <c r="C26" s="1467"/>
      <c r="D26" s="867" t="s">
        <v>74</v>
      </c>
      <c r="E26" s="865" t="s">
        <v>1335</v>
      </c>
      <c r="F26" s="866"/>
      <c r="G26" s="866"/>
      <c r="H26" s="866"/>
      <c r="I26" s="1468"/>
    </row>
    <row r="27" spans="2:10" ht="18" customHeight="1" x14ac:dyDescent="0.3">
      <c r="B27" s="1483"/>
      <c r="C27" s="1467"/>
      <c r="D27" s="867" t="s">
        <v>75</v>
      </c>
      <c r="E27" s="865" t="s">
        <v>1337</v>
      </c>
      <c r="F27" s="866"/>
      <c r="G27" s="866"/>
      <c r="H27" s="866"/>
      <c r="I27" s="1468"/>
    </row>
    <row r="28" spans="2:10" ht="18" customHeight="1" x14ac:dyDescent="0.3">
      <c r="B28" s="1483"/>
      <c r="C28" s="1467"/>
      <c r="D28" s="867" t="s">
        <v>76</v>
      </c>
      <c r="E28" s="865" t="s">
        <v>1336</v>
      </c>
      <c r="F28" s="866"/>
      <c r="G28" s="866"/>
      <c r="H28" s="866"/>
      <c r="I28" s="1468"/>
    </row>
    <row r="29" spans="2:10" ht="18" customHeight="1" x14ac:dyDescent="0.3">
      <c r="B29" s="1483"/>
      <c r="C29" s="1467"/>
      <c r="D29" s="1465" t="s">
        <v>77</v>
      </c>
      <c r="E29" s="865" t="s">
        <v>1338</v>
      </c>
      <c r="F29" s="1461"/>
      <c r="G29" s="1461"/>
      <c r="H29" s="1461"/>
      <c r="I29" s="1468"/>
    </row>
    <row r="30" spans="2:10" ht="18" customHeight="1" x14ac:dyDescent="0.3">
      <c r="B30" s="1483"/>
      <c r="C30" s="1467"/>
      <c r="D30" s="1465"/>
      <c r="E30" s="868" t="s">
        <v>78</v>
      </c>
      <c r="F30" s="1461"/>
      <c r="G30" s="1461"/>
      <c r="H30" s="1461"/>
      <c r="I30" s="1468"/>
    </row>
    <row r="31" spans="2:10" ht="29.4" customHeight="1" x14ac:dyDescent="0.3">
      <c r="B31" s="1483"/>
      <c r="C31" s="1467"/>
      <c r="D31" s="867" t="s">
        <v>79</v>
      </c>
      <c r="E31" s="865" t="s">
        <v>1339</v>
      </c>
      <c r="F31" s="866"/>
      <c r="G31" s="866"/>
      <c r="H31" s="866"/>
      <c r="I31" s="1468"/>
    </row>
    <row r="32" spans="2:10" ht="18" customHeight="1" x14ac:dyDescent="0.3">
      <c r="B32" s="1483"/>
      <c r="C32" s="1467"/>
      <c r="D32" s="867" t="s">
        <v>80</v>
      </c>
      <c r="E32" s="865" t="s">
        <v>1341</v>
      </c>
      <c r="F32" s="866"/>
      <c r="G32" s="866"/>
      <c r="H32" s="866"/>
      <c r="I32" s="1468"/>
    </row>
    <row r="33" spans="2:9" ht="18" customHeight="1" x14ac:dyDescent="0.3">
      <c r="B33" s="1483"/>
      <c r="C33" s="1467"/>
      <c r="D33" s="867" t="s">
        <v>81</v>
      </c>
      <c r="E33" s="865" t="s">
        <v>1340</v>
      </c>
      <c r="F33" s="866"/>
      <c r="G33" s="866"/>
      <c r="H33" s="866"/>
      <c r="I33" s="1468"/>
    </row>
    <row r="34" spans="2:9" ht="18" customHeight="1" x14ac:dyDescent="0.3">
      <c r="B34" s="1483"/>
      <c r="C34" s="1467"/>
      <c r="D34" s="867" t="s">
        <v>82</v>
      </c>
      <c r="E34" s="865" t="s">
        <v>1342</v>
      </c>
      <c r="F34" s="866"/>
      <c r="G34" s="866"/>
      <c r="H34" s="866"/>
      <c r="I34" s="1468"/>
    </row>
    <row r="35" spans="2:9" ht="18" customHeight="1" x14ac:dyDescent="0.3">
      <c r="B35" s="1483"/>
      <c r="C35" s="1467"/>
      <c r="D35" s="867" t="s">
        <v>83</v>
      </c>
      <c r="E35" s="865" t="s">
        <v>1343</v>
      </c>
      <c r="F35" s="869"/>
      <c r="G35" s="866"/>
      <c r="H35" s="869"/>
      <c r="I35" s="1468"/>
    </row>
    <row r="36" spans="2:9" ht="25.2" x14ac:dyDescent="0.3">
      <c r="B36" s="1483"/>
      <c r="C36" s="1467"/>
      <c r="D36" s="867" t="s">
        <v>84</v>
      </c>
      <c r="E36" s="865" t="s">
        <v>1344</v>
      </c>
      <c r="F36" s="869"/>
      <c r="G36" s="866"/>
      <c r="H36" s="869"/>
      <c r="I36" s="1468"/>
    </row>
    <row r="37" spans="2:9" ht="13.8" x14ac:dyDescent="0.3">
      <c r="B37" s="1483"/>
      <c r="C37" s="1467"/>
      <c r="D37" s="1465" t="s">
        <v>85</v>
      </c>
      <c r="E37" s="865" t="s">
        <v>1346</v>
      </c>
      <c r="F37" s="869"/>
      <c r="G37" s="866"/>
      <c r="H37" s="869"/>
      <c r="I37" s="1468"/>
    </row>
    <row r="38" spans="2:9" ht="13.8" x14ac:dyDescent="0.3">
      <c r="B38" s="1483"/>
      <c r="C38" s="1467"/>
      <c r="D38" s="1465"/>
      <c r="E38" s="816" t="s">
        <v>1362</v>
      </c>
      <c r="F38" s="869"/>
      <c r="G38" s="866"/>
      <c r="H38" s="869"/>
      <c r="I38" s="1468"/>
    </row>
    <row r="39" spans="2:9" ht="18" customHeight="1" x14ac:dyDescent="0.3">
      <c r="B39" s="1483"/>
      <c r="C39" s="1467"/>
      <c r="D39" s="1465" t="s">
        <v>86</v>
      </c>
      <c r="E39" s="865" t="s">
        <v>1345</v>
      </c>
      <c r="F39" s="1464"/>
      <c r="G39" s="1461"/>
      <c r="H39" s="1464"/>
      <c r="I39" s="1468"/>
    </row>
    <row r="40" spans="2:9" ht="18" customHeight="1" x14ac:dyDescent="0.3">
      <c r="B40" s="1483"/>
      <c r="C40" s="1467"/>
      <c r="D40" s="1465"/>
      <c r="E40" s="868" t="s">
        <v>87</v>
      </c>
      <c r="F40" s="1464"/>
      <c r="G40" s="1461"/>
      <c r="H40" s="1464"/>
      <c r="I40" s="1468"/>
    </row>
    <row r="41" spans="2:9" ht="18" customHeight="1" x14ac:dyDescent="0.3">
      <c r="B41" s="1483"/>
      <c r="C41" s="1467"/>
      <c r="D41" s="1465" t="s">
        <v>88</v>
      </c>
      <c r="E41" s="865" t="s">
        <v>1347</v>
      </c>
      <c r="F41" s="869"/>
      <c r="G41" s="866"/>
      <c r="H41" s="869"/>
      <c r="I41" s="1468"/>
    </row>
    <row r="42" spans="2:9" ht="18" customHeight="1" x14ac:dyDescent="0.3">
      <c r="B42" s="1483"/>
      <c r="C42" s="1467"/>
      <c r="D42" s="1465"/>
      <c r="E42" s="868" t="s">
        <v>87</v>
      </c>
      <c r="F42" s="869"/>
      <c r="G42" s="866"/>
      <c r="H42" s="869"/>
      <c r="I42" s="1468"/>
    </row>
    <row r="43" spans="2:9" ht="18" customHeight="1" x14ac:dyDescent="0.3">
      <c r="B43" s="1483"/>
      <c r="C43" s="1467"/>
      <c r="D43" s="1465" t="s">
        <v>89</v>
      </c>
      <c r="E43" s="865" t="s">
        <v>1363</v>
      </c>
      <c r="F43" s="869"/>
      <c r="G43" s="866"/>
      <c r="H43" s="869"/>
      <c r="I43" s="1468"/>
    </row>
    <row r="44" spans="2:9" ht="18" customHeight="1" x14ac:dyDescent="0.3">
      <c r="B44" s="1483"/>
      <c r="C44" s="1467"/>
      <c r="D44" s="1465"/>
      <c r="E44" s="816" t="s">
        <v>1348</v>
      </c>
      <c r="F44" s="869"/>
      <c r="G44" s="866"/>
      <c r="H44" s="869"/>
      <c r="I44" s="1468"/>
    </row>
    <row r="45" spans="2:9" ht="18" customHeight="1" x14ac:dyDescent="0.3">
      <c r="B45" s="1483"/>
      <c r="C45" s="1467"/>
      <c r="D45" s="1465"/>
      <c r="E45" s="816" t="s">
        <v>1349</v>
      </c>
      <c r="F45" s="869"/>
      <c r="G45" s="866"/>
      <c r="H45" s="869"/>
      <c r="I45" s="1468"/>
    </row>
    <row r="46" spans="2:9" ht="18" customHeight="1" x14ac:dyDescent="0.3">
      <c r="B46" s="1483"/>
      <c r="C46" s="1467"/>
      <c r="D46" s="1465" t="s">
        <v>90</v>
      </c>
      <c r="E46" s="865" t="s">
        <v>1363</v>
      </c>
      <c r="F46" s="869"/>
      <c r="G46" s="866"/>
      <c r="H46" s="869"/>
      <c r="I46" s="1468"/>
    </row>
    <row r="47" spans="2:9" ht="18" customHeight="1" x14ac:dyDescent="0.3">
      <c r="B47" s="1483"/>
      <c r="C47" s="1467"/>
      <c r="D47" s="1465"/>
      <c r="E47" s="816" t="s">
        <v>1348</v>
      </c>
      <c r="F47" s="869"/>
      <c r="G47" s="866"/>
      <c r="H47" s="869"/>
      <c r="I47" s="1468"/>
    </row>
    <row r="48" spans="2:9" ht="18" customHeight="1" x14ac:dyDescent="0.3">
      <c r="B48" s="1483"/>
      <c r="C48" s="1467"/>
      <c r="D48" s="1465"/>
      <c r="E48" s="816" t="s">
        <v>1365</v>
      </c>
      <c r="F48" s="869"/>
      <c r="G48" s="866"/>
      <c r="H48" s="869"/>
      <c r="I48" s="1468"/>
    </row>
    <row r="49" spans="2:16" ht="40.200000000000003" customHeight="1" x14ac:dyDescent="0.3">
      <c r="B49" s="1483"/>
      <c r="C49" s="1467"/>
      <c r="D49" s="867" t="s">
        <v>91</v>
      </c>
      <c r="E49" s="865" t="s">
        <v>1364</v>
      </c>
      <c r="F49" s="869"/>
      <c r="G49" s="866"/>
      <c r="H49" s="869"/>
      <c r="I49" s="1468"/>
    </row>
    <row r="50" spans="2:16" ht="32.549999999999997" customHeight="1" x14ac:dyDescent="0.3">
      <c r="B50" s="1483"/>
      <c r="C50" s="1467"/>
      <c r="D50" s="1465" t="s">
        <v>92</v>
      </c>
      <c r="E50" s="871" t="s">
        <v>1361</v>
      </c>
      <c r="F50" s="869"/>
      <c r="G50" s="866"/>
      <c r="H50" s="869"/>
      <c r="I50" s="1468"/>
      <c r="L50" s="1504"/>
      <c r="M50" s="1504"/>
      <c r="N50" s="1504"/>
      <c r="O50" s="1504"/>
      <c r="P50" s="1504"/>
    </row>
    <row r="51" spans="2:16" ht="18" customHeight="1" x14ac:dyDescent="0.3">
      <c r="B51" s="1483"/>
      <c r="C51" s="1467"/>
      <c r="D51" s="1465"/>
      <c r="E51" s="816" t="s">
        <v>1350</v>
      </c>
      <c r="F51" s="869"/>
      <c r="G51" s="866"/>
      <c r="H51" s="869"/>
      <c r="I51" s="1468"/>
      <c r="L51" s="1504"/>
      <c r="M51" s="1504"/>
      <c r="N51" s="1504"/>
      <c r="O51" s="1504"/>
      <c r="P51" s="1504"/>
    </row>
    <row r="52" spans="2:16" ht="13.8" x14ac:dyDescent="0.3">
      <c r="B52" s="1483"/>
      <c r="C52" s="1467"/>
      <c r="D52" s="1465" t="s">
        <v>93</v>
      </c>
      <c r="E52" s="865" t="s">
        <v>1351</v>
      </c>
      <c r="F52" s="869"/>
      <c r="G52" s="866"/>
      <c r="H52" s="869"/>
      <c r="I52" s="1468"/>
      <c r="L52" s="1504"/>
      <c r="M52" s="1504"/>
      <c r="N52" s="1504"/>
      <c r="O52" s="1504"/>
      <c r="P52" s="1504"/>
    </row>
    <row r="53" spans="2:16" ht="28.95" customHeight="1" x14ac:dyDescent="0.3">
      <c r="B53" s="1483"/>
      <c r="C53" s="1467"/>
      <c r="D53" s="1465"/>
      <c r="E53" s="871" t="s">
        <v>1361</v>
      </c>
      <c r="F53" s="869"/>
      <c r="G53" s="866"/>
      <c r="H53" s="869"/>
      <c r="I53" s="1468"/>
      <c r="L53" s="1504"/>
      <c r="M53" s="1504"/>
      <c r="N53" s="1504"/>
      <c r="O53" s="1504"/>
      <c r="P53" s="1504"/>
    </row>
    <row r="54" spans="2:16" ht="13.8" x14ac:dyDescent="0.3">
      <c r="B54" s="1483"/>
      <c r="C54" s="1467"/>
      <c r="D54" s="1465"/>
      <c r="E54" s="816" t="s">
        <v>1350</v>
      </c>
      <c r="F54" s="869"/>
      <c r="G54" s="866"/>
      <c r="H54" s="869"/>
      <c r="I54" s="1468"/>
      <c r="L54" s="1504"/>
      <c r="M54" s="1504"/>
      <c r="N54" s="1504"/>
      <c r="O54" s="1504"/>
      <c r="P54" s="1504"/>
    </row>
    <row r="55" spans="2:16" ht="31.8" customHeight="1" x14ac:dyDescent="0.3">
      <c r="B55" s="1483"/>
      <c r="C55" s="1467"/>
      <c r="D55" s="1465" t="s">
        <v>94</v>
      </c>
      <c r="E55" s="865" t="s">
        <v>1352</v>
      </c>
      <c r="F55" s="869"/>
      <c r="G55" s="866"/>
      <c r="H55" s="869"/>
      <c r="I55" s="1468"/>
      <c r="L55" s="1504"/>
      <c r="M55" s="1504"/>
      <c r="N55" s="1504"/>
      <c r="O55" s="1504"/>
      <c r="P55" s="1504"/>
    </row>
    <row r="56" spans="2:16" ht="31.8" customHeight="1" x14ac:dyDescent="0.3">
      <c r="B56" s="873"/>
      <c r="C56" s="1467"/>
      <c r="D56" s="1465"/>
      <c r="E56" s="871" t="s">
        <v>1366</v>
      </c>
      <c r="F56" s="869"/>
      <c r="G56" s="866"/>
      <c r="H56" s="869"/>
      <c r="I56" s="1468"/>
      <c r="L56" s="872"/>
      <c r="M56" s="872"/>
      <c r="N56" s="872"/>
      <c r="O56" s="872"/>
      <c r="P56" s="872"/>
    </row>
    <row r="57" spans="2:16" ht="23.1" customHeight="1" x14ac:dyDescent="0.3">
      <c r="B57" s="874"/>
      <c r="C57" s="875" t="s">
        <v>95</v>
      </c>
      <c r="D57" s="876"/>
      <c r="E57" s="877"/>
      <c r="F57" s="876"/>
      <c r="G57" s="876"/>
      <c r="H57" s="876"/>
      <c r="I57" s="878"/>
    </row>
    <row r="58" spans="2:16" ht="17.399999999999999" customHeight="1" x14ac:dyDescent="0.3">
      <c r="B58" s="1524"/>
      <c r="C58" s="1514" t="s">
        <v>96</v>
      </c>
      <c r="D58" s="867" t="s">
        <v>97</v>
      </c>
      <c r="E58" s="865" t="s">
        <v>1353</v>
      </c>
      <c r="F58" s="1510" t="s">
        <v>63</v>
      </c>
      <c r="G58" s="1510"/>
      <c r="H58" s="1510"/>
      <c r="I58" s="1511"/>
      <c r="J58" s="505"/>
    </row>
    <row r="59" spans="2:16" ht="28.8" customHeight="1" x14ac:dyDescent="0.3">
      <c r="B59" s="1525"/>
      <c r="C59" s="1515"/>
      <c r="D59" s="879" t="s">
        <v>98</v>
      </c>
      <c r="E59" s="865" t="s">
        <v>1354</v>
      </c>
      <c r="F59" s="1512"/>
      <c r="G59" s="1512"/>
      <c r="H59" s="1512"/>
      <c r="I59" s="1513"/>
      <c r="L59" s="1503"/>
      <c r="M59" s="1503"/>
      <c r="N59" s="1503"/>
      <c r="O59" s="1503"/>
    </row>
    <row r="60" spans="2:16" ht="13.5" customHeight="1" x14ac:dyDescent="0.3">
      <c r="B60" s="1446" t="s">
        <v>99</v>
      </c>
      <c r="C60" s="1462" t="s">
        <v>100</v>
      </c>
      <c r="D60" s="1462"/>
      <c r="E60" s="1462"/>
      <c r="F60" s="1462"/>
      <c r="G60" s="1462"/>
      <c r="H60" s="1462"/>
      <c r="I60" s="1462"/>
    </row>
    <row r="61" spans="2:16" ht="19.8" customHeight="1" x14ac:dyDescent="0.3">
      <c r="B61" s="1447"/>
      <c r="C61" s="881" t="s">
        <v>96</v>
      </c>
      <c r="D61" s="817" t="s">
        <v>101</v>
      </c>
      <c r="E61" s="865" t="s">
        <v>1355</v>
      </c>
      <c r="F61" s="869"/>
      <c r="G61" s="869"/>
      <c r="H61" s="869"/>
      <c r="I61" s="869"/>
    </row>
    <row r="62" spans="2:16" ht="19.8" customHeight="1" x14ac:dyDescent="0.3">
      <c r="B62" s="1447"/>
      <c r="C62" s="1463" t="s">
        <v>102</v>
      </c>
      <c r="D62" s="817" t="s">
        <v>103</v>
      </c>
      <c r="E62" s="865" t="s">
        <v>1356</v>
      </c>
      <c r="F62" s="869"/>
      <c r="G62" s="869"/>
      <c r="H62" s="869"/>
      <c r="I62" s="869"/>
    </row>
    <row r="63" spans="2:16" ht="28.8" customHeight="1" x14ac:dyDescent="0.3">
      <c r="B63" s="1447"/>
      <c r="C63" s="1463"/>
      <c r="D63" s="817" t="s">
        <v>104</v>
      </c>
      <c r="E63" s="865" t="s">
        <v>1357</v>
      </c>
      <c r="F63" s="869"/>
      <c r="G63" s="869"/>
      <c r="H63" s="869"/>
      <c r="I63" s="869"/>
    </row>
    <row r="64" spans="2:16" ht="18" customHeight="1" x14ac:dyDescent="0.3">
      <c r="B64" s="1447"/>
      <c r="C64" s="1463"/>
      <c r="D64" s="817" t="s">
        <v>105</v>
      </c>
      <c r="E64" s="883" t="s">
        <v>1367</v>
      </c>
      <c r="F64" s="869"/>
      <c r="G64" s="869"/>
      <c r="H64" s="869"/>
      <c r="I64" s="869"/>
    </row>
    <row r="65" spans="2:14" ht="17.100000000000001" customHeight="1" x14ac:dyDescent="0.3">
      <c r="B65" s="1447"/>
      <c r="C65" s="1463"/>
      <c r="D65" s="679" t="s">
        <v>106</v>
      </c>
      <c r="E65" s="865" t="s">
        <v>1368</v>
      </c>
      <c r="F65" s="869"/>
      <c r="G65" s="869"/>
      <c r="H65" s="869"/>
      <c r="I65" s="869"/>
    </row>
    <row r="66" spans="2:14" ht="17.399999999999999" customHeight="1" x14ac:dyDescent="0.3">
      <c r="B66" s="1447"/>
      <c r="C66" s="1466" t="s">
        <v>251</v>
      </c>
      <c r="D66" s="1462"/>
      <c r="E66" s="1462"/>
      <c r="F66" s="1462"/>
      <c r="G66" s="1462"/>
      <c r="H66" s="1462"/>
      <c r="I66" s="1462"/>
    </row>
    <row r="67" spans="2:14" ht="17.399999999999999" customHeight="1" x14ac:dyDescent="0.3">
      <c r="B67" s="1447"/>
      <c r="C67" s="884" t="s">
        <v>96</v>
      </c>
      <c r="D67" s="817" t="s">
        <v>101</v>
      </c>
      <c r="E67" s="865" t="s">
        <v>1369</v>
      </c>
      <c r="F67" s="885"/>
      <c r="G67" s="885"/>
      <c r="H67" s="885"/>
      <c r="I67" s="885"/>
    </row>
    <row r="68" spans="2:14" ht="24" customHeight="1" x14ac:dyDescent="0.3">
      <c r="B68" s="1447"/>
      <c r="C68" s="884" t="s">
        <v>252</v>
      </c>
      <c r="D68" s="817" t="s">
        <v>253</v>
      </c>
      <c r="E68" s="865" t="s">
        <v>1370</v>
      </c>
      <c r="F68" s="885"/>
      <c r="G68" s="885"/>
      <c r="H68" s="885"/>
      <c r="I68" s="885"/>
    </row>
    <row r="69" spans="2:14" ht="13.5" customHeight="1" x14ac:dyDescent="0.3">
      <c r="B69" s="1447"/>
      <c r="C69" s="1462" t="s">
        <v>107</v>
      </c>
      <c r="D69" s="1462"/>
      <c r="E69" s="1462"/>
      <c r="F69" s="1462"/>
      <c r="G69" s="1462"/>
      <c r="H69" s="1462"/>
      <c r="I69" s="1462"/>
      <c r="L69" s="880"/>
      <c r="M69" s="880"/>
      <c r="N69" s="880"/>
    </row>
    <row r="70" spans="2:14" ht="19.8" x14ac:dyDescent="0.3">
      <c r="B70" s="1447"/>
      <c r="C70" s="1463" t="s">
        <v>96</v>
      </c>
      <c r="D70" s="1477" t="s">
        <v>101</v>
      </c>
      <c r="E70" s="865" t="s">
        <v>1371</v>
      </c>
      <c r="F70" s="866"/>
      <c r="G70" s="866"/>
      <c r="H70" s="866"/>
      <c r="I70" s="866"/>
      <c r="L70" s="880"/>
      <c r="M70" s="880"/>
      <c r="N70" s="880"/>
    </row>
    <row r="71" spans="2:14" ht="19.8" x14ac:dyDescent="0.3">
      <c r="B71" s="1447"/>
      <c r="C71" s="1463"/>
      <c r="D71" s="1477"/>
      <c r="E71" s="868" t="s">
        <v>108</v>
      </c>
      <c r="F71" s="866"/>
      <c r="G71" s="866"/>
      <c r="H71" s="866"/>
      <c r="I71" s="866"/>
      <c r="L71" s="880"/>
      <c r="M71" s="880"/>
      <c r="N71" s="880"/>
    </row>
    <row r="72" spans="2:14" ht="19.8" x14ac:dyDescent="0.3">
      <c r="B72" s="1447"/>
      <c r="C72" s="1459" t="s">
        <v>109</v>
      </c>
      <c r="D72" s="869" t="s">
        <v>110</v>
      </c>
      <c r="E72" s="865" t="s">
        <v>1363</v>
      </c>
      <c r="F72" s="866"/>
      <c r="G72" s="866"/>
      <c r="H72" s="866"/>
      <c r="I72" s="866"/>
      <c r="L72" s="880"/>
      <c r="M72" s="880"/>
      <c r="N72" s="880"/>
    </row>
    <row r="73" spans="2:14" ht="19.8" x14ac:dyDescent="0.3">
      <c r="B73" s="1447"/>
      <c r="C73" s="1459"/>
      <c r="D73" s="869" t="s">
        <v>111</v>
      </c>
      <c r="E73" s="865" t="s">
        <v>173</v>
      </c>
      <c r="F73" s="866"/>
      <c r="G73" s="866"/>
      <c r="H73" s="866"/>
      <c r="I73" s="866"/>
      <c r="L73" s="880"/>
      <c r="M73" s="880"/>
      <c r="N73" s="880"/>
    </row>
    <row r="74" spans="2:14" ht="19.8" x14ac:dyDescent="0.3">
      <c r="B74" s="1447"/>
      <c r="C74" s="1463"/>
      <c r="D74" s="869" t="s">
        <v>112</v>
      </c>
      <c r="E74" s="865" t="s">
        <v>1363</v>
      </c>
      <c r="F74" s="866"/>
      <c r="G74" s="866"/>
      <c r="H74" s="866"/>
      <c r="I74" s="866"/>
      <c r="L74" s="880"/>
      <c r="M74" s="880"/>
      <c r="N74" s="880"/>
    </row>
    <row r="75" spans="2:14" ht="17.55" customHeight="1" x14ac:dyDescent="0.3">
      <c r="B75" s="1447"/>
      <c r="C75" s="1470" t="s">
        <v>113</v>
      </c>
      <c r="D75" s="1471"/>
      <c r="E75" s="1471"/>
      <c r="F75" s="1471"/>
      <c r="G75" s="1471"/>
      <c r="H75" s="1471"/>
      <c r="I75" s="1472"/>
    </row>
    <row r="76" spans="2:14" ht="17.55" customHeight="1" x14ac:dyDescent="0.3">
      <c r="B76" s="1447"/>
      <c r="C76" s="884" t="s">
        <v>96</v>
      </c>
      <c r="D76" s="817" t="s">
        <v>101</v>
      </c>
      <c r="E76" s="865" t="s">
        <v>1369</v>
      </c>
      <c r="F76" s="869"/>
      <c r="G76" s="869"/>
      <c r="H76" s="869"/>
      <c r="I76" s="869"/>
    </row>
    <row r="77" spans="2:14" ht="33" customHeight="1" x14ac:dyDescent="0.3">
      <c r="B77" s="1447"/>
      <c r="C77" s="886" t="s">
        <v>114</v>
      </c>
      <c r="D77" s="817" t="s">
        <v>115</v>
      </c>
      <c r="E77" s="865" t="s">
        <v>1363</v>
      </c>
      <c r="F77" s="869"/>
      <c r="G77" s="869"/>
      <c r="H77" s="869"/>
      <c r="I77" s="869"/>
    </row>
    <row r="78" spans="2:14" ht="17.399999999999999" customHeight="1" x14ac:dyDescent="0.3">
      <c r="B78" s="1447"/>
      <c r="C78" s="1466" t="s">
        <v>264</v>
      </c>
      <c r="D78" s="1462"/>
      <c r="E78" s="1462"/>
      <c r="F78" s="1462"/>
      <c r="G78" s="1462"/>
      <c r="H78" s="1462"/>
      <c r="I78" s="1462"/>
    </row>
    <row r="79" spans="2:14" ht="17.399999999999999" customHeight="1" x14ac:dyDescent="0.3">
      <c r="B79" s="1447"/>
      <c r="C79" s="887" t="s">
        <v>96</v>
      </c>
      <c r="D79" s="817" t="s">
        <v>101</v>
      </c>
      <c r="E79" s="883" t="s">
        <v>1369</v>
      </c>
      <c r="F79" s="866"/>
      <c r="G79" s="866"/>
      <c r="H79" s="866"/>
      <c r="I79" s="866"/>
    </row>
    <row r="80" spans="2:14" ht="17.399999999999999" customHeight="1" x14ac:dyDescent="0.3">
      <c r="B80" s="1448"/>
      <c r="C80" s="887" t="s">
        <v>265</v>
      </c>
      <c r="D80" s="817" t="s">
        <v>266</v>
      </c>
      <c r="E80" s="883" t="s">
        <v>1372</v>
      </c>
      <c r="F80" s="866"/>
      <c r="G80" s="866"/>
      <c r="H80" s="866"/>
      <c r="I80" s="866"/>
    </row>
    <row r="81" spans="2:9" ht="13.8" x14ac:dyDescent="0.3">
      <c r="B81" s="1484" t="s">
        <v>36</v>
      </c>
      <c r="C81" s="1462" t="s">
        <v>116</v>
      </c>
      <c r="D81" s="1462"/>
      <c r="E81" s="1462"/>
      <c r="F81" s="1462"/>
      <c r="G81" s="1462"/>
      <c r="H81" s="1462"/>
      <c r="I81" s="1462"/>
    </row>
    <row r="82" spans="2:9" ht="19.8" customHeight="1" x14ac:dyDescent="0.3">
      <c r="B82" s="1485"/>
      <c r="C82" s="881" t="s">
        <v>96</v>
      </c>
      <c r="D82" s="869" t="s">
        <v>101</v>
      </c>
      <c r="E82" s="865" t="s">
        <v>1373</v>
      </c>
      <c r="F82" s="866"/>
      <c r="G82" s="866"/>
      <c r="H82" s="866"/>
      <c r="I82" s="866"/>
    </row>
    <row r="83" spans="2:9" ht="37.799999999999997" x14ac:dyDescent="0.3">
      <c r="B83" s="1485"/>
      <c r="C83" s="1463" t="s">
        <v>117</v>
      </c>
      <c r="D83" s="679" t="s">
        <v>118</v>
      </c>
      <c r="E83" s="865"/>
      <c r="F83" s="888" t="s">
        <v>119</v>
      </c>
      <c r="G83" s="889" t="s">
        <v>120</v>
      </c>
      <c r="H83" s="865" t="s">
        <v>121</v>
      </c>
      <c r="I83" s="866"/>
    </row>
    <row r="84" spans="2:9" ht="19.8" customHeight="1" x14ac:dyDescent="0.3">
      <c r="B84" s="1485"/>
      <c r="C84" s="1463"/>
      <c r="D84" s="869" t="s">
        <v>122</v>
      </c>
      <c r="E84" s="865" t="s">
        <v>1374</v>
      </c>
      <c r="F84" s="883"/>
      <c r="G84" s="883"/>
      <c r="H84" s="883"/>
      <c r="I84" s="866"/>
    </row>
    <row r="85" spans="2:9" ht="37.799999999999997" x14ac:dyDescent="0.3">
      <c r="B85" s="1482"/>
      <c r="C85" s="1463"/>
      <c r="D85" s="869" t="s">
        <v>123</v>
      </c>
      <c r="E85" s="865" t="s">
        <v>1374</v>
      </c>
      <c r="F85" s="865" t="s">
        <v>124</v>
      </c>
      <c r="G85" s="865" t="s">
        <v>120</v>
      </c>
      <c r="H85" s="865" t="s">
        <v>125</v>
      </c>
      <c r="I85" s="866"/>
    </row>
    <row r="86" spans="2:9" ht="13.8" x14ac:dyDescent="0.3">
      <c r="B86" s="1481" t="s">
        <v>32</v>
      </c>
      <c r="C86" s="1462" t="s">
        <v>126</v>
      </c>
      <c r="D86" s="1462"/>
      <c r="E86" s="1462"/>
      <c r="F86" s="1462"/>
      <c r="G86" s="1462"/>
      <c r="H86" s="1462"/>
      <c r="I86" s="1462"/>
    </row>
    <row r="87" spans="2:9" ht="20.55" customHeight="1" x14ac:dyDescent="0.3">
      <c r="B87" s="1482"/>
      <c r="C87" s="881" t="s">
        <v>96</v>
      </c>
      <c r="D87" s="817" t="s">
        <v>101</v>
      </c>
      <c r="E87" s="865" t="s">
        <v>1375</v>
      </c>
      <c r="F87" s="866"/>
      <c r="G87" s="866"/>
      <c r="H87" s="866"/>
      <c r="I87" s="866"/>
    </row>
    <row r="88" spans="2:9" ht="29.55" customHeight="1" x14ac:dyDescent="0.3">
      <c r="B88" s="1482"/>
      <c r="C88" s="1463" t="s">
        <v>127</v>
      </c>
      <c r="D88" s="817" t="s">
        <v>128</v>
      </c>
      <c r="E88" s="865" t="s">
        <v>1415</v>
      </c>
      <c r="F88" s="866"/>
      <c r="G88" s="866"/>
      <c r="H88" s="866"/>
      <c r="I88" s="866"/>
    </row>
    <row r="89" spans="2:9" ht="29.55" customHeight="1" x14ac:dyDescent="0.3">
      <c r="B89" s="1482"/>
      <c r="C89" s="1463"/>
      <c r="D89" s="817" t="s">
        <v>129</v>
      </c>
      <c r="E89" s="865" t="s">
        <v>1376</v>
      </c>
      <c r="F89" s="866"/>
      <c r="G89" s="866"/>
      <c r="H89" s="866"/>
      <c r="I89" s="866"/>
    </row>
    <row r="90" spans="2:9" ht="29.55" customHeight="1" x14ac:dyDescent="0.3">
      <c r="B90" s="1482"/>
      <c r="C90" s="1463"/>
      <c r="D90" s="817" t="s">
        <v>130</v>
      </c>
      <c r="E90" s="865" t="s">
        <v>1415</v>
      </c>
      <c r="F90" s="866"/>
      <c r="G90" s="866"/>
      <c r="H90" s="866"/>
      <c r="I90" s="866"/>
    </row>
    <row r="91" spans="2:9" ht="29.55" customHeight="1" x14ac:dyDescent="0.3">
      <c r="B91" s="1482"/>
      <c r="C91" s="1463"/>
      <c r="D91" s="817" t="s">
        <v>131</v>
      </c>
      <c r="E91" s="865" t="s">
        <v>1415</v>
      </c>
      <c r="F91" s="866"/>
      <c r="G91" s="866"/>
      <c r="H91" s="866"/>
      <c r="I91" s="866"/>
    </row>
    <row r="92" spans="2:9" ht="31.8" customHeight="1" x14ac:dyDescent="0.3">
      <c r="B92" s="1482"/>
      <c r="C92" s="1463"/>
      <c r="D92" s="817" t="s">
        <v>132</v>
      </c>
      <c r="E92" s="865"/>
      <c r="F92" s="890" t="s">
        <v>1377</v>
      </c>
      <c r="G92" s="889" t="s">
        <v>120</v>
      </c>
      <c r="H92" s="865" t="s">
        <v>121</v>
      </c>
      <c r="I92" s="866"/>
    </row>
    <row r="93" spans="2:9" ht="13.8" x14ac:dyDescent="0.3">
      <c r="B93" s="1481" t="s">
        <v>34</v>
      </c>
      <c r="C93" s="1462" t="s">
        <v>133</v>
      </c>
      <c r="D93" s="1462"/>
      <c r="E93" s="1462"/>
      <c r="F93" s="1462"/>
      <c r="G93" s="1462"/>
      <c r="H93" s="1462"/>
      <c r="I93" s="1462"/>
    </row>
    <row r="94" spans="2:9" ht="27.6" customHeight="1" x14ac:dyDescent="0.3">
      <c r="B94" s="1482"/>
      <c r="C94" s="881" t="s">
        <v>96</v>
      </c>
      <c r="D94" s="817" t="s">
        <v>101</v>
      </c>
      <c r="E94" s="865" t="s">
        <v>1378</v>
      </c>
      <c r="F94" s="866"/>
      <c r="G94" s="866"/>
      <c r="H94" s="866"/>
      <c r="I94" s="866"/>
    </row>
    <row r="95" spans="2:9" ht="30" customHeight="1" x14ac:dyDescent="0.3">
      <c r="B95" s="1482"/>
      <c r="C95" s="1463" t="s">
        <v>134</v>
      </c>
      <c r="D95" s="817" t="s">
        <v>135</v>
      </c>
      <c r="E95" s="865" t="s">
        <v>1379</v>
      </c>
      <c r="F95" s="866"/>
      <c r="G95" s="866"/>
      <c r="H95" s="866"/>
      <c r="I95" s="866"/>
    </row>
    <row r="96" spans="2:9" ht="30" customHeight="1" x14ac:dyDescent="0.3">
      <c r="B96" s="1482"/>
      <c r="C96" s="1463"/>
      <c r="D96" s="817" t="s">
        <v>136</v>
      </c>
      <c r="E96" s="865" t="s">
        <v>1379</v>
      </c>
      <c r="F96" s="866"/>
      <c r="G96" s="866"/>
      <c r="H96" s="866"/>
      <c r="I96" s="866"/>
    </row>
    <row r="97" spans="2:9" ht="30" customHeight="1" x14ac:dyDescent="0.3">
      <c r="B97" s="1482"/>
      <c r="C97" s="1463"/>
      <c r="D97" s="817" t="s">
        <v>137</v>
      </c>
      <c r="E97" s="865" t="s">
        <v>1379</v>
      </c>
      <c r="F97" s="866"/>
      <c r="G97" s="866"/>
      <c r="H97" s="866"/>
      <c r="I97" s="866"/>
    </row>
    <row r="98" spans="2:9" ht="30" customHeight="1" x14ac:dyDescent="0.3">
      <c r="B98" s="1482"/>
      <c r="C98" s="1463"/>
      <c r="D98" s="817" t="s">
        <v>138</v>
      </c>
      <c r="E98" s="865" t="s">
        <v>1379</v>
      </c>
      <c r="F98" s="866"/>
      <c r="G98" s="866"/>
      <c r="H98" s="866"/>
      <c r="I98" s="866"/>
    </row>
    <row r="99" spans="2:9" ht="30" customHeight="1" x14ac:dyDescent="0.3">
      <c r="B99" s="1482"/>
      <c r="C99" s="1463"/>
      <c r="D99" s="817" t="s">
        <v>139</v>
      </c>
      <c r="E99" s="865" t="s">
        <v>1379</v>
      </c>
      <c r="F99" s="866"/>
      <c r="G99" s="866"/>
      <c r="H99" s="866"/>
      <c r="I99" s="866"/>
    </row>
    <row r="100" spans="2:9" ht="13.5" customHeight="1" x14ac:dyDescent="0.3">
      <c r="B100" s="1449" t="s">
        <v>33</v>
      </c>
      <c r="C100" s="1462" t="s">
        <v>140</v>
      </c>
      <c r="D100" s="1462"/>
      <c r="E100" s="1462"/>
      <c r="F100" s="1462"/>
      <c r="G100" s="1462"/>
      <c r="H100" s="1462"/>
      <c r="I100" s="1462"/>
    </row>
    <row r="101" spans="2:9" ht="30.6" customHeight="1" x14ac:dyDescent="0.3">
      <c r="B101" s="1450"/>
      <c r="C101" s="881" t="s">
        <v>96</v>
      </c>
      <c r="D101" s="817" t="s">
        <v>101</v>
      </c>
      <c r="E101" s="865" t="s">
        <v>1380</v>
      </c>
      <c r="F101" s="866"/>
      <c r="G101" s="866"/>
      <c r="H101" s="883"/>
      <c r="I101" s="866"/>
    </row>
    <row r="102" spans="2:9" ht="30.6" customHeight="1" x14ac:dyDescent="0.3">
      <c r="B102" s="1450"/>
      <c r="C102" s="1463" t="s">
        <v>141</v>
      </c>
      <c r="D102" s="817" t="s">
        <v>142</v>
      </c>
      <c r="E102" s="865" t="s">
        <v>1381</v>
      </c>
      <c r="F102" s="866"/>
      <c r="G102" s="866"/>
      <c r="H102" s="883"/>
      <c r="I102" s="866"/>
    </row>
    <row r="103" spans="2:9" ht="30.6" customHeight="1" x14ac:dyDescent="0.3">
      <c r="B103" s="1450"/>
      <c r="C103" s="1463"/>
      <c r="D103" s="817" t="s">
        <v>143</v>
      </c>
      <c r="E103" s="865" t="s">
        <v>1381</v>
      </c>
      <c r="F103" s="866"/>
      <c r="G103" s="866"/>
      <c r="H103" s="883"/>
      <c r="I103" s="866"/>
    </row>
    <row r="104" spans="2:9" ht="30.6" customHeight="1" x14ac:dyDescent="0.3">
      <c r="B104" s="1450"/>
      <c r="C104" s="1463"/>
      <c r="D104" s="817" t="s">
        <v>144</v>
      </c>
      <c r="E104" s="865" t="s">
        <v>1381</v>
      </c>
      <c r="F104" s="866"/>
      <c r="G104" s="866"/>
      <c r="H104" s="883"/>
      <c r="I104" s="866"/>
    </row>
    <row r="105" spans="2:9" ht="30.6" customHeight="1" x14ac:dyDescent="0.3">
      <c r="B105" s="1450"/>
      <c r="C105" s="1463"/>
      <c r="D105" s="817" t="s">
        <v>145</v>
      </c>
      <c r="E105" s="865" t="s">
        <v>1381</v>
      </c>
      <c r="F105" s="866"/>
      <c r="G105" s="866"/>
      <c r="H105" s="883"/>
      <c r="I105" s="866"/>
    </row>
    <row r="106" spans="2:9" ht="30.6" customHeight="1" x14ac:dyDescent="0.3">
      <c r="B106" s="1450"/>
      <c r="C106" s="1463"/>
      <c r="D106" s="817" t="s">
        <v>146</v>
      </c>
      <c r="E106" s="865" t="s">
        <v>1381</v>
      </c>
      <c r="F106" s="866"/>
      <c r="G106" s="866"/>
      <c r="H106" s="883"/>
      <c r="I106" s="866"/>
    </row>
    <row r="107" spans="2:9" ht="68.55" customHeight="1" x14ac:dyDescent="0.3">
      <c r="B107" s="1450"/>
      <c r="C107" s="1463"/>
      <c r="D107" s="817" t="s">
        <v>147</v>
      </c>
      <c r="E107" s="865"/>
      <c r="F107" s="866" t="s">
        <v>1383</v>
      </c>
      <c r="G107" s="883" t="s">
        <v>1382</v>
      </c>
      <c r="H107" s="865" t="s">
        <v>1416</v>
      </c>
      <c r="I107" s="866"/>
    </row>
    <row r="108" spans="2:9" ht="30.6" customHeight="1" x14ac:dyDescent="0.3">
      <c r="B108" s="1450"/>
      <c r="C108" s="1463"/>
      <c r="D108" s="817" t="s">
        <v>148</v>
      </c>
      <c r="E108" s="865" t="s">
        <v>330</v>
      </c>
      <c r="F108" s="866"/>
      <c r="G108" s="866"/>
      <c r="H108" s="883"/>
      <c r="I108" s="866"/>
    </row>
    <row r="109" spans="2:9" ht="13.5" customHeight="1" x14ac:dyDescent="0.3">
      <c r="B109" s="1450"/>
      <c r="C109" s="1462" t="s">
        <v>149</v>
      </c>
      <c r="D109" s="1462"/>
      <c r="E109" s="1462"/>
      <c r="F109" s="1462"/>
      <c r="G109" s="1462"/>
      <c r="H109" s="1462"/>
      <c r="I109" s="1462"/>
    </row>
    <row r="110" spans="2:9" ht="16.2" x14ac:dyDescent="0.3">
      <c r="B110" s="1450"/>
      <c r="C110" s="881" t="s">
        <v>96</v>
      </c>
      <c r="D110" s="817" t="s">
        <v>101</v>
      </c>
      <c r="E110" s="865" t="s">
        <v>1378</v>
      </c>
      <c r="F110" s="866"/>
      <c r="G110" s="866"/>
      <c r="H110" s="883"/>
      <c r="I110" s="866"/>
    </row>
    <row r="111" spans="2:9" ht="29.55" customHeight="1" x14ac:dyDescent="0.3">
      <c r="B111" s="1450"/>
      <c r="C111" s="1463" t="s">
        <v>150</v>
      </c>
      <c r="D111" s="817" t="s">
        <v>151</v>
      </c>
      <c r="E111" s="865" t="s">
        <v>1379</v>
      </c>
      <c r="F111" s="866"/>
      <c r="G111" s="866"/>
      <c r="H111" s="883"/>
      <c r="I111" s="866"/>
    </row>
    <row r="112" spans="2:9" ht="29.55" customHeight="1" x14ac:dyDescent="0.3">
      <c r="B112" s="1450"/>
      <c r="C112" s="1463"/>
      <c r="D112" s="817" t="s">
        <v>152</v>
      </c>
      <c r="E112" s="865" t="s">
        <v>1379</v>
      </c>
      <c r="F112" s="866"/>
      <c r="G112" s="866"/>
      <c r="H112" s="883"/>
      <c r="I112" s="866"/>
    </row>
    <row r="113" spans="2:10" ht="29.55" customHeight="1" x14ac:dyDescent="0.3">
      <c r="B113" s="1450"/>
      <c r="C113" s="1463"/>
      <c r="D113" s="817" t="s">
        <v>153</v>
      </c>
      <c r="E113" s="865" t="s">
        <v>1379</v>
      </c>
      <c r="F113" s="866"/>
      <c r="G113" s="866"/>
      <c r="H113" s="883"/>
      <c r="I113" s="866"/>
    </row>
    <row r="114" spans="2:10" ht="29.55" customHeight="1" x14ac:dyDescent="0.3">
      <c r="B114" s="1450"/>
      <c r="C114" s="1463"/>
      <c r="D114" s="817" t="s">
        <v>154</v>
      </c>
      <c r="E114" s="865" t="s">
        <v>1379</v>
      </c>
      <c r="F114" s="866"/>
      <c r="G114" s="866"/>
      <c r="H114" s="883"/>
      <c r="I114" s="866"/>
    </row>
    <row r="115" spans="2:10" ht="29.55" customHeight="1" x14ac:dyDescent="0.3">
      <c r="B115" s="1451"/>
      <c r="C115" s="1463"/>
      <c r="D115" s="817" t="s">
        <v>155</v>
      </c>
      <c r="E115" s="865" t="s">
        <v>1379</v>
      </c>
      <c r="F115" s="866"/>
      <c r="G115" s="866"/>
      <c r="H115" s="883"/>
      <c r="I115" s="866"/>
    </row>
    <row r="116" spans="2:10" ht="18" customHeight="1" x14ac:dyDescent="0.3">
      <c r="B116" s="1484" t="s">
        <v>35</v>
      </c>
      <c r="C116" s="1462" t="s">
        <v>35</v>
      </c>
      <c r="D116" s="1462"/>
      <c r="E116" s="1462"/>
      <c r="F116" s="1462"/>
      <c r="G116" s="1462"/>
      <c r="H116" s="1462"/>
      <c r="I116" s="1462"/>
    </row>
    <row r="117" spans="2:10" s="891" customFormat="1" ht="19.2" customHeight="1" x14ac:dyDescent="0.3">
      <c r="B117" s="1521"/>
      <c r="C117" s="884" t="s">
        <v>96</v>
      </c>
      <c r="D117" s="817" t="s">
        <v>101</v>
      </c>
      <c r="E117" s="865" t="s">
        <v>1369</v>
      </c>
      <c r="F117" s="866"/>
      <c r="G117" s="866"/>
      <c r="H117" s="883"/>
      <c r="I117" s="866"/>
      <c r="J117" s="58"/>
    </row>
    <row r="118" spans="2:10" ht="21.6" customHeight="1" x14ac:dyDescent="0.3">
      <c r="B118" s="1521"/>
      <c r="C118" s="1516" t="s">
        <v>156</v>
      </c>
      <c r="D118" s="817" t="s">
        <v>157</v>
      </c>
      <c r="E118" s="892" t="s">
        <v>1384</v>
      </c>
      <c r="F118" s="866"/>
      <c r="G118" s="866"/>
      <c r="H118" s="883"/>
      <c r="I118" s="866"/>
    </row>
    <row r="119" spans="2:10" ht="21.6" customHeight="1" x14ac:dyDescent="0.3">
      <c r="B119" s="1521"/>
      <c r="C119" s="1516"/>
      <c r="D119" s="817" t="s">
        <v>158</v>
      </c>
      <c r="E119" s="892" t="s">
        <v>1384</v>
      </c>
      <c r="F119" s="866"/>
      <c r="G119" s="866"/>
      <c r="H119" s="883"/>
      <c r="I119" s="866"/>
    </row>
    <row r="120" spans="2:10" ht="41.4" x14ac:dyDescent="0.3">
      <c r="B120" s="1521"/>
      <c r="C120" s="1516"/>
      <c r="D120" s="869" t="s">
        <v>159</v>
      </c>
      <c r="E120" s="893"/>
      <c r="F120" s="894" t="s">
        <v>200</v>
      </c>
      <c r="G120" s="894" t="s">
        <v>120</v>
      </c>
      <c r="H120" s="1455" t="s">
        <v>1417</v>
      </c>
      <c r="I120" s="894"/>
    </row>
    <row r="121" spans="2:10" ht="41.4" x14ac:dyDescent="0.3">
      <c r="B121" s="1521"/>
      <c r="C121" s="1514"/>
      <c r="D121" s="869" t="s">
        <v>160</v>
      </c>
      <c r="E121" s="893"/>
      <c r="F121" s="894" t="s">
        <v>1385</v>
      </c>
      <c r="G121" s="894" t="s">
        <v>120</v>
      </c>
      <c r="H121" s="1456"/>
      <c r="I121" s="894"/>
    </row>
    <row r="122" spans="2:10" ht="41.4" x14ac:dyDescent="0.3">
      <c r="B122" s="1521"/>
      <c r="C122" s="1514"/>
      <c r="D122" s="869" t="s">
        <v>161</v>
      </c>
      <c r="E122" s="893"/>
      <c r="F122" s="894" t="s">
        <v>1383</v>
      </c>
      <c r="G122" s="894" t="s">
        <v>120</v>
      </c>
      <c r="H122" s="1456"/>
      <c r="I122" s="894"/>
    </row>
    <row r="123" spans="2:10" ht="41.4" x14ac:dyDescent="0.3">
      <c r="B123" s="1521"/>
      <c r="C123" s="1514"/>
      <c r="D123" s="869" t="s">
        <v>162</v>
      </c>
      <c r="E123" s="893"/>
      <c r="F123" s="894" t="s">
        <v>1386</v>
      </c>
      <c r="G123" s="894" t="s">
        <v>120</v>
      </c>
      <c r="H123" s="1456"/>
      <c r="I123" s="894"/>
    </row>
    <row r="124" spans="2:10" ht="41.4" x14ac:dyDescent="0.3">
      <c r="B124" s="1521"/>
      <c r="C124" s="1514"/>
      <c r="D124" s="869" t="s">
        <v>163</v>
      </c>
      <c r="E124" s="893"/>
      <c r="F124" s="894" t="s">
        <v>200</v>
      </c>
      <c r="G124" s="894" t="s">
        <v>120</v>
      </c>
      <c r="H124" s="1456"/>
      <c r="I124" s="894"/>
    </row>
    <row r="125" spans="2:10" ht="41.4" x14ac:dyDescent="0.3">
      <c r="B125" s="1522"/>
      <c r="C125" s="1516"/>
      <c r="D125" s="817" t="s">
        <v>164</v>
      </c>
      <c r="E125" s="883"/>
      <c r="F125" s="883" t="s">
        <v>200</v>
      </c>
      <c r="G125" s="894" t="s">
        <v>120</v>
      </c>
      <c r="H125" s="1456"/>
      <c r="I125" s="883"/>
    </row>
    <row r="126" spans="2:10" ht="17.55" customHeight="1" x14ac:dyDescent="0.3">
      <c r="B126" s="1452" t="s">
        <v>176</v>
      </c>
      <c r="C126" s="1466" t="s">
        <v>170</v>
      </c>
      <c r="D126" s="1462"/>
      <c r="E126" s="1462"/>
      <c r="F126" s="1462"/>
      <c r="G126" s="1462"/>
      <c r="H126" s="1462"/>
      <c r="I126" s="1462"/>
    </row>
    <row r="127" spans="2:10" ht="15" customHeight="1" x14ac:dyDescent="0.3">
      <c r="B127" s="1453"/>
      <c r="C127" s="884" t="s">
        <v>96</v>
      </c>
      <c r="D127" s="817" t="s">
        <v>101</v>
      </c>
      <c r="E127" s="865" t="s">
        <v>1390</v>
      </c>
      <c r="F127" s="865"/>
      <c r="G127" s="865"/>
      <c r="H127" s="869"/>
      <c r="I127" s="869"/>
    </row>
    <row r="128" spans="2:10" ht="20.55" customHeight="1" x14ac:dyDescent="0.3">
      <c r="B128" s="1453"/>
      <c r="C128" s="1473" t="s">
        <v>171</v>
      </c>
      <c r="D128" s="817" t="s">
        <v>172</v>
      </c>
      <c r="E128" s="865" t="s">
        <v>173</v>
      </c>
      <c r="F128" s="865"/>
      <c r="G128" s="865"/>
      <c r="H128" s="869"/>
      <c r="I128" s="869"/>
    </row>
    <row r="129" spans="2:62" ht="29.55" customHeight="1" x14ac:dyDescent="0.3">
      <c r="B129" s="1453"/>
      <c r="C129" s="1473"/>
      <c r="D129" s="817" t="s">
        <v>174</v>
      </c>
      <c r="E129" s="871" t="s">
        <v>1391</v>
      </c>
      <c r="F129" s="865"/>
      <c r="G129" s="865"/>
      <c r="H129" s="869"/>
      <c r="I129" s="869"/>
    </row>
    <row r="130" spans="2:62" ht="20.55" customHeight="1" x14ac:dyDescent="0.3">
      <c r="B130" s="1453"/>
      <c r="C130" s="1473"/>
      <c r="D130" s="869" t="s">
        <v>175</v>
      </c>
      <c r="E130" s="871" t="s">
        <v>1391</v>
      </c>
      <c r="F130" s="865"/>
      <c r="G130" s="865"/>
      <c r="H130" s="869"/>
      <c r="I130" s="869"/>
    </row>
    <row r="131" spans="2:62" s="500" customFormat="1" ht="17.399999999999999" customHeight="1" x14ac:dyDescent="0.3">
      <c r="B131" s="1453"/>
      <c r="C131" s="1466" t="s">
        <v>1292</v>
      </c>
      <c r="D131" s="1462"/>
      <c r="E131" s="1462"/>
      <c r="F131" s="1462"/>
      <c r="G131" s="1462"/>
      <c r="H131" s="1462"/>
      <c r="I131" s="1462"/>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row>
    <row r="132" spans="2:62" s="500" customFormat="1" ht="17.399999999999999" customHeight="1" x14ac:dyDescent="0.3">
      <c r="B132" s="1453"/>
      <c r="C132" s="884" t="s">
        <v>96</v>
      </c>
      <c r="D132" s="817" t="s">
        <v>101</v>
      </c>
      <c r="E132" s="865" t="s">
        <v>1392</v>
      </c>
      <c r="F132" s="866"/>
      <c r="G132" s="866"/>
      <c r="H132" s="866"/>
      <c r="I132" s="866"/>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row>
    <row r="133" spans="2:62" s="500" customFormat="1" ht="32.4" x14ac:dyDescent="0.3">
      <c r="B133" s="1453"/>
      <c r="C133" s="884" t="s">
        <v>241</v>
      </c>
      <c r="D133" s="817" t="s">
        <v>242</v>
      </c>
      <c r="E133" s="883"/>
      <c r="F133" s="883" t="s">
        <v>1385</v>
      </c>
      <c r="G133" s="865" t="s">
        <v>1326</v>
      </c>
      <c r="H133" s="870" t="s">
        <v>1418</v>
      </c>
      <c r="I133" s="883"/>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row>
    <row r="134" spans="2:62" ht="13.5" customHeight="1" x14ac:dyDescent="0.3">
      <c r="B134" s="1453"/>
      <c r="C134" s="1466" t="s">
        <v>177</v>
      </c>
      <c r="D134" s="1462"/>
      <c r="E134" s="1462"/>
      <c r="F134" s="1462"/>
      <c r="G134" s="1462"/>
      <c r="H134" s="1462"/>
      <c r="I134" s="1462"/>
    </row>
    <row r="135" spans="2:62" ht="16.2" x14ac:dyDescent="0.3">
      <c r="B135" s="1453"/>
      <c r="C135" s="887" t="s">
        <v>96</v>
      </c>
      <c r="D135" s="895" t="s">
        <v>101</v>
      </c>
      <c r="E135" s="896" t="s">
        <v>1393</v>
      </c>
      <c r="F135" s="897"/>
      <c r="G135" s="897"/>
      <c r="H135" s="897"/>
      <c r="I135" s="897"/>
    </row>
    <row r="136" spans="2:62" ht="17.55" customHeight="1" x14ac:dyDescent="0.3">
      <c r="B136" s="1453"/>
      <c r="C136" s="1473" t="s">
        <v>179</v>
      </c>
      <c r="D136" s="1457" t="s">
        <v>180</v>
      </c>
      <c r="E136" s="898" t="s">
        <v>1394</v>
      </c>
      <c r="F136" s="866"/>
      <c r="G136" s="866"/>
      <c r="H136" s="866"/>
      <c r="I136" s="866"/>
    </row>
    <row r="137" spans="2:62" ht="25.05" customHeight="1" x14ac:dyDescent="0.3">
      <c r="B137" s="1453"/>
      <c r="C137" s="1473"/>
      <c r="D137" s="1458"/>
      <c r="E137" s="899" t="s">
        <v>178</v>
      </c>
      <c r="F137" s="866"/>
      <c r="G137" s="866"/>
      <c r="H137" s="866"/>
      <c r="I137" s="866"/>
    </row>
    <row r="138" spans="2:62" ht="17.55" customHeight="1" x14ac:dyDescent="0.3">
      <c r="B138" s="1453"/>
      <c r="C138" s="1473"/>
      <c r="D138" s="1457" t="s">
        <v>181</v>
      </c>
      <c r="E138" s="898" t="s">
        <v>1394</v>
      </c>
      <c r="F138" s="866"/>
      <c r="G138" s="866"/>
      <c r="H138" s="866"/>
      <c r="I138" s="866"/>
    </row>
    <row r="139" spans="2:62" ht="31.95" customHeight="1" x14ac:dyDescent="0.3">
      <c r="B139" s="1453"/>
      <c r="C139" s="1473"/>
      <c r="D139" s="1458"/>
      <c r="E139" s="899" t="s">
        <v>178</v>
      </c>
      <c r="F139" s="866"/>
      <c r="G139" s="866"/>
      <c r="H139" s="866"/>
      <c r="I139" s="866"/>
    </row>
    <row r="140" spans="2:62" ht="17.55" customHeight="1" x14ac:dyDescent="0.3">
      <c r="B140" s="1453"/>
      <c r="C140" s="1473"/>
      <c r="D140" s="1457" t="s">
        <v>182</v>
      </c>
      <c r="E140" s="898" t="s">
        <v>1394</v>
      </c>
      <c r="F140" s="866"/>
      <c r="G140" s="866"/>
      <c r="H140" s="866"/>
      <c r="I140" s="866"/>
    </row>
    <row r="141" spans="2:62" ht="29.55" customHeight="1" x14ac:dyDescent="0.3">
      <c r="B141" s="1453"/>
      <c r="C141" s="1473"/>
      <c r="D141" s="1519"/>
      <c r="E141" s="899" t="s">
        <v>178</v>
      </c>
      <c r="F141" s="866"/>
      <c r="G141" s="866"/>
      <c r="H141" s="866"/>
      <c r="I141" s="866"/>
    </row>
    <row r="142" spans="2:62" ht="17.55" customHeight="1" x14ac:dyDescent="0.3">
      <c r="B142" s="1453"/>
      <c r="C142" s="1473"/>
      <c r="D142" s="1458"/>
      <c r="E142" s="900" t="s">
        <v>1395</v>
      </c>
      <c r="F142" s="866"/>
      <c r="G142" s="866"/>
      <c r="H142" s="866"/>
      <c r="I142" s="866"/>
    </row>
    <row r="143" spans="2:62" ht="28.8" customHeight="1" x14ac:dyDescent="0.3">
      <c r="B143" s="1453"/>
      <c r="C143" s="1473"/>
      <c r="D143" s="817" t="s">
        <v>183</v>
      </c>
      <c r="E143" s="898" t="s">
        <v>1396</v>
      </c>
      <c r="F143" s="866"/>
      <c r="G143" s="866"/>
      <c r="H143" s="866"/>
      <c r="I143" s="866"/>
    </row>
    <row r="144" spans="2:62" ht="17.55" customHeight="1" x14ac:dyDescent="0.3">
      <c r="B144" s="1453"/>
      <c r="C144" s="1473"/>
      <c r="D144" s="1457" t="s">
        <v>184</v>
      </c>
      <c r="E144" s="898" t="s">
        <v>1394</v>
      </c>
      <c r="F144" s="866"/>
      <c r="G144" s="866"/>
      <c r="H144" s="866"/>
      <c r="I144" s="866"/>
    </row>
    <row r="145" spans="2:9" ht="17.55" customHeight="1" x14ac:dyDescent="0.3">
      <c r="B145" s="1453"/>
      <c r="C145" s="1473"/>
      <c r="D145" s="1458"/>
      <c r="E145" s="898" t="s">
        <v>173</v>
      </c>
      <c r="F145" s="866"/>
      <c r="G145" s="866"/>
      <c r="H145" s="866"/>
      <c r="I145" s="866"/>
    </row>
    <row r="146" spans="2:9" ht="17.55" customHeight="1" x14ac:dyDescent="0.3">
      <c r="B146" s="1453"/>
      <c r="C146" s="1473"/>
      <c r="D146" s="1457" t="s">
        <v>185</v>
      </c>
      <c r="E146" s="898" t="s">
        <v>1394</v>
      </c>
      <c r="F146" s="866"/>
      <c r="G146" s="866"/>
      <c r="H146" s="866"/>
      <c r="I146" s="866"/>
    </row>
    <row r="147" spans="2:9" ht="17.55" customHeight="1" x14ac:dyDescent="0.3">
      <c r="B147" s="1453"/>
      <c r="C147" s="1473"/>
      <c r="D147" s="1458"/>
      <c r="E147" s="900" t="s">
        <v>1397</v>
      </c>
      <c r="F147" s="866"/>
      <c r="G147" s="866"/>
      <c r="H147" s="866"/>
      <c r="I147" s="866"/>
    </row>
    <row r="148" spans="2:9" ht="27" customHeight="1" x14ac:dyDescent="0.3">
      <c r="B148" s="1453"/>
      <c r="C148" s="1473"/>
      <c r="D148" s="817" t="s">
        <v>186</v>
      </c>
      <c r="E148" s="898" t="s">
        <v>1394</v>
      </c>
      <c r="F148" s="866"/>
      <c r="G148" s="866"/>
      <c r="H148" s="866"/>
      <c r="I148" s="866"/>
    </row>
    <row r="149" spans="2:9" ht="31.8" customHeight="1" x14ac:dyDescent="0.3">
      <c r="B149" s="1453"/>
      <c r="C149" s="1473"/>
      <c r="D149" s="1457" t="s">
        <v>187</v>
      </c>
      <c r="E149" s="898" t="s">
        <v>1398</v>
      </c>
      <c r="F149" s="866"/>
      <c r="G149" s="866"/>
      <c r="H149" s="866"/>
      <c r="I149" s="866"/>
    </row>
    <row r="150" spans="2:9" ht="31.8" customHeight="1" x14ac:dyDescent="0.3">
      <c r="B150" s="1453"/>
      <c r="C150" s="1473"/>
      <c r="D150" s="1458"/>
      <c r="E150" s="899" t="s">
        <v>178</v>
      </c>
      <c r="F150" s="866"/>
      <c r="G150" s="866"/>
      <c r="H150" s="866"/>
      <c r="I150" s="866"/>
    </row>
    <row r="151" spans="2:9" ht="15.6" customHeight="1" x14ac:dyDescent="0.3">
      <c r="B151" s="1453"/>
      <c r="C151" s="1473"/>
      <c r="D151" s="817" t="s">
        <v>188</v>
      </c>
      <c r="E151" s="901" t="s">
        <v>189</v>
      </c>
      <c r="F151" s="866"/>
      <c r="G151" s="866"/>
      <c r="H151" s="866"/>
      <c r="I151" s="866"/>
    </row>
    <row r="152" spans="2:9" ht="17.55" customHeight="1" x14ac:dyDescent="0.3">
      <c r="B152" s="1453"/>
      <c r="C152" s="1473"/>
      <c r="D152" s="817" t="s">
        <v>190</v>
      </c>
      <c r="E152" s="901" t="s">
        <v>189</v>
      </c>
      <c r="F152" s="866"/>
      <c r="G152" s="866"/>
      <c r="H152" s="866"/>
      <c r="I152" s="866"/>
    </row>
    <row r="153" spans="2:9" ht="13.5" customHeight="1" x14ac:dyDescent="0.3">
      <c r="B153" s="1453"/>
      <c r="C153" s="1466" t="s">
        <v>191</v>
      </c>
      <c r="D153" s="1462"/>
      <c r="E153" s="1462"/>
      <c r="F153" s="1462"/>
      <c r="G153" s="1462"/>
      <c r="H153" s="1462"/>
      <c r="I153" s="1462"/>
    </row>
    <row r="154" spans="2:9" ht="16.2" x14ac:dyDescent="0.3">
      <c r="B154" s="1453"/>
      <c r="C154" s="884" t="s">
        <v>96</v>
      </c>
      <c r="D154" s="817" t="s">
        <v>101</v>
      </c>
      <c r="E154" s="865" t="s">
        <v>1369</v>
      </c>
      <c r="F154" s="865"/>
      <c r="G154" s="865"/>
      <c r="H154" s="865"/>
      <c r="I154" s="865"/>
    </row>
    <row r="155" spans="2:9" ht="13.5" customHeight="1" x14ac:dyDescent="0.3">
      <c r="B155" s="1453"/>
      <c r="C155" s="1473" t="s">
        <v>192</v>
      </c>
      <c r="D155" s="869" t="s">
        <v>193</v>
      </c>
      <c r="E155" s="883" t="s">
        <v>173</v>
      </c>
      <c r="F155" s="883"/>
      <c r="G155" s="883"/>
      <c r="H155" s="883"/>
      <c r="I155" s="883"/>
    </row>
    <row r="156" spans="2:9" ht="13.5" customHeight="1" x14ac:dyDescent="0.3">
      <c r="B156" s="1453"/>
      <c r="C156" s="1473"/>
      <c r="D156" s="1477" t="s">
        <v>194</v>
      </c>
      <c r="E156" s="871" t="s">
        <v>1366</v>
      </c>
      <c r="F156" s="865"/>
      <c r="G156" s="865"/>
      <c r="H156" s="865"/>
      <c r="I156" s="865"/>
    </row>
    <row r="157" spans="2:9" ht="13.5" customHeight="1" x14ac:dyDescent="0.3">
      <c r="B157" s="1453"/>
      <c r="C157" s="1474"/>
      <c r="D157" s="1477"/>
      <c r="E157" s="816" t="s">
        <v>1395</v>
      </c>
      <c r="F157" s="865"/>
      <c r="G157" s="865"/>
      <c r="H157" s="865"/>
      <c r="I157" s="865"/>
    </row>
    <row r="158" spans="2:9" ht="25.2" x14ac:dyDescent="0.3">
      <c r="B158" s="1453"/>
      <c r="C158" s="1473"/>
      <c r="D158" s="869" t="s">
        <v>195</v>
      </c>
      <c r="E158" s="865" t="s">
        <v>173</v>
      </c>
      <c r="F158" s="865"/>
      <c r="G158" s="865"/>
      <c r="H158" s="865"/>
      <c r="I158" s="865"/>
    </row>
    <row r="159" spans="2:9" ht="13.5" customHeight="1" x14ac:dyDescent="0.3">
      <c r="B159" s="1453"/>
      <c r="C159" s="1466" t="s">
        <v>196</v>
      </c>
      <c r="D159" s="1462"/>
      <c r="E159" s="1462"/>
      <c r="F159" s="1462"/>
      <c r="G159" s="1462"/>
      <c r="H159" s="1462"/>
      <c r="I159" s="1462"/>
    </row>
    <row r="160" spans="2:9" ht="16.2" x14ac:dyDescent="0.3">
      <c r="B160" s="1453"/>
      <c r="C160" s="884" t="s">
        <v>96</v>
      </c>
      <c r="D160" s="817" t="s">
        <v>101</v>
      </c>
      <c r="E160" s="865" t="s">
        <v>1399</v>
      </c>
      <c r="F160" s="866"/>
      <c r="G160" s="866"/>
      <c r="H160" s="866"/>
      <c r="I160" s="866"/>
    </row>
    <row r="161" spans="2:10" ht="31.8" customHeight="1" x14ac:dyDescent="0.3">
      <c r="B161" s="1453"/>
      <c r="C161" s="1473" t="s">
        <v>197</v>
      </c>
      <c r="D161" s="817" t="s">
        <v>198</v>
      </c>
      <c r="E161" s="865" t="s">
        <v>1400</v>
      </c>
      <c r="F161" s="866"/>
      <c r="G161" s="866"/>
      <c r="H161" s="866"/>
      <c r="I161" s="866"/>
    </row>
    <row r="162" spans="2:10" ht="13.5" customHeight="1" x14ac:dyDescent="0.3">
      <c r="B162" s="1453"/>
      <c r="C162" s="1473"/>
      <c r="D162" s="1477" t="s">
        <v>199</v>
      </c>
      <c r="E162" s="865" t="s">
        <v>173</v>
      </c>
      <c r="F162" s="1486" t="s">
        <v>200</v>
      </c>
      <c r="G162" s="1487" t="s">
        <v>120</v>
      </c>
      <c r="H162" s="1487" t="s">
        <v>201</v>
      </c>
      <c r="I162" s="1461"/>
    </row>
    <row r="163" spans="2:10" ht="28.8" customHeight="1" x14ac:dyDescent="0.3">
      <c r="B163" s="1453"/>
      <c r="C163" s="1473"/>
      <c r="D163" s="1477"/>
      <c r="E163" s="902" t="s">
        <v>417</v>
      </c>
      <c r="F163" s="1487"/>
      <c r="G163" s="1487"/>
      <c r="H163" s="1487"/>
      <c r="I163" s="1461"/>
    </row>
    <row r="164" spans="2:10" ht="13.5" customHeight="1" x14ac:dyDescent="0.3">
      <c r="B164" s="1453"/>
      <c r="C164" s="903" t="s">
        <v>202</v>
      </c>
      <c r="D164" s="904"/>
      <c r="E164" s="905"/>
      <c r="F164" s="906"/>
      <c r="G164" s="906"/>
      <c r="H164" s="906"/>
      <c r="I164" s="904"/>
    </row>
    <row r="165" spans="2:10" ht="16.2" x14ac:dyDescent="0.3">
      <c r="B165" s="1453"/>
      <c r="C165" s="884" t="s">
        <v>96</v>
      </c>
      <c r="D165" s="817" t="s">
        <v>101</v>
      </c>
      <c r="E165" s="865" t="s">
        <v>1369</v>
      </c>
      <c r="F165" s="883"/>
      <c r="G165" s="883"/>
      <c r="H165" s="883"/>
      <c r="I165" s="866"/>
    </row>
    <row r="166" spans="2:10" ht="16.2" x14ac:dyDescent="0.3">
      <c r="B166" s="1453"/>
      <c r="C166" s="886" t="s">
        <v>203</v>
      </c>
      <c r="D166" s="907" t="s">
        <v>204</v>
      </c>
      <c r="E166" s="908" t="s">
        <v>1363</v>
      </c>
      <c r="F166" s="909"/>
      <c r="G166" s="909"/>
      <c r="H166" s="909"/>
      <c r="I166" s="910"/>
    </row>
    <row r="167" spans="2:10" ht="13.5" customHeight="1" x14ac:dyDescent="0.3">
      <c r="B167" s="1453"/>
      <c r="C167" s="1488" t="s">
        <v>205</v>
      </c>
      <c r="D167" s="1488"/>
      <c r="E167" s="911"/>
      <c r="F167" s="912"/>
      <c r="G167" s="912"/>
      <c r="H167" s="912"/>
      <c r="I167" s="913"/>
    </row>
    <row r="168" spans="2:10" ht="16.2" x14ac:dyDescent="0.3">
      <c r="B168" s="1453"/>
      <c r="C168" s="881" t="s">
        <v>96</v>
      </c>
      <c r="D168" s="817" t="s">
        <v>101</v>
      </c>
      <c r="E168" s="865" t="s">
        <v>1401</v>
      </c>
      <c r="F168" s="883"/>
      <c r="G168" s="883"/>
      <c r="H168" s="883"/>
      <c r="I168" s="866"/>
    </row>
    <row r="169" spans="2:10" ht="37.799999999999997" x14ac:dyDescent="0.3">
      <c r="B169" s="1453"/>
      <c r="C169" s="1459" t="s">
        <v>206</v>
      </c>
      <c r="D169" s="1494" t="s">
        <v>207</v>
      </c>
      <c r="E169" s="908" t="s">
        <v>1402</v>
      </c>
      <c r="F169" s="908" t="s">
        <v>124</v>
      </c>
      <c r="G169" s="908" t="s">
        <v>120</v>
      </c>
      <c r="H169" s="908" t="s">
        <v>208</v>
      </c>
      <c r="I169" s="910"/>
      <c r="J169" s="914"/>
    </row>
    <row r="170" spans="2:10" ht="16.2" customHeight="1" x14ac:dyDescent="0.3">
      <c r="B170" s="1453"/>
      <c r="C170" s="1460"/>
      <c r="D170" s="1495"/>
      <c r="E170" s="871" t="s">
        <v>1366</v>
      </c>
      <c r="F170" s="865"/>
      <c r="G170" s="865"/>
      <c r="H170" s="865"/>
      <c r="I170" s="866"/>
      <c r="J170" s="914"/>
    </row>
    <row r="171" spans="2:10" ht="13.8" customHeight="1" x14ac:dyDescent="0.3">
      <c r="B171" s="1453"/>
      <c r="C171" s="913" t="s">
        <v>209</v>
      </c>
      <c r="D171" s="913"/>
      <c r="E171" s="911"/>
      <c r="F171" s="912"/>
      <c r="G171" s="912"/>
      <c r="H171" s="912"/>
      <c r="I171" s="913"/>
    </row>
    <row r="172" spans="2:10" ht="16.2" x14ac:dyDescent="0.3">
      <c r="B172" s="1453"/>
      <c r="C172" s="881" t="s">
        <v>96</v>
      </c>
      <c r="D172" s="817" t="s">
        <v>101</v>
      </c>
      <c r="E172" s="865" t="s">
        <v>1369</v>
      </c>
      <c r="F172" s="866"/>
      <c r="G172" s="866"/>
      <c r="H172" s="866"/>
      <c r="I172" s="866"/>
    </row>
    <row r="173" spans="2:10" ht="13.8" customHeight="1" x14ac:dyDescent="0.3">
      <c r="B173" s="1453"/>
      <c r="C173" s="1459" t="s">
        <v>210</v>
      </c>
      <c r="D173" s="1457" t="s">
        <v>211</v>
      </c>
      <c r="E173" s="908" t="s">
        <v>1370</v>
      </c>
      <c r="F173" s="910"/>
      <c r="G173" s="910"/>
      <c r="H173" s="910"/>
      <c r="I173" s="910"/>
    </row>
    <row r="174" spans="2:10" ht="16.2" customHeight="1" x14ac:dyDescent="0.3">
      <c r="B174" s="1453"/>
      <c r="C174" s="1496"/>
      <c r="D174" s="1519"/>
      <c r="E174" s="871" t="s">
        <v>1366</v>
      </c>
      <c r="F174" s="866"/>
      <c r="G174" s="866"/>
      <c r="H174" s="866"/>
      <c r="I174" s="866"/>
    </row>
    <row r="175" spans="2:10" ht="16.2" customHeight="1" x14ac:dyDescent="0.3">
      <c r="B175" s="1453"/>
      <c r="C175" s="1460"/>
      <c r="D175" s="1458"/>
      <c r="E175" s="915" t="s">
        <v>1403</v>
      </c>
      <c r="F175" s="916"/>
      <c r="G175" s="916"/>
      <c r="H175" s="916"/>
      <c r="I175" s="916"/>
    </row>
    <row r="176" spans="2:10" ht="13.8" customHeight="1" x14ac:dyDescent="0.3">
      <c r="B176" s="1453"/>
      <c r="C176" s="1462" t="s">
        <v>212</v>
      </c>
      <c r="D176" s="1462"/>
      <c r="E176" s="1462"/>
      <c r="F176" s="1462"/>
      <c r="G176" s="1462"/>
      <c r="H176" s="1462"/>
      <c r="I176" s="1462"/>
    </row>
    <row r="177" spans="2:9" ht="16.2" x14ac:dyDescent="0.3">
      <c r="B177" s="1453"/>
      <c r="C177" s="881" t="s">
        <v>96</v>
      </c>
      <c r="D177" s="817" t="s">
        <v>101</v>
      </c>
      <c r="E177" s="865" t="s">
        <v>1369</v>
      </c>
      <c r="F177" s="866"/>
      <c r="G177" s="866"/>
      <c r="H177" s="866"/>
      <c r="I177" s="866"/>
    </row>
    <row r="178" spans="2:9" ht="32.4" customHeight="1" x14ac:dyDescent="0.3">
      <c r="B178" s="1453"/>
      <c r="C178" s="1459" t="s">
        <v>213</v>
      </c>
      <c r="D178" s="1457" t="s">
        <v>214</v>
      </c>
      <c r="E178" s="908" t="s">
        <v>1370</v>
      </c>
      <c r="F178" s="910"/>
      <c r="G178" s="910"/>
      <c r="H178" s="910"/>
      <c r="I178" s="910"/>
    </row>
    <row r="179" spans="2:9" ht="16.2" customHeight="1" x14ac:dyDescent="0.3">
      <c r="B179" s="1453"/>
      <c r="C179" s="1496"/>
      <c r="D179" s="1519"/>
      <c r="E179" s="871" t="s">
        <v>1366</v>
      </c>
      <c r="F179" s="866"/>
      <c r="G179" s="866"/>
      <c r="H179" s="866"/>
      <c r="I179" s="866"/>
    </row>
    <row r="180" spans="2:9" ht="16.2" customHeight="1" x14ac:dyDescent="0.3">
      <c r="B180" s="1454"/>
      <c r="C180" s="1460"/>
      <c r="D180" s="1458"/>
      <c r="E180" s="915" t="s">
        <v>1403</v>
      </c>
      <c r="F180" s="916"/>
      <c r="G180" s="916"/>
      <c r="H180" s="916"/>
      <c r="I180" s="916"/>
    </row>
    <row r="181" spans="2:9" ht="13.8" customHeight="1" x14ac:dyDescent="0.3">
      <c r="B181" s="1443" t="s">
        <v>38</v>
      </c>
      <c r="C181" s="1462" t="s">
        <v>165</v>
      </c>
      <c r="D181" s="1462"/>
      <c r="E181" s="1462"/>
      <c r="F181" s="1462"/>
      <c r="G181" s="1462"/>
      <c r="H181" s="1462"/>
      <c r="I181" s="1462"/>
    </row>
    <row r="182" spans="2:9" ht="30.6" customHeight="1" x14ac:dyDescent="0.3">
      <c r="B182" s="1444"/>
      <c r="C182" s="881" t="s">
        <v>96</v>
      </c>
      <c r="D182" s="817" t="s">
        <v>101</v>
      </c>
      <c r="E182" s="865" t="s">
        <v>1387</v>
      </c>
      <c r="F182" s="883"/>
      <c r="G182" s="883"/>
      <c r="H182" s="883"/>
      <c r="I182" s="866"/>
    </row>
    <row r="183" spans="2:9" ht="30.6" customHeight="1" x14ac:dyDescent="0.3">
      <c r="B183" s="1444"/>
      <c r="C183" s="1459" t="s">
        <v>166</v>
      </c>
      <c r="D183" s="1494" t="s">
        <v>167</v>
      </c>
      <c r="E183" s="865" t="s">
        <v>1370</v>
      </c>
      <c r="F183" s="883"/>
      <c r="G183" s="883"/>
      <c r="H183" s="883"/>
      <c r="I183" s="866"/>
    </row>
    <row r="184" spans="2:9" ht="24.6" customHeight="1" x14ac:dyDescent="0.3">
      <c r="B184" s="1444"/>
      <c r="C184" s="1496"/>
      <c r="D184" s="1495"/>
      <c r="E184" s="917" t="s">
        <v>1388</v>
      </c>
      <c r="F184" s="883"/>
      <c r="G184" s="909"/>
      <c r="H184" s="909"/>
      <c r="I184" s="910"/>
    </row>
    <row r="185" spans="2:9" ht="27.6" customHeight="1" x14ac:dyDescent="0.3">
      <c r="B185" s="1444"/>
      <c r="C185" s="1496"/>
      <c r="D185" s="918" t="s">
        <v>168</v>
      </c>
      <c r="E185" s="908" t="s">
        <v>1370</v>
      </c>
      <c r="F185" s="1497" t="s">
        <v>1389</v>
      </c>
      <c r="G185" s="1499" t="s">
        <v>120</v>
      </c>
      <c r="H185" s="1499" t="s">
        <v>169</v>
      </c>
      <c r="I185" s="1517"/>
    </row>
    <row r="186" spans="2:9" ht="24.6" customHeight="1" x14ac:dyDescent="0.3">
      <c r="B186" s="1444"/>
      <c r="C186" s="1460"/>
      <c r="D186" s="919"/>
      <c r="E186" s="920" t="s">
        <v>1388</v>
      </c>
      <c r="F186" s="1498"/>
      <c r="G186" s="1500"/>
      <c r="H186" s="1500"/>
      <c r="I186" s="1518"/>
    </row>
    <row r="187" spans="2:9" ht="13.5" customHeight="1" x14ac:dyDescent="0.3">
      <c r="B187" s="1444"/>
      <c r="C187" s="1462" t="s">
        <v>219</v>
      </c>
      <c r="D187" s="1462"/>
      <c r="E187" s="1462"/>
      <c r="F187" s="1462"/>
      <c r="G187" s="1462"/>
      <c r="H187" s="1462"/>
      <c r="I187" s="1462"/>
    </row>
    <row r="188" spans="2:9" ht="33.6" customHeight="1" x14ac:dyDescent="0.3">
      <c r="B188" s="1444"/>
      <c r="C188" s="881" t="s">
        <v>96</v>
      </c>
      <c r="D188" s="679" t="s">
        <v>101</v>
      </c>
      <c r="E188" s="865" t="s">
        <v>1387</v>
      </c>
      <c r="F188" s="866"/>
      <c r="G188" s="866"/>
      <c r="H188" s="866"/>
      <c r="I188" s="866"/>
    </row>
    <row r="189" spans="2:9" ht="19.8" customHeight="1" x14ac:dyDescent="0.3">
      <c r="B189" s="1444"/>
      <c r="C189" s="1459" t="s">
        <v>220</v>
      </c>
      <c r="D189" s="1494" t="s">
        <v>221</v>
      </c>
      <c r="E189" s="865" t="s">
        <v>1370</v>
      </c>
      <c r="F189" s="866"/>
      <c r="G189" s="866"/>
      <c r="H189" s="866"/>
      <c r="I189" s="866"/>
    </row>
    <row r="190" spans="2:9" ht="19.8" customHeight="1" x14ac:dyDescent="0.3">
      <c r="B190" s="1444"/>
      <c r="C190" s="1496"/>
      <c r="D190" s="1495"/>
      <c r="E190" s="923" t="s">
        <v>1388</v>
      </c>
      <c r="F190" s="910"/>
      <c r="G190" s="910"/>
      <c r="H190" s="910"/>
      <c r="I190" s="910"/>
    </row>
    <row r="191" spans="2:9" ht="26.4" customHeight="1" x14ac:dyDescent="0.3">
      <c r="B191" s="1444"/>
      <c r="C191" s="1496"/>
      <c r="D191" s="1494" t="s">
        <v>222</v>
      </c>
      <c r="E191" s="908" t="s">
        <v>1370</v>
      </c>
      <c r="F191" s="1499" t="s">
        <v>223</v>
      </c>
      <c r="G191" s="1499" t="s">
        <v>120</v>
      </c>
      <c r="H191" s="1499" t="s">
        <v>169</v>
      </c>
      <c r="I191" s="1526"/>
    </row>
    <row r="192" spans="2:9" ht="16.2" customHeight="1" x14ac:dyDescent="0.3">
      <c r="B192" s="1445"/>
      <c r="C192" s="1460"/>
      <c r="D192" s="1495"/>
      <c r="E192" s="920" t="s">
        <v>1388</v>
      </c>
      <c r="F192" s="1500"/>
      <c r="G192" s="1500"/>
      <c r="H192" s="1500"/>
      <c r="I192" s="1498"/>
    </row>
    <row r="193" spans="2:63" ht="17.399999999999999" customHeight="1" x14ac:dyDescent="0.3">
      <c r="B193" s="1443" t="s">
        <v>39</v>
      </c>
      <c r="C193" s="1466" t="s">
        <v>247</v>
      </c>
      <c r="D193" s="1462"/>
      <c r="E193" s="1462"/>
      <c r="F193" s="1462"/>
      <c r="G193" s="1462"/>
      <c r="H193" s="1462"/>
      <c r="I193" s="1462"/>
    </row>
    <row r="194" spans="2:63" ht="17.399999999999999" customHeight="1" x14ac:dyDescent="0.3">
      <c r="B194" s="1444"/>
      <c r="C194" s="884" t="s">
        <v>96</v>
      </c>
      <c r="D194" s="817" t="s">
        <v>101</v>
      </c>
      <c r="E194" s="865" t="s">
        <v>1369</v>
      </c>
      <c r="F194" s="865"/>
      <c r="G194" s="865"/>
      <c r="H194" s="865"/>
      <c r="I194" s="865"/>
    </row>
    <row r="195" spans="2:63" ht="13.5" customHeight="1" x14ac:dyDescent="0.3">
      <c r="B195" s="1444"/>
      <c r="C195" s="1473" t="s">
        <v>248</v>
      </c>
      <c r="D195" s="817" t="s">
        <v>249</v>
      </c>
      <c r="E195" s="868" t="s">
        <v>1404</v>
      </c>
      <c r="F195" s="883"/>
      <c r="G195" s="883"/>
      <c r="H195" s="883"/>
      <c r="I195" s="883"/>
    </row>
    <row r="196" spans="2:63" ht="17.399999999999999" customHeight="1" x14ac:dyDescent="0.3">
      <c r="B196" s="1444"/>
      <c r="C196" s="1474"/>
      <c r="D196" s="817" t="s">
        <v>250</v>
      </c>
      <c r="E196" s="883" t="s">
        <v>1405</v>
      </c>
      <c r="F196" s="883"/>
      <c r="G196" s="883"/>
      <c r="H196" s="883"/>
      <c r="I196" s="883"/>
    </row>
    <row r="197" spans="2:63" s="500" customFormat="1" ht="17.399999999999999" customHeight="1" x14ac:dyDescent="0.3">
      <c r="B197" s="1444"/>
      <c r="C197" s="1488" t="s">
        <v>262</v>
      </c>
      <c r="D197" s="1501"/>
      <c r="E197" s="1501"/>
      <c r="F197" s="1501"/>
      <c r="G197" s="1501"/>
      <c r="H197" s="1501"/>
      <c r="I197" s="1466"/>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row>
    <row r="198" spans="2:63" s="500" customFormat="1" ht="17.399999999999999" customHeight="1" x14ac:dyDescent="0.3">
      <c r="B198" s="1444"/>
      <c r="C198" s="881" t="s">
        <v>96</v>
      </c>
      <c r="D198" s="817" t="s">
        <v>101</v>
      </c>
      <c r="E198" s="898" t="s">
        <v>1369</v>
      </c>
      <c r="F198" s="866"/>
      <c r="G198" s="866"/>
      <c r="H198" s="866"/>
      <c r="I198" s="866"/>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row>
    <row r="199" spans="2:63" s="500" customFormat="1" ht="16.2" x14ac:dyDescent="0.3">
      <c r="B199" s="1444"/>
      <c r="C199" s="881" t="s">
        <v>1293</v>
      </c>
      <c r="D199" s="817" t="s">
        <v>263</v>
      </c>
      <c r="E199" s="922" t="s">
        <v>1366</v>
      </c>
      <c r="F199" s="866"/>
      <c r="G199" s="866"/>
      <c r="H199" s="866"/>
      <c r="I199" s="866"/>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row>
    <row r="200" spans="2:63" s="500" customFormat="1" ht="17.399999999999999" customHeight="1" x14ac:dyDescent="0.3">
      <c r="B200" s="1444"/>
      <c r="C200" s="1488" t="s">
        <v>1291</v>
      </c>
      <c r="D200" s="1501"/>
      <c r="E200" s="1501"/>
      <c r="F200" s="1501"/>
      <c r="G200" s="1501"/>
      <c r="H200" s="1501"/>
      <c r="I200" s="1466"/>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row>
    <row r="201" spans="2:63" s="500" customFormat="1" ht="17.399999999999999" customHeight="1" x14ac:dyDescent="0.3">
      <c r="B201" s="1444"/>
      <c r="C201" s="881" t="s">
        <v>96</v>
      </c>
      <c r="D201" s="817" t="s">
        <v>101</v>
      </c>
      <c r="E201" s="898" t="s">
        <v>1369</v>
      </c>
      <c r="F201" s="883"/>
      <c r="G201" s="883"/>
      <c r="H201" s="883"/>
      <c r="I201" s="883"/>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row>
    <row r="202" spans="2:63" s="500" customFormat="1" ht="32.4" customHeight="1" x14ac:dyDescent="0.3">
      <c r="B202" s="1444"/>
      <c r="C202" s="1459" t="s">
        <v>239</v>
      </c>
      <c r="D202" s="1457" t="s">
        <v>240</v>
      </c>
      <c r="E202" s="924" t="s">
        <v>1363</v>
      </c>
      <c r="F202" s="883"/>
      <c r="G202" s="883"/>
      <c r="H202" s="883"/>
      <c r="I202" s="883"/>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row>
    <row r="203" spans="2:63" s="500" customFormat="1" ht="16.2" customHeight="1" x14ac:dyDescent="0.3">
      <c r="B203" s="1444"/>
      <c r="C203" s="1460"/>
      <c r="D203" s="1458"/>
      <c r="E203" s="871" t="s">
        <v>1366</v>
      </c>
      <c r="F203" s="921"/>
      <c r="G203" s="921"/>
      <c r="H203" s="921"/>
      <c r="I203" s="921"/>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row>
    <row r="204" spans="2:63" s="925" customFormat="1" ht="14.25" customHeight="1" x14ac:dyDescent="0.3">
      <c r="B204" s="1444"/>
      <c r="C204" s="1462" t="s">
        <v>215</v>
      </c>
      <c r="D204" s="1462"/>
      <c r="E204" s="1462"/>
      <c r="F204" s="1462"/>
      <c r="G204" s="1462"/>
      <c r="H204" s="1462"/>
      <c r="I204" s="1462"/>
      <c r="J204" s="58"/>
    </row>
    <row r="205" spans="2:63" s="925" customFormat="1" ht="16.2" x14ac:dyDescent="0.3">
      <c r="B205" s="1444"/>
      <c r="C205" s="881" t="s">
        <v>96</v>
      </c>
      <c r="D205" s="817" t="s">
        <v>101</v>
      </c>
      <c r="E205" s="883" t="s">
        <v>1369</v>
      </c>
      <c r="F205" s="866"/>
      <c r="G205" s="866"/>
      <c r="H205" s="866"/>
      <c r="I205" s="866"/>
      <c r="J205" s="58"/>
    </row>
    <row r="206" spans="2:63" s="925" customFormat="1" ht="25.2" x14ac:dyDescent="0.3">
      <c r="B206" s="1444"/>
      <c r="C206" s="1463" t="s">
        <v>216</v>
      </c>
      <c r="D206" s="817" t="s">
        <v>217</v>
      </c>
      <c r="E206" s="868" t="s">
        <v>1404</v>
      </c>
      <c r="F206" s="866"/>
      <c r="G206" s="866"/>
      <c r="H206" s="866"/>
      <c r="I206" s="866"/>
      <c r="J206" s="58"/>
    </row>
    <row r="207" spans="2:63" ht="25.2" x14ac:dyDescent="0.3">
      <c r="B207" s="1445"/>
      <c r="C207" s="1463"/>
      <c r="D207" s="817" t="s">
        <v>218</v>
      </c>
      <c r="E207" s="868" t="s">
        <v>1404</v>
      </c>
      <c r="F207" s="866"/>
      <c r="G207" s="866"/>
      <c r="H207" s="866"/>
      <c r="I207" s="866"/>
    </row>
    <row r="208" spans="2:63" ht="15" customHeight="1" x14ac:dyDescent="0.3">
      <c r="B208" s="1443" t="s">
        <v>224</v>
      </c>
      <c r="C208" s="1462" t="s">
        <v>225</v>
      </c>
      <c r="D208" s="1462"/>
      <c r="E208" s="1462"/>
      <c r="F208" s="1462"/>
      <c r="G208" s="1462"/>
      <c r="H208" s="1462"/>
      <c r="I208" s="1462"/>
    </row>
    <row r="209" spans="2:10" ht="15" customHeight="1" x14ac:dyDescent="0.3">
      <c r="B209" s="1444"/>
      <c r="C209" s="1459" t="s">
        <v>96</v>
      </c>
      <c r="D209" s="1457" t="s">
        <v>101</v>
      </c>
      <c r="E209" s="926" t="s">
        <v>1369</v>
      </c>
      <c r="F209"/>
      <c r="G209"/>
      <c r="H209"/>
      <c r="I209"/>
    </row>
    <row r="210" spans="2:10" ht="15" customHeight="1" x14ac:dyDescent="0.3">
      <c r="B210" s="1444"/>
      <c r="C210" s="1460"/>
      <c r="D210" s="1458"/>
      <c r="E210" s="927" t="s">
        <v>1406</v>
      </c>
      <c r="F210" s="928"/>
      <c r="G210" s="928"/>
      <c r="H210" s="928"/>
      <c r="I210" s="928"/>
    </row>
    <row r="211" spans="2:10" ht="13.5" customHeight="1" x14ac:dyDescent="0.3">
      <c r="B211" s="1444"/>
      <c r="C211" s="1463" t="s">
        <v>226</v>
      </c>
      <c r="D211" s="817" t="s">
        <v>227</v>
      </c>
      <c r="E211" s="865" t="s">
        <v>228</v>
      </c>
      <c r="F211" s="865"/>
      <c r="G211" s="865"/>
      <c r="H211" s="865"/>
      <c r="I211" s="865"/>
    </row>
    <row r="212" spans="2:10" ht="25.2" x14ac:dyDescent="0.3">
      <c r="B212" s="1444"/>
      <c r="C212" s="1459"/>
      <c r="D212" s="907" t="s">
        <v>229</v>
      </c>
      <c r="E212" s="865" t="s">
        <v>228</v>
      </c>
      <c r="F212" s="865"/>
      <c r="G212" s="865"/>
      <c r="H212" s="865"/>
      <c r="I212" s="865"/>
    </row>
    <row r="213" spans="2:10" ht="13.5" customHeight="1" x14ac:dyDescent="0.3">
      <c r="B213" s="1444"/>
      <c r="C213" s="1462" t="s">
        <v>230</v>
      </c>
      <c r="D213" s="1462"/>
      <c r="E213" s="1462"/>
      <c r="F213" s="1462"/>
      <c r="G213" s="1462"/>
      <c r="H213" s="1462"/>
      <c r="I213" s="1462"/>
    </row>
    <row r="214" spans="2:10" ht="18.75" customHeight="1" x14ac:dyDescent="0.3">
      <c r="B214" s="1444"/>
      <c r="C214" s="1459" t="s">
        <v>96</v>
      </c>
      <c r="D214" s="1457" t="s">
        <v>101</v>
      </c>
      <c r="E214" s="926" t="s">
        <v>1369</v>
      </c>
      <c r="F214" s="928"/>
      <c r="G214" s="928"/>
      <c r="H214" s="928"/>
      <c r="I214" s="928"/>
    </row>
    <row r="215" spans="2:10" ht="18.75" customHeight="1" x14ac:dyDescent="0.3">
      <c r="B215" s="1444"/>
      <c r="C215" s="1460"/>
      <c r="D215" s="1458"/>
      <c r="E215" s="892" t="s">
        <v>1406</v>
      </c>
      <c r="F215" s="928"/>
      <c r="G215" s="928"/>
      <c r="H215" s="928"/>
      <c r="I215" s="928"/>
    </row>
    <row r="216" spans="2:10" ht="16.5" customHeight="1" x14ac:dyDescent="0.3">
      <c r="B216" s="1444"/>
      <c r="C216" s="1463" t="s">
        <v>231</v>
      </c>
      <c r="D216" s="679" t="s">
        <v>232</v>
      </c>
      <c r="E216" s="865" t="s">
        <v>228</v>
      </c>
      <c r="F216" s="865"/>
      <c r="G216" s="865"/>
      <c r="H216" s="865"/>
      <c r="I216" s="865"/>
    </row>
    <row r="217" spans="2:10" ht="34.200000000000003" customHeight="1" x14ac:dyDescent="0.3">
      <c r="B217" s="1444"/>
      <c r="C217" s="1463"/>
      <c r="D217" s="679" t="s">
        <v>233</v>
      </c>
      <c r="E217" s="865" t="s">
        <v>228</v>
      </c>
      <c r="F217" s="865"/>
      <c r="G217" s="865"/>
      <c r="H217" s="865"/>
      <c r="I217" s="865"/>
    </row>
    <row r="218" spans="2:10" ht="20.25" customHeight="1" x14ac:dyDescent="0.3">
      <c r="B218" s="1444"/>
      <c r="C218" s="1463"/>
      <c r="D218" s="679" t="s">
        <v>234</v>
      </c>
      <c r="E218" s="865" t="s">
        <v>228</v>
      </c>
      <c r="F218" s="865"/>
      <c r="G218" s="865"/>
      <c r="H218" s="865"/>
      <c r="I218" s="865"/>
    </row>
    <row r="219" spans="2:10" ht="13.5" customHeight="1" x14ac:dyDescent="0.3">
      <c r="B219" s="1444"/>
      <c r="C219" s="1462" t="s">
        <v>235</v>
      </c>
      <c r="D219" s="1462"/>
      <c r="E219" s="1462"/>
      <c r="F219" s="1462"/>
      <c r="G219" s="1462"/>
      <c r="H219" s="1462"/>
      <c r="I219" s="1462"/>
    </row>
    <row r="220" spans="2:10" ht="16.2" x14ac:dyDescent="0.3">
      <c r="B220" s="1444"/>
      <c r="C220" s="881" t="s">
        <v>96</v>
      </c>
      <c r="D220" s="817" t="s">
        <v>101</v>
      </c>
      <c r="E220" s="883" t="s">
        <v>1369</v>
      </c>
      <c r="F220" s="883"/>
      <c r="G220" s="883"/>
      <c r="H220" s="883"/>
      <c r="I220" s="883"/>
    </row>
    <row r="221" spans="2:10" ht="51" customHeight="1" x14ac:dyDescent="0.3">
      <c r="B221" s="1445"/>
      <c r="C221" s="882" t="s">
        <v>236</v>
      </c>
      <c r="D221" s="679" t="s">
        <v>237</v>
      </c>
      <c r="E221" s="865" t="s">
        <v>1363</v>
      </c>
      <c r="F221" s="865" t="s">
        <v>1385</v>
      </c>
      <c r="G221" s="865" t="s">
        <v>120</v>
      </c>
      <c r="H221" s="865" t="s">
        <v>1407</v>
      </c>
      <c r="I221" s="865"/>
    </row>
    <row r="222" spans="2:10" ht="16.8" customHeight="1" x14ac:dyDescent="0.3">
      <c r="B222" s="929"/>
      <c r="D222" s="452"/>
      <c r="E222" s="930"/>
      <c r="F222" s="452"/>
      <c r="G222" s="452"/>
      <c r="H222" s="452"/>
      <c r="I222" s="452"/>
    </row>
    <row r="223" spans="2:10" s="925" customFormat="1" x14ac:dyDescent="0.3">
      <c r="B223" s="931"/>
      <c r="C223" s="1490" t="s">
        <v>238</v>
      </c>
      <c r="D223" s="1490"/>
      <c r="E223" s="1490"/>
      <c r="F223" s="1490"/>
      <c r="G223" s="1490"/>
      <c r="H223" s="1490"/>
      <c r="I223" s="1491"/>
      <c r="J223" s="58"/>
    </row>
    <row r="224" spans="2:10" s="925" customFormat="1" ht="28.2" customHeight="1" x14ac:dyDescent="0.3">
      <c r="B224" s="931"/>
      <c r="C224" s="1492"/>
      <c r="D224" s="1492"/>
      <c r="E224" s="1492"/>
      <c r="F224" s="1492"/>
      <c r="G224" s="1492"/>
      <c r="H224" s="1492"/>
      <c r="I224" s="1493"/>
      <c r="J224" s="58"/>
    </row>
    <row r="225" spans="1:9" s="500" customFormat="1" ht="17.55" hidden="1" customHeight="1" x14ac:dyDescent="0.3">
      <c r="A225" s="58"/>
      <c r="B225" s="1520"/>
      <c r="C225" s="1523" t="s">
        <v>243</v>
      </c>
      <c r="D225" s="1523"/>
      <c r="E225" s="1523"/>
      <c r="F225" s="1523"/>
      <c r="G225" s="1523"/>
      <c r="H225" s="1523"/>
      <c r="I225" s="1523"/>
    </row>
    <row r="226" spans="1:9" s="500" customFormat="1" ht="16.2" hidden="1" x14ac:dyDescent="0.3">
      <c r="A226" s="58"/>
      <c r="B226" s="1520"/>
      <c r="C226" s="881" t="s">
        <v>96</v>
      </c>
      <c r="D226" s="817" t="s">
        <v>101</v>
      </c>
      <c r="E226" s="883" t="s">
        <v>1369</v>
      </c>
      <c r="F226" s="883"/>
      <c r="G226" s="883"/>
      <c r="H226" s="883"/>
      <c r="I226" s="883"/>
    </row>
    <row r="227" spans="1:9" s="500" customFormat="1" ht="38.4" hidden="1" customHeight="1" x14ac:dyDescent="0.3">
      <c r="A227" s="58"/>
      <c r="B227" s="1520"/>
      <c r="C227" s="1489" t="s">
        <v>244</v>
      </c>
      <c r="D227" s="817" t="s">
        <v>245</v>
      </c>
      <c r="E227" s="883"/>
      <c r="F227" s="883" t="s">
        <v>1383</v>
      </c>
      <c r="G227" s="865" t="s">
        <v>120</v>
      </c>
      <c r="H227" s="883"/>
      <c r="I227" s="883"/>
    </row>
    <row r="228" spans="1:9" s="500" customFormat="1" ht="41.4" hidden="1" customHeight="1" x14ac:dyDescent="0.3">
      <c r="A228" s="58"/>
      <c r="B228" s="1520"/>
      <c r="C228" s="1489"/>
      <c r="D228" s="817" t="s">
        <v>246</v>
      </c>
      <c r="E228" s="883"/>
      <c r="F228" s="883" t="s">
        <v>1383</v>
      </c>
      <c r="G228" s="865" t="s">
        <v>120</v>
      </c>
      <c r="H228" s="883"/>
      <c r="I228" s="883"/>
    </row>
    <row r="229" spans="1:9" x14ac:dyDescent="0.3">
      <c r="B229" s="932"/>
      <c r="C229" s="1462" t="s">
        <v>254</v>
      </c>
      <c r="D229" s="1462"/>
      <c r="E229" s="1462"/>
      <c r="F229" s="1462"/>
      <c r="G229" s="1462"/>
      <c r="H229" s="1462"/>
      <c r="I229" s="1462"/>
    </row>
    <row r="230" spans="1:9" x14ac:dyDescent="0.3">
      <c r="B230" s="932"/>
      <c r="C230" s="881" t="s">
        <v>96</v>
      </c>
      <c r="D230" s="817" t="s">
        <v>101</v>
      </c>
      <c r="E230" s="865" t="s">
        <v>1420</v>
      </c>
      <c r="F230" s="865"/>
      <c r="G230" s="865"/>
      <c r="H230" s="865"/>
      <c r="I230" s="865"/>
    </row>
    <row r="231" spans="1:9" x14ac:dyDescent="0.3">
      <c r="B231" s="932"/>
      <c r="C231" s="1463" t="s">
        <v>255</v>
      </c>
      <c r="D231" s="817" t="s">
        <v>256</v>
      </c>
      <c r="E231" s="868" t="s">
        <v>257</v>
      </c>
      <c r="F231" s="933"/>
      <c r="G231" s="933"/>
      <c r="H231" s="933"/>
      <c r="I231" s="933"/>
    </row>
    <row r="232" spans="1:9" ht="21.6" customHeight="1" x14ac:dyDescent="0.3">
      <c r="B232" s="932"/>
      <c r="C232" s="1463"/>
      <c r="D232" s="817" t="s">
        <v>258</v>
      </c>
      <c r="E232" s="934" t="s">
        <v>259</v>
      </c>
      <c r="F232" s="935"/>
      <c r="G232" s="935"/>
      <c r="H232" s="935"/>
      <c r="I232" s="935"/>
    </row>
    <row r="233" spans="1:9" ht="30" customHeight="1" x14ac:dyDescent="0.3">
      <c r="B233" s="932"/>
      <c r="C233" s="1463"/>
      <c r="D233" s="817" t="s">
        <v>260</v>
      </c>
      <c r="E233" s="936"/>
      <c r="F233" s="866"/>
      <c r="G233" s="869" t="s">
        <v>1326</v>
      </c>
      <c r="H233" s="866"/>
      <c r="I233" s="866"/>
    </row>
    <row r="234" spans="1:9" ht="30" customHeight="1" x14ac:dyDescent="0.3">
      <c r="B234" s="932"/>
      <c r="C234" s="1463"/>
      <c r="D234" s="817" t="s">
        <v>261</v>
      </c>
      <c r="E234" s="936"/>
      <c r="F234" s="866"/>
      <c r="G234" s="869" t="s">
        <v>1326</v>
      </c>
      <c r="H234" s="866"/>
      <c r="I234" s="866"/>
    </row>
  </sheetData>
  <sheetProtection algorithmName="SHA-512" hashValue="1RFv+f6tpQXmPXuO8WpbwXnaiq9X0WyrFxdIhGQmU5Dw6cHHpUPPoQZOqJarNPsMnw82JoKGs8ZEvGJA9g64Rw==" saltValue="O7JsGNEwBbODWjT0cJeNCw==" spinCount="100000" sheet="1" objects="1" scenarios="1"/>
  <dataConsolidate/>
  <mergeCells count="136">
    <mergeCell ref="C178:C180"/>
    <mergeCell ref="D169:D170"/>
    <mergeCell ref="D173:D175"/>
    <mergeCell ref="C173:C175"/>
    <mergeCell ref="B225:B228"/>
    <mergeCell ref="B116:B125"/>
    <mergeCell ref="B86:B92"/>
    <mergeCell ref="C225:I225"/>
    <mergeCell ref="B58:B59"/>
    <mergeCell ref="D202:D203"/>
    <mergeCell ref="C202:C203"/>
    <mergeCell ref="D140:D142"/>
    <mergeCell ref="D144:D145"/>
    <mergeCell ref="D146:D147"/>
    <mergeCell ref="D149:D150"/>
    <mergeCell ref="D156:D157"/>
    <mergeCell ref="B193:B207"/>
    <mergeCell ref="D189:D190"/>
    <mergeCell ref="D191:D192"/>
    <mergeCell ref="C189:C192"/>
    <mergeCell ref="F191:F192"/>
    <mergeCell ref="G191:G192"/>
    <mergeCell ref="H191:H192"/>
    <mergeCell ref="I191:I192"/>
    <mergeCell ref="D178:D180"/>
    <mergeCell ref="M8:R14"/>
    <mergeCell ref="L59:O59"/>
    <mergeCell ref="L50:P55"/>
    <mergeCell ref="C83:C85"/>
    <mergeCell ref="I12:I13"/>
    <mergeCell ref="C60:I60"/>
    <mergeCell ref="C14:I14"/>
    <mergeCell ref="E12:E13"/>
    <mergeCell ref="F12:H12"/>
    <mergeCell ref="C12:C13"/>
    <mergeCell ref="D12:D13"/>
    <mergeCell ref="F15:I19"/>
    <mergeCell ref="F58:I59"/>
    <mergeCell ref="C58:C59"/>
    <mergeCell ref="D29:D30"/>
    <mergeCell ref="C81:I81"/>
    <mergeCell ref="G39:G40"/>
    <mergeCell ref="D41:D42"/>
    <mergeCell ref="D37:D38"/>
    <mergeCell ref="D43:D45"/>
    <mergeCell ref="D50:D51"/>
    <mergeCell ref="D52:D54"/>
    <mergeCell ref="H39:H40"/>
    <mergeCell ref="C66:I66"/>
    <mergeCell ref="C231:C234"/>
    <mergeCell ref="C229:I229"/>
    <mergeCell ref="C88:C92"/>
    <mergeCell ref="C134:I134"/>
    <mergeCell ref="F162:F163"/>
    <mergeCell ref="C167:D167"/>
    <mergeCell ref="C116:I116"/>
    <mergeCell ref="C227:C228"/>
    <mergeCell ref="C211:C212"/>
    <mergeCell ref="C208:I208"/>
    <mergeCell ref="C153:I153"/>
    <mergeCell ref="C176:I176"/>
    <mergeCell ref="C204:I204"/>
    <mergeCell ref="C223:I224"/>
    <mergeCell ref="C159:I159"/>
    <mergeCell ref="C161:C163"/>
    <mergeCell ref="C111:C115"/>
    <mergeCell ref="D183:D184"/>
    <mergeCell ref="C183:C186"/>
    <mergeCell ref="F185:F186"/>
    <mergeCell ref="G185:G186"/>
    <mergeCell ref="H185:H186"/>
    <mergeCell ref="C131:I131"/>
    <mergeCell ref="C197:I197"/>
    <mergeCell ref="B2:I2"/>
    <mergeCell ref="C75:I75"/>
    <mergeCell ref="C102:C108"/>
    <mergeCell ref="C128:C130"/>
    <mergeCell ref="C126:I126"/>
    <mergeCell ref="C219:I219"/>
    <mergeCell ref="C155:C158"/>
    <mergeCell ref="C195:C196"/>
    <mergeCell ref="C216:C218"/>
    <mergeCell ref="D4:E4"/>
    <mergeCell ref="D5:E5"/>
    <mergeCell ref="D70:D71"/>
    <mergeCell ref="B4:C4"/>
    <mergeCell ref="B5:C5"/>
    <mergeCell ref="B12:B13"/>
    <mergeCell ref="B93:B99"/>
    <mergeCell ref="B15:B55"/>
    <mergeCell ref="B81:B85"/>
    <mergeCell ref="G162:G163"/>
    <mergeCell ref="D162:D163"/>
    <mergeCell ref="C136:C152"/>
    <mergeCell ref="C206:C207"/>
    <mergeCell ref="C213:I213"/>
    <mergeCell ref="C187:I187"/>
    <mergeCell ref="G29:G30"/>
    <mergeCell ref="C69:I69"/>
    <mergeCell ref="C62:C65"/>
    <mergeCell ref="C72:C74"/>
    <mergeCell ref="C86:I86"/>
    <mergeCell ref="F29:F30"/>
    <mergeCell ref="C70:C71"/>
    <mergeCell ref="H29:H30"/>
    <mergeCell ref="F39:F40"/>
    <mergeCell ref="D39:D40"/>
    <mergeCell ref="C78:I78"/>
    <mergeCell ref="C15:C56"/>
    <mergeCell ref="I20:I56"/>
    <mergeCell ref="D55:D56"/>
    <mergeCell ref="D46:D48"/>
    <mergeCell ref="B208:B221"/>
    <mergeCell ref="B60:B80"/>
    <mergeCell ref="B100:B115"/>
    <mergeCell ref="B126:B180"/>
    <mergeCell ref="B181:B192"/>
    <mergeCell ref="H120:H125"/>
    <mergeCell ref="D209:D210"/>
    <mergeCell ref="C209:C210"/>
    <mergeCell ref="C214:C215"/>
    <mergeCell ref="D214:D215"/>
    <mergeCell ref="C193:I193"/>
    <mergeCell ref="H162:H163"/>
    <mergeCell ref="C100:I100"/>
    <mergeCell ref="C109:I109"/>
    <mergeCell ref="C181:I181"/>
    <mergeCell ref="I162:I163"/>
    <mergeCell ref="C95:C99"/>
    <mergeCell ref="C118:C125"/>
    <mergeCell ref="C200:I200"/>
    <mergeCell ref="C93:I93"/>
    <mergeCell ref="I185:I186"/>
    <mergeCell ref="D136:D137"/>
    <mergeCell ref="D138:D139"/>
    <mergeCell ref="C169:C170"/>
  </mergeCells>
  <phoneticPr fontId="3" type="noConversion"/>
  <dataValidations count="1">
    <dataValidation type="list" allowBlank="1" showInputMessage="1" showErrorMessage="1" sqref="G233:G234 G94:G99 G160:G162 G101:G108 G20:G29 G41:G56 G165:G166 G168:G170 G172:G175 G87:G92 G227:G228 G212:G221 G61:G68 G31:G39 G70:G85 G110:G158 G177:G203 G205:G210" xr:uid="{3E06413D-A277-4B91-8837-958EEE26038F}">
      <formula1>"Not applicable,Legal prohibitions,Confidentiality constraints,Information unavailable/incomplete"</formula1>
    </dataValidation>
  </dataValidations>
  <hyperlinks>
    <hyperlink ref="E30" r:id="rId1" xr:uid="{41815C1A-FF53-49C9-A3FC-EB853956B5FE}"/>
    <hyperlink ref="E40" r:id="rId2" location="Policies" xr:uid="{95F6AE82-70E3-4EC6-B81D-B4D594BFC2BC}"/>
    <hyperlink ref="E231" r:id="rId3" display="JM Global tax policy" xr:uid="{4D730960-2A50-4AFA-BF58-942571C70002}"/>
    <hyperlink ref="E71" r:id="rId4" xr:uid="{21DA36BF-CFD7-4B1C-BDC5-55B4E36AC3DD}"/>
    <hyperlink ref="E42" r:id="rId5" location="Policies" xr:uid="{E2D247AF-04D9-4081-9DAF-63CA85CD1CAF}"/>
    <hyperlink ref="E38" r:id="rId6" display="JM Website - About Us" xr:uid="{D1D537EE-65E0-4F1F-AE54-CC15F2301E8B}"/>
    <hyperlink ref="E44" r:id="rId7" xr:uid="{E69999B9-97C2-4070-A43F-8185BCAD943F}"/>
    <hyperlink ref="E45" r:id="rId8" xr:uid="{8BAA618E-D3E6-458E-9722-3B496E2C2D35}"/>
    <hyperlink ref="E47" r:id="rId9" xr:uid="{F86FFD22-9541-4406-B367-DD5D3B1389F9}"/>
    <hyperlink ref="E48" r:id="rId10" display="JM Website - Code of Ethics" xr:uid="{DB511BD0-1819-4382-81D0-F0989D1A68FB}"/>
    <hyperlink ref="E54" r:id="rId11" xr:uid="{334AC7B4-C5DB-4CB9-86B8-A4E20D160DCC}"/>
    <hyperlink ref="E51" r:id="rId12" xr:uid="{2897C5F6-1293-4412-B084-D9B80E109464}"/>
    <hyperlink ref="E118" r:id="rId13" xr:uid="{7EE22E90-417D-42AF-AA44-3DF34D070EA5}"/>
    <hyperlink ref="E119" r:id="rId14" xr:uid="{DD8D4E3C-F89B-44C3-A9C3-9E88345FD5FA}"/>
    <hyperlink ref="E137" r:id="rId15" xr:uid="{E2AFDD92-A097-4E5A-BB84-D9AED36D8885}"/>
    <hyperlink ref="E139" r:id="rId16" xr:uid="{61167912-AE74-4115-82D3-78F41BB06270}"/>
    <hyperlink ref="E141" r:id="rId17" xr:uid="{B6312954-1119-42EE-BF9C-07B2D740CD53}"/>
    <hyperlink ref="E142" r:id="rId18" xr:uid="{C2914F83-3A17-46AA-928F-FB659BC9E352}"/>
    <hyperlink ref="E150" r:id="rId19" xr:uid="{CD61D508-5C0F-4480-A6B3-FAC66929FEBB}"/>
    <hyperlink ref="E157" r:id="rId20" xr:uid="{62B4FC11-06BC-4C79-A8AF-3261EEC175B9}"/>
    <hyperlink ref="E163" r:id="rId21" xr:uid="{164E7003-9CF2-44E4-A664-E9B26FA71726}"/>
    <hyperlink ref="E175" r:id="rId22" xr:uid="{797C1F6F-9295-4831-9739-DC03AF9484A1}"/>
    <hyperlink ref="E180" r:id="rId23" xr:uid="{6751BCD6-B05D-4D79-8BA7-FB3DC8E45B06}"/>
    <hyperlink ref="E195" r:id="rId24" xr:uid="{BC2DB359-8FFC-4939-BC86-F06A793EED62}"/>
    <hyperlink ref="E206" r:id="rId25" xr:uid="{E57033A8-9176-4305-BE66-F447714015DB}"/>
    <hyperlink ref="E207" r:id="rId26" xr:uid="{FC98566E-458A-47F4-A2A7-F88035E83BCF}"/>
    <hyperlink ref="E215" r:id="rId27" display="Product Stewardship on Matthey.com" xr:uid="{A89B2A38-43F0-4BCD-8247-762F74C2F843}"/>
    <hyperlink ref="E232" r:id="rId28" xr:uid="{F3F6C390-F28F-4773-AC79-329E5FC1440F}"/>
    <hyperlink ref="E56" r:id="rId29" xr:uid="{109E28CF-461F-40E8-9D80-634763E44361}"/>
    <hyperlink ref="E53" r:id="rId30" xr:uid="{098BCFB2-4D35-4A74-AB35-637729A9C1A6}"/>
    <hyperlink ref="E50" r:id="rId31" xr:uid="{047DF396-4615-49A6-BDD3-43F4270247EA}"/>
    <hyperlink ref="E130" r:id="rId32" xr:uid="{B70E92EB-D736-4187-A8FB-57AA258B9DF3}"/>
    <hyperlink ref="E129" r:id="rId33" xr:uid="{6B8F276E-22A4-43B7-A228-6975EA14581D}"/>
    <hyperlink ref="E156" r:id="rId34" xr:uid="{028524B7-6D98-4BE1-BB51-6E1E2C8F0EF8}"/>
    <hyperlink ref="E170" r:id="rId35" xr:uid="{89092E65-C258-45AC-877E-E0372C8E1AC2}"/>
    <hyperlink ref="E174" r:id="rId36" xr:uid="{4AF17B9A-CB9A-4A31-AEEA-2FDEC1F89A04}"/>
    <hyperlink ref="E179" r:id="rId37" xr:uid="{1931AE13-92A3-4D9C-AF6D-B56E7ABF8E37}"/>
    <hyperlink ref="E203" r:id="rId38" xr:uid="{EA2939E0-CCE7-453E-AF69-E6ABC61DB8CA}"/>
    <hyperlink ref="E210" r:id="rId39" xr:uid="{3BD6EBE8-300C-4A5C-AC7A-38BC8F6F4631}"/>
    <hyperlink ref="E184" r:id="rId40" xr:uid="{8D5D5919-763A-4690-8846-535CEFEAB44C}"/>
    <hyperlink ref="E186" r:id="rId41" xr:uid="{90458165-D44E-4342-93F1-D2892B998B35}"/>
    <hyperlink ref="E190" r:id="rId42" xr:uid="{959F210C-96D6-45FD-901D-324974FC915D}"/>
    <hyperlink ref="E192" r:id="rId43" xr:uid="{2E423CC7-1667-420B-8ECD-CF7B4229FB50}"/>
    <hyperlink ref="E147" r:id="rId44" xr:uid="{332C320F-DAA3-484F-AF3D-C252FAB57564}"/>
  </hyperlinks>
  <pageMargins left="0.23622047244094491" right="0.23622047244094491" top="0.74803149606299213" bottom="0.74803149606299213" header="0.31496062992125984" footer="0.31496062992125984"/>
  <pageSetup paperSize="9" scale="49" fitToHeight="0" orientation="landscape" verticalDpi="1200" r:id="rId45"/>
  <rowBreaks count="4" manualBreakCount="4">
    <brk id="56" min="1" max="8" man="1"/>
    <brk id="80" min="1" max="8" man="1"/>
    <brk id="180" min="1" max="8" man="1"/>
    <brk id="221" min="1" max="8" man="1"/>
  </rowBreaks>
  <drawing r:id="rId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codeName="Sheet12">
    <pageSetUpPr fitToPage="1"/>
  </sheetPr>
  <dimension ref="B2:K38"/>
  <sheetViews>
    <sheetView tabSelected="1" zoomScale="80" zoomScaleNormal="80" workbookViewId="0">
      <selection activeCell="C12" sqref="C12:C13"/>
    </sheetView>
  </sheetViews>
  <sheetFormatPr defaultColWidth="8.77734375" defaultRowHeight="13.8" x14ac:dyDescent="0.3"/>
  <cols>
    <col min="1" max="1" width="3.77734375" style="58" customWidth="1"/>
    <col min="2" max="2" width="44.21875" style="58" customWidth="1"/>
    <col min="3" max="3" width="68.21875" style="58" customWidth="1"/>
    <col min="4" max="4" width="15.21875" style="58" bestFit="1" customWidth="1"/>
    <col min="5" max="5" width="32.21875" style="58" bestFit="1" customWidth="1"/>
    <col min="6" max="6" width="61.21875" style="58" customWidth="1"/>
    <col min="7" max="16384" width="8.77734375" style="58"/>
  </cols>
  <sheetData>
    <row r="2" spans="2:6" ht="24.6" x14ac:dyDescent="0.3">
      <c r="B2" s="1529" t="s">
        <v>15</v>
      </c>
      <c r="C2" s="1529"/>
      <c r="D2" s="1529"/>
    </row>
    <row r="3" spans="2:6" x14ac:dyDescent="0.3">
      <c r="B3" s="590"/>
      <c r="C3" s="590"/>
      <c r="D3" s="590"/>
    </row>
    <row r="4" spans="2:6" ht="16.2" x14ac:dyDescent="0.3">
      <c r="B4" s="937" t="s">
        <v>267</v>
      </c>
      <c r="C4" s="590"/>
      <c r="D4" s="590"/>
    </row>
    <row r="5" spans="2:6" x14ac:dyDescent="0.3">
      <c r="B5" s="590"/>
      <c r="C5" s="590"/>
      <c r="D5" s="590"/>
    </row>
    <row r="6" spans="2:6" x14ac:dyDescent="0.3">
      <c r="B6" s="824" t="s">
        <v>48</v>
      </c>
      <c r="C6" s="8"/>
      <c r="D6" s="8"/>
    </row>
    <row r="7" spans="2:6" x14ac:dyDescent="0.3">
      <c r="B7" s="5" t="s">
        <v>49</v>
      </c>
      <c r="C7" s="8"/>
      <c r="D7" s="8"/>
    </row>
    <row r="8" spans="2:6" x14ac:dyDescent="0.3">
      <c r="B8" s="5" t="s">
        <v>50</v>
      </c>
      <c r="C8" s="8"/>
      <c r="D8" s="8"/>
    </row>
    <row r="9" spans="2:6" x14ac:dyDescent="0.3">
      <c r="B9" s="5"/>
      <c r="C9" s="8"/>
      <c r="D9" s="8"/>
    </row>
    <row r="10" spans="2:6" x14ac:dyDescent="0.3">
      <c r="B10" s="938" t="s">
        <v>268</v>
      </c>
      <c r="C10" s="939" t="s">
        <v>269</v>
      </c>
      <c r="D10" s="939" t="s">
        <v>270</v>
      </c>
      <c r="E10" s="940" t="s">
        <v>271</v>
      </c>
      <c r="F10" s="799" t="s">
        <v>272</v>
      </c>
    </row>
    <row r="11" spans="2:6" ht="75.599999999999994" x14ac:dyDescent="0.3">
      <c r="B11" s="1530" t="s">
        <v>273</v>
      </c>
      <c r="C11" s="817" t="s">
        <v>274</v>
      </c>
      <c r="D11" s="941" t="s">
        <v>275</v>
      </c>
      <c r="E11" s="942" t="s">
        <v>330</v>
      </c>
      <c r="F11" s="817" t="s">
        <v>1323</v>
      </c>
    </row>
    <row r="12" spans="2:6" ht="14.55" customHeight="1" x14ac:dyDescent="0.3">
      <c r="B12" s="1530"/>
      <c r="C12" s="1477" t="s">
        <v>276</v>
      </c>
      <c r="D12" s="1531" t="s">
        <v>277</v>
      </c>
      <c r="E12" s="942" t="s">
        <v>1421</v>
      </c>
      <c r="F12" s="817"/>
    </row>
    <row r="13" spans="2:6" ht="28.8" x14ac:dyDescent="0.3">
      <c r="B13" s="1530"/>
      <c r="C13" s="1477"/>
      <c r="D13" s="1531"/>
      <c r="E13" s="821" t="s">
        <v>1422</v>
      </c>
      <c r="F13" s="943"/>
    </row>
    <row r="14" spans="2:6" ht="75.599999999999994" x14ac:dyDescent="0.3">
      <c r="B14" s="944" t="s">
        <v>278</v>
      </c>
      <c r="C14" s="869" t="s">
        <v>279</v>
      </c>
      <c r="D14" s="866" t="s">
        <v>280</v>
      </c>
      <c r="E14" s="889" t="s">
        <v>330</v>
      </c>
      <c r="F14" s="679" t="s">
        <v>281</v>
      </c>
    </row>
    <row r="15" spans="2:6" ht="26.4" x14ac:dyDescent="0.3">
      <c r="B15" s="945" t="s">
        <v>282</v>
      </c>
      <c r="C15" s="869" t="s">
        <v>1322</v>
      </c>
      <c r="D15" s="941" t="s">
        <v>283</v>
      </c>
      <c r="E15" s="802" t="s">
        <v>1321</v>
      </c>
      <c r="F15" s="943"/>
    </row>
    <row r="16" spans="2:6" ht="25.2" x14ac:dyDescent="0.3">
      <c r="B16" s="1528" t="s">
        <v>284</v>
      </c>
      <c r="C16" s="869" t="s">
        <v>285</v>
      </c>
      <c r="D16" s="941" t="s">
        <v>286</v>
      </c>
      <c r="E16" s="802" t="s">
        <v>1379</v>
      </c>
      <c r="F16" s="943"/>
    </row>
    <row r="17" spans="2:11" ht="25.2" x14ac:dyDescent="0.3">
      <c r="B17" s="1528"/>
      <c r="C17" s="869" t="s">
        <v>287</v>
      </c>
      <c r="D17" s="941" t="s">
        <v>288</v>
      </c>
      <c r="E17" s="802" t="s">
        <v>1379</v>
      </c>
      <c r="F17" s="943"/>
    </row>
    <row r="18" spans="2:11" ht="25.2" x14ac:dyDescent="0.3">
      <c r="B18" s="1528"/>
      <c r="C18" s="817" t="s">
        <v>289</v>
      </c>
      <c r="D18" s="941" t="s">
        <v>290</v>
      </c>
      <c r="E18" s="802" t="s">
        <v>1426</v>
      </c>
      <c r="F18" s="943"/>
      <c r="K18" s="505"/>
    </row>
    <row r="19" spans="2:11" ht="25.2" x14ac:dyDescent="0.3">
      <c r="B19" s="945" t="s">
        <v>291</v>
      </c>
      <c r="C19" s="817" t="s">
        <v>292</v>
      </c>
      <c r="D19" s="941" t="s">
        <v>293</v>
      </c>
      <c r="E19" s="802" t="s">
        <v>1425</v>
      </c>
      <c r="F19" s="943"/>
    </row>
    <row r="20" spans="2:11" ht="14.55" customHeight="1" x14ac:dyDescent="0.3">
      <c r="B20" s="1536" t="s">
        <v>294</v>
      </c>
      <c r="C20" s="1494" t="s">
        <v>295</v>
      </c>
      <c r="D20" s="1534" t="s">
        <v>296</v>
      </c>
      <c r="E20" s="802" t="s">
        <v>1424</v>
      </c>
      <c r="F20" s="943"/>
    </row>
    <row r="21" spans="2:11" ht="25.2" x14ac:dyDescent="0.3">
      <c r="B21" s="1537"/>
      <c r="C21" s="1495"/>
      <c r="D21" s="1535"/>
      <c r="E21" s="868" t="s">
        <v>1404</v>
      </c>
      <c r="F21" s="946"/>
    </row>
    <row r="22" spans="2:11" ht="25.2" x14ac:dyDescent="0.3">
      <c r="B22" s="1528" t="s">
        <v>297</v>
      </c>
      <c r="C22" s="817" t="s">
        <v>298</v>
      </c>
      <c r="D22" s="941" t="s">
        <v>299</v>
      </c>
      <c r="E22" s="802" t="s">
        <v>1423</v>
      </c>
      <c r="F22" s="943"/>
    </row>
    <row r="23" spans="2:11" ht="25.2" x14ac:dyDescent="0.3">
      <c r="B23" s="1528"/>
      <c r="C23" s="1457" t="s">
        <v>300</v>
      </c>
      <c r="D23" s="1532" t="s">
        <v>301</v>
      </c>
      <c r="E23" s="802" t="s">
        <v>1398</v>
      </c>
      <c r="F23" s="943"/>
    </row>
    <row r="24" spans="2:11" ht="25.2" x14ac:dyDescent="0.3">
      <c r="B24" s="1528"/>
      <c r="C24" s="1458"/>
      <c r="D24" s="1533"/>
      <c r="E24" s="900" t="s">
        <v>1397</v>
      </c>
      <c r="F24" s="943"/>
    </row>
    <row r="25" spans="2:11" ht="63" x14ac:dyDescent="0.3">
      <c r="B25" s="947" t="s">
        <v>302</v>
      </c>
      <c r="C25" s="869" t="s">
        <v>303</v>
      </c>
      <c r="D25" s="866" t="s">
        <v>304</v>
      </c>
      <c r="E25" s="948" t="s">
        <v>305</v>
      </c>
      <c r="F25" s="679" t="s">
        <v>1320</v>
      </c>
    </row>
    <row r="26" spans="2:11" ht="88.2" x14ac:dyDescent="0.3">
      <c r="B26" s="1528" t="s">
        <v>306</v>
      </c>
      <c r="C26" s="817" t="s">
        <v>307</v>
      </c>
      <c r="D26" s="941" t="s">
        <v>308</v>
      </c>
      <c r="E26" s="948" t="s">
        <v>305</v>
      </c>
      <c r="F26" s="508" t="s">
        <v>309</v>
      </c>
    </row>
    <row r="27" spans="2:11" ht="163.80000000000001" x14ac:dyDescent="0.3">
      <c r="B27" s="1528"/>
      <c r="C27" s="817" t="s">
        <v>310</v>
      </c>
      <c r="D27" s="941" t="s">
        <v>311</v>
      </c>
      <c r="E27" s="948" t="s">
        <v>305</v>
      </c>
      <c r="F27" s="508" t="s">
        <v>1411</v>
      </c>
    </row>
    <row r="28" spans="2:11" ht="88.2" x14ac:dyDescent="0.3">
      <c r="B28" s="947" t="s">
        <v>312</v>
      </c>
      <c r="C28" s="817" t="s">
        <v>313</v>
      </c>
      <c r="D28" s="941" t="s">
        <v>314</v>
      </c>
      <c r="E28" s="865" t="s">
        <v>315</v>
      </c>
      <c r="F28" s="805" t="s">
        <v>316</v>
      </c>
    </row>
    <row r="29" spans="2:11" ht="37.799999999999997" x14ac:dyDescent="0.3">
      <c r="B29" s="947" t="s">
        <v>317</v>
      </c>
      <c r="C29" s="817" t="s">
        <v>318</v>
      </c>
      <c r="D29" s="941" t="s">
        <v>319</v>
      </c>
      <c r="E29" s="949" t="s">
        <v>320</v>
      </c>
      <c r="F29" s="943"/>
    </row>
    <row r="30" spans="2:11" ht="39" x14ac:dyDescent="0.3">
      <c r="B30" s="1528" t="s">
        <v>321</v>
      </c>
      <c r="C30" s="817" t="s">
        <v>322</v>
      </c>
      <c r="D30" s="941" t="s">
        <v>323</v>
      </c>
      <c r="E30" s="802" t="s">
        <v>1410</v>
      </c>
      <c r="F30" s="943"/>
    </row>
    <row r="31" spans="2:11" x14ac:dyDescent="0.3">
      <c r="B31" s="1528"/>
      <c r="C31" s="817" t="s">
        <v>324</v>
      </c>
      <c r="D31" s="941" t="s">
        <v>325</v>
      </c>
      <c r="E31" s="865" t="s">
        <v>326</v>
      </c>
      <c r="F31" s="943"/>
    </row>
    <row r="32" spans="2:11" x14ac:dyDescent="0.3">
      <c r="B32" s="947" t="s">
        <v>327</v>
      </c>
      <c r="C32" s="817" t="s">
        <v>328</v>
      </c>
      <c r="D32" s="941" t="s">
        <v>329</v>
      </c>
      <c r="E32" s="865" t="s">
        <v>330</v>
      </c>
      <c r="F32" s="943"/>
    </row>
    <row r="33" spans="2:6" x14ac:dyDescent="0.3">
      <c r="B33" s="91"/>
      <c r="C33" s="91"/>
      <c r="D33" s="91"/>
      <c r="E33" s="91"/>
    </row>
    <row r="34" spans="2:6" x14ac:dyDescent="0.3">
      <c r="B34" s="1527" t="s">
        <v>331</v>
      </c>
      <c r="C34" s="1527"/>
      <c r="D34" s="1527"/>
      <c r="E34" s="1527"/>
    </row>
    <row r="35" spans="2:6" x14ac:dyDescent="0.3">
      <c r="B35" s="1527" t="s">
        <v>332</v>
      </c>
      <c r="C35" s="1527"/>
      <c r="D35" s="1527"/>
      <c r="E35" s="1527"/>
      <c r="F35" s="1527"/>
    </row>
    <row r="36" spans="2:6" x14ac:dyDescent="0.3">
      <c r="B36" s="1527" t="s">
        <v>333</v>
      </c>
      <c r="C36" s="1527"/>
      <c r="D36" s="1527"/>
      <c r="E36" s="1527"/>
    </row>
    <row r="37" spans="2:6" x14ac:dyDescent="0.3">
      <c r="B37" s="1527" t="s">
        <v>334</v>
      </c>
      <c r="C37" s="1527"/>
      <c r="D37" s="1527"/>
      <c r="E37" s="1527"/>
    </row>
    <row r="38" spans="2:6" x14ac:dyDescent="0.3">
      <c r="B38" s="1527" t="s">
        <v>335</v>
      </c>
      <c r="C38" s="1527"/>
      <c r="D38" s="1527"/>
      <c r="E38" s="1527"/>
      <c r="F38" s="1527"/>
    </row>
  </sheetData>
  <sheetProtection algorithmName="SHA-512" hashValue="WVs5dkGqo4ZDSmnm1H8iD7kPB7ZhH9N3nYA9SGj7vAjDjmRJQtujAJ/mewoo1wJ/wLVcXZ9/so0Vlil8dI802A==" saltValue="uC3gOBjs4iDumaPUFtrDsA==" spinCount="100000" sheet="1" objects="1" scenarios="1"/>
  <mergeCells count="18">
    <mergeCell ref="B2:D2"/>
    <mergeCell ref="B11:B13"/>
    <mergeCell ref="B16:B18"/>
    <mergeCell ref="B22:B24"/>
    <mergeCell ref="B26:B27"/>
    <mergeCell ref="C12:C13"/>
    <mergeCell ref="D12:D13"/>
    <mergeCell ref="C23:C24"/>
    <mergeCell ref="D23:D24"/>
    <mergeCell ref="C20:C21"/>
    <mergeCell ref="D20:D21"/>
    <mergeCell ref="B20:B21"/>
    <mergeCell ref="B38:F38"/>
    <mergeCell ref="B30:B31"/>
    <mergeCell ref="B34:E34"/>
    <mergeCell ref="B36:E36"/>
    <mergeCell ref="B37:E37"/>
    <mergeCell ref="B35:F35"/>
  </mergeCells>
  <hyperlinks>
    <hyperlink ref="E29" r:id="rId1" xr:uid="{42F76716-2693-4E81-A18A-75771DAB12A9}"/>
    <hyperlink ref="E13" r:id="rId2" xr:uid="{574E88B1-C392-478A-9EFD-98D4E4221499}"/>
    <hyperlink ref="E21" r:id="rId3" xr:uid="{F088FDBB-DA9E-4ACC-A462-F26321C16B99}"/>
    <hyperlink ref="E24" r:id="rId4" xr:uid="{7B56F580-6709-40CF-9490-827AE87E8B00}"/>
  </hyperlinks>
  <pageMargins left="0.70866141732283472" right="0.70866141732283472" top="0.74803149606299213" bottom="0.74803149606299213" header="0.31496062992125984" footer="0.31496062992125984"/>
  <pageSetup paperSize="9" scale="37"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codeName="Sheet13">
    <pageSetUpPr fitToPage="1"/>
  </sheetPr>
  <dimension ref="B2:K21"/>
  <sheetViews>
    <sheetView zoomScale="80" zoomScaleNormal="80" workbookViewId="0"/>
  </sheetViews>
  <sheetFormatPr defaultColWidth="8.77734375" defaultRowHeight="12.6" x14ac:dyDescent="0.3"/>
  <cols>
    <col min="1" max="1" width="2.77734375" style="452" customWidth="1"/>
    <col min="2" max="2" width="30.44140625" style="452" customWidth="1"/>
    <col min="3" max="3" width="119.21875" style="452" customWidth="1"/>
    <col min="4" max="4" width="27.21875" style="452" customWidth="1"/>
    <col min="5" max="5" width="18.5546875" style="452" customWidth="1"/>
    <col min="6" max="6" width="24.77734375" style="452" customWidth="1"/>
    <col min="7" max="16384" width="8.77734375" style="452"/>
  </cols>
  <sheetData>
    <row r="2" spans="2:5" ht="24.6" x14ac:dyDescent="0.3">
      <c r="B2" s="1529" t="s">
        <v>16</v>
      </c>
      <c r="C2" s="1529"/>
      <c r="D2" s="1529"/>
    </row>
    <row r="3" spans="2:5" x14ac:dyDescent="0.3">
      <c r="B3" s="591"/>
      <c r="C3" s="591"/>
      <c r="D3" s="591"/>
    </row>
    <row r="4" spans="2:5" s="560" customFormat="1" ht="77.099999999999994" customHeight="1" x14ac:dyDescent="0.3">
      <c r="B4" s="1541" t="s">
        <v>336</v>
      </c>
      <c r="C4" s="1541"/>
      <c r="D4" s="1541"/>
      <c r="E4" s="1541"/>
    </row>
    <row r="5" spans="2:5" x14ac:dyDescent="0.3">
      <c r="B5" s="495"/>
      <c r="C5" s="495"/>
      <c r="D5" s="495"/>
    </row>
    <row r="6" spans="2:5" x14ac:dyDescent="0.3">
      <c r="B6" s="496" t="s">
        <v>48</v>
      </c>
      <c r="C6" s="495"/>
      <c r="D6" s="495"/>
    </row>
    <row r="7" spans="2:5" ht="13.8" x14ac:dyDescent="0.3">
      <c r="B7" s="5" t="s">
        <v>49</v>
      </c>
      <c r="C7" s="495"/>
      <c r="D7" s="495"/>
    </row>
    <row r="8" spans="2:5" ht="13.8" x14ac:dyDescent="0.3">
      <c r="B8" s="5" t="s">
        <v>50</v>
      </c>
      <c r="C8" s="495"/>
      <c r="D8" s="495"/>
    </row>
    <row r="9" spans="2:5" x14ac:dyDescent="0.3">
      <c r="B9" s="453"/>
      <c r="C9" s="495"/>
      <c r="D9" s="495"/>
    </row>
    <row r="10" spans="2:5" ht="13.8" x14ac:dyDescent="0.3">
      <c r="B10" s="587" t="s">
        <v>337</v>
      </c>
      <c r="C10" s="588" t="s">
        <v>338</v>
      </c>
      <c r="D10" s="589" t="s">
        <v>271</v>
      </c>
      <c r="E10" s="589" t="s">
        <v>339</v>
      </c>
    </row>
    <row r="11" spans="2:5" ht="64.05" customHeight="1" x14ac:dyDescent="0.3">
      <c r="B11" s="1538" t="s">
        <v>340</v>
      </c>
      <c r="C11" s="558" t="s">
        <v>341</v>
      </c>
      <c r="D11" s="744" t="s">
        <v>1427</v>
      </c>
      <c r="E11" s="672" t="s">
        <v>342</v>
      </c>
    </row>
    <row r="12" spans="2:5" ht="64.05" customHeight="1" x14ac:dyDescent="0.3">
      <c r="B12" s="1540"/>
      <c r="C12" s="559" t="s">
        <v>343</v>
      </c>
      <c r="D12" s="744" t="s">
        <v>1427</v>
      </c>
      <c r="E12" s="673" t="s">
        <v>342</v>
      </c>
    </row>
    <row r="13" spans="2:5" ht="43.05" customHeight="1" x14ac:dyDescent="0.3">
      <c r="B13" s="1538" t="s">
        <v>344</v>
      </c>
      <c r="C13" s="558" t="s">
        <v>345</v>
      </c>
      <c r="D13" s="744" t="s">
        <v>1428</v>
      </c>
      <c r="E13" s="672" t="s">
        <v>346</v>
      </c>
    </row>
    <row r="14" spans="2:5" ht="43.05" customHeight="1" x14ac:dyDescent="0.3">
      <c r="B14" s="1539"/>
      <c r="C14" s="557" t="s">
        <v>347</v>
      </c>
      <c r="D14" s="744" t="s">
        <v>1428</v>
      </c>
      <c r="E14" s="674" t="s">
        <v>348</v>
      </c>
    </row>
    <row r="15" spans="2:5" ht="43.05" customHeight="1" x14ac:dyDescent="0.3">
      <c r="B15" s="1540"/>
      <c r="C15" s="559" t="s">
        <v>349</v>
      </c>
      <c r="D15" s="744" t="s">
        <v>1428</v>
      </c>
      <c r="E15" s="673" t="s">
        <v>350</v>
      </c>
    </row>
    <row r="16" spans="2:5" ht="33" customHeight="1" x14ac:dyDescent="0.3">
      <c r="B16" s="1538" t="s">
        <v>351</v>
      </c>
      <c r="C16" s="558" t="s">
        <v>352</v>
      </c>
      <c r="D16" s="744" t="s">
        <v>1429</v>
      </c>
      <c r="E16" s="672" t="s">
        <v>353</v>
      </c>
    </row>
    <row r="17" spans="2:11" ht="25.05" customHeight="1" x14ac:dyDescent="0.3">
      <c r="B17" s="1539"/>
      <c r="C17" s="557" t="s">
        <v>354</v>
      </c>
      <c r="D17" s="744" t="s">
        <v>1429</v>
      </c>
      <c r="E17" s="674" t="s">
        <v>353</v>
      </c>
      <c r="K17" s="506"/>
    </row>
    <row r="18" spans="2:11" ht="40.5" customHeight="1" x14ac:dyDescent="0.3">
      <c r="B18" s="1540"/>
      <c r="C18" s="559" t="s">
        <v>355</v>
      </c>
      <c r="D18" s="744" t="s">
        <v>1429</v>
      </c>
      <c r="E18" s="673" t="s">
        <v>356</v>
      </c>
    </row>
    <row r="19" spans="2:11" ht="43.5" customHeight="1" x14ac:dyDescent="0.3">
      <c r="B19" s="1538" t="s">
        <v>357</v>
      </c>
      <c r="C19" s="558" t="s">
        <v>358</v>
      </c>
      <c r="D19" s="744" t="s">
        <v>1430</v>
      </c>
      <c r="E19" s="672" t="s">
        <v>359</v>
      </c>
    </row>
    <row r="20" spans="2:11" ht="43.5" customHeight="1" x14ac:dyDescent="0.3">
      <c r="B20" s="1539"/>
      <c r="C20" s="557" t="s">
        <v>360</v>
      </c>
      <c r="D20" s="744" t="s">
        <v>1431</v>
      </c>
      <c r="E20" s="674" t="s">
        <v>359</v>
      </c>
    </row>
    <row r="21" spans="2:11" ht="43.5" customHeight="1" x14ac:dyDescent="0.3">
      <c r="B21" s="1540"/>
      <c r="C21" s="559" t="s">
        <v>361</v>
      </c>
      <c r="D21" s="744" t="s">
        <v>1430</v>
      </c>
      <c r="E21" s="673" t="s">
        <v>362</v>
      </c>
    </row>
  </sheetData>
  <sheetProtection algorithmName="SHA-512" hashValue="mucLtI2qHZhuQw0BQV+4wygX9d7rD4Bm+kTUqcXjuiHlpsPOk085UXwqXmseML5dBCAOEIJIBeeSABbJiXfkAA==" saltValue="fhirqOB6pUJdrvZVsm8Q5A=="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80" zoomScaleNormal="80" workbookViewId="0"/>
  </sheetViews>
  <sheetFormatPr defaultColWidth="8.77734375" defaultRowHeight="12.6" x14ac:dyDescent="0.3"/>
  <cols>
    <col min="1" max="1" width="3.6640625" style="452" customWidth="1"/>
    <col min="2" max="2" width="16.5546875" style="452" customWidth="1"/>
    <col min="3" max="3" width="47.21875" style="452" customWidth="1"/>
    <col min="4" max="4" width="56.77734375" style="452" customWidth="1"/>
    <col min="5" max="5" width="65" style="822" hidden="1" customWidth="1"/>
    <col min="6" max="6" width="65" style="823" hidden="1" customWidth="1"/>
    <col min="7" max="7" width="35.5546875" style="452" customWidth="1"/>
    <col min="8" max="8" width="52.33203125" style="452" customWidth="1"/>
    <col min="9" max="9" width="50.44140625" style="452" customWidth="1"/>
    <col min="10" max="10" width="9.77734375" style="452" bestFit="1" customWidth="1"/>
    <col min="11" max="12" width="8.77734375" style="452"/>
    <col min="13" max="13" width="10.77734375" style="452" bestFit="1" customWidth="1"/>
    <col min="14" max="16384" width="8.77734375" style="452"/>
  </cols>
  <sheetData>
    <row r="2" spans="2:9" ht="24.6" x14ac:dyDescent="0.3">
      <c r="B2" s="1529" t="s">
        <v>363</v>
      </c>
      <c r="C2" s="1529"/>
      <c r="D2" s="1529"/>
      <c r="E2" s="1529"/>
      <c r="F2" s="1529"/>
    </row>
    <row r="4" spans="2:9" ht="13.8" x14ac:dyDescent="0.3">
      <c r="B4" s="824" t="s">
        <v>48</v>
      </c>
    </row>
    <row r="5" spans="2:9" ht="13.8" x14ac:dyDescent="0.3">
      <c r="B5" s="5" t="s">
        <v>49</v>
      </c>
    </row>
    <row r="6" spans="2:9" ht="13.8" x14ac:dyDescent="0.3">
      <c r="B6" s="5" t="s">
        <v>50</v>
      </c>
    </row>
    <row r="8" spans="2:9" s="503" customFormat="1" ht="17.55" customHeight="1" x14ac:dyDescent="0.3">
      <c r="B8" s="798" t="s">
        <v>364</v>
      </c>
      <c r="C8" s="798" t="s">
        <v>365</v>
      </c>
      <c r="D8" s="798" t="s">
        <v>366</v>
      </c>
      <c r="E8" s="798" t="s">
        <v>364</v>
      </c>
      <c r="F8" s="798" t="s">
        <v>364</v>
      </c>
      <c r="G8" s="799" t="s">
        <v>271</v>
      </c>
      <c r="H8" s="799" t="s">
        <v>272</v>
      </c>
    </row>
    <row r="9" spans="2:9" ht="25.2" x14ac:dyDescent="0.3">
      <c r="B9" s="1542" t="s">
        <v>140</v>
      </c>
      <c r="C9" s="1548" t="s">
        <v>367</v>
      </c>
      <c r="D9" s="507" t="s">
        <v>368</v>
      </c>
      <c r="E9" s="800"/>
      <c r="F9" s="1543" t="s">
        <v>369</v>
      </c>
      <c r="G9" s="802" t="s">
        <v>1432</v>
      </c>
      <c r="H9" s="803" t="str">
        <f>TEXT(ROUNDDOWN(Environment!D11,0),"#,###")&amp;" tonnes CO₂e"</f>
        <v>225,330 tonnes CO₂e</v>
      </c>
    </row>
    <row r="10" spans="2:9" ht="25.2" x14ac:dyDescent="0.3">
      <c r="B10" s="1542"/>
      <c r="C10" s="1548"/>
      <c r="D10" s="507" t="s">
        <v>370</v>
      </c>
      <c r="E10" s="800"/>
      <c r="F10" s="1543"/>
      <c r="G10" s="802" t="s">
        <v>1432</v>
      </c>
      <c r="H10" s="803" t="str">
        <f>TEXT(ROUNDDOWN(Environment!D12,0),"#,###")&amp;" tonnes CO₂e"</f>
        <v>21,204 tonnes CO₂e</v>
      </c>
      <c r="I10" s="825"/>
    </row>
    <row r="11" spans="2:9" ht="25.2" x14ac:dyDescent="0.3">
      <c r="B11" s="1542"/>
      <c r="C11" s="1548"/>
      <c r="D11" s="507" t="s">
        <v>371</v>
      </c>
      <c r="E11" s="800"/>
      <c r="F11" s="1543"/>
      <c r="G11" s="802" t="s">
        <v>1432</v>
      </c>
      <c r="H11" s="803" t="str">
        <f>TEXT(ROUND(Environment!D36,0),"#,###")&amp;" tonnes CO₂e"</f>
        <v>3,445,486 tonnes CO₂e</v>
      </c>
    </row>
    <row r="12" spans="2:9" ht="31.05" customHeight="1" x14ac:dyDescent="0.3">
      <c r="B12" s="1542"/>
      <c r="C12" s="1548"/>
      <c r="D12" s="507" t="s">
        <v>372</v>
      </c>
      <c r="E12" s="800"/>
      <c r="F12" s="1543"/>
      <c r="G12" s="802" t="s">
        <v>1432</v>
      </c>
      <c r="H12" s="803" t="str">
        <f>TEXT(ROUND(Environment!D43,0),"#,###")&amp;" tonnes CO₂e"</f>
        <v>3,692,020 tonnes CO₂e</v>
      </c>
      <c r="I12" s="826"/>
    </row>
    <row r="13" spans="2:9" ht="54" hidden="1" customHeight="1" x14ac:dyDescent="0.3">
      <c r="B13" s="1542"/>
      <c r="C13" s="800" t="s">
        <v>373</v>
      </c>
      <c r="D13" s="800" t="s">
        <v>373</v>
      </c>
      <c r="E13" s="800"/>
      <c r="F13" s="801" t="s">
        <v>374</v>
      </c>
      <c r="G13" s="804"/>
      <c r="H13" s="803" t="str">
        <f>TEXT(ROUNDUP(Environment!E44,0),"#,###")&amp;" tonnes CO₂e"</f>
        <v>39 tonnes CO₂e</v>
      </c>
    </row>
    <row r="14" spans="2:9" ht="31.05" customHeight="1" x14ac:dyDescent="0.3">
      <c r="B14" s="1542"/>
      <c r="C14" s="805" t="s">
        <v>375</v>
      </c>
      <c r="D14" s="507" t="s">
        <v>376</v>
      </c>
      <c r="E14" s="800"/>
      <c r="F14" s="801" t="s">
        <v>377</v>
      </c>
      <c r="G14" s="802" t="s">
        <v>330</v>
      </c>
      <c r="H14" s="803" t="str">
        <f>TEXT(Environment!D45,"0.0")&amp;" tonnes CO₂e/£ million revenue"</f>
        <v>316.3 tonnes CO₂e/£ million revenue</v>
      </c>
      <c r="I14" s="827"/>
    </row>
    <row r="15" spans="2:9" ht="31.05" customHeight="1" x14ac:dyDescent="0.3">
      <c r="B15" s="1542"/>
      <c r="C15" s="806" t="s">
        <v>378</v>
      </c>
      <c r="D15" s="806" t="s">
        <v>379</v>
      </c>
      <c r="E15" s="807" t="s">
        <v>380</v>
      </c>
      <c r="F15" s="808" t="s">
        <v>381</v>
      </c>
      <c r="G15" s="802" t="s">
        <v>1318</v>
      </c>
      <c r="H15" s="809" t="s">
        <v>1319</v>
      </c>
      <c r="I15" s="828"/>
    </row>
    <row r="16" spans="2:9" ht="49.05" customHeight="1" x14ac:dyDescent="0.3">
      <c r="B16" s="1542"/>
      <c r="C16" s="805" t="s">
        <v>382</v>
      </c>
      <c r="D16" s="805" t="s">
        <v>383</v>
      </c>
      <c r="E16" s="810" t="s">
        <v>384</v>
      </c>
      <c r="F16" s="801" t="s">
        <v>385</v>
      </c>
      <c r="G16" s="802" t="s">
        <v>330</v>
      </c>
      <c r="H16" s="811" t="s">
        <v>1288</v>
      </c>
      <c r="I16" s="829"/>
    </row>
    <row r="17" spans="2:13" ht="30" customHeight="1" x14ac:dyDescent="0.3">
      <c r="B17" s="1542"/>
      <c r="C17" s="805" t="s">
        <v>386</v>
      </c>
      <c r="D17" s="805" t="s">
        <v>387</v>
      </c>
      <c r="E17" s="812" t="s">
        <v>388</v>
      </c>
      <c r="F17" s="813" t="s">
        <v>389</v>
      </c>
      <c r="G17" s="802" t="s">
        <v>330</v>
      </c>
      <c r="H17" s="809" t="s">
        <v>1287</v>
      </c>
    </row>
    <row r="18" spans="2:13" ht="61.05" customHeight="1" x14ac:dyDescent="0.3">
      <c r="B18" s="814" t="s">
        <v>35</v>
      </c>
      <c r="C18" s="805" t="s">
        <v>390</v>
      </c>
      <c r="D18" s="805" t="s">
        <v>391</v>
      </c>
      <c r="E18" s="815" t="s">
        <v>392</v>
      </c>
      <c r="F18" s="801" t="s">
        <v>393</v>
      </c>
      <c r="G18" s="816" t="s">
        <v>394</v>
      </c>
      <c r="H18" s="811" t="s">
        <v>1286</v>
      </c>
    </row>
    <row r="19" spans="2:13" ht="75.599999999999994" x14ac:dyDescent="0.3">
      <c r="B19" s="814" t="s">
        <v>34</v>
      </c>
      <c r="C19" s="817" t="s">
        <v>395</v>
      </c>
      <c r="D19" s="805" t="s">
        <v>396</v>
      </c>
      <c r="E19" s="815" t="s">
        <v>397</v>
      </c>
      <c r="F19" s="801" t="s">
        <v>398</v>
      </c>
      <c r="G19" s="802" t="s">
        <v>1285</v>
      </c>
      <c r="H19" s="811" t="s">
        <v>399</v>
      </c>
      <c r="L19" s="830"/>
    </row>
    <row r="20" spans="2:13" ht="37.950000000000003" customHeight="1" x14ac:dyDescent="0.3">
      <c r="B20" s="814" t="s">
        <v>149</v>
      </c>
      <c r="C20" s="805" t="s">
        <v>400</v>
      </c>
      <c r="D20" s="805" t="s">
        <v>401</v>
      </c>
      <c r="E20" s="815" t="s">
        <v>402</v>
      </c>
      <c r="F20" s="801" t="s">
        <v>403</v>
      </c>
      <c r="G20" s="802" t="s">
        <v>330</v>
      </c>
      <c r="H20" s="811" t="str">
        <f>TEXT(ROUNDDOWN(Environment!D112,0),"#,###")&amp;" tonnes"</f>
        <v>37,435 tonnes</v>
      </c>
    </row>
    <row r="21" spans="2:13" ht="57" customHeight="1" x14ac:dyDescent="0.3">
      <c r="B21" s="1544" t="s">
        <v>404</v>
      </c>
      <c r="C21" s="805" t="s">
        <v>405</v>
      </c>
      <c r="D21" s="805" t="s">
        <v>405</v>
      </c>
      <c r="E21" s="818"/>
      <c r="F21" s="801" t="s">
        <v>406</v>
      </c>
      <c r="G21" s="819"/>
      <c r="H21" s="820" t="s">
        <v>407</v>
      </c>
    </row>
    <row r="22" spans="2:13" ht="37.049999999999997" customHeight="1" x14ac:dyDescent="0.3">
      <c r="B22" s="1544"/>
      <c r="C22" s="1545" t="s">
        <v>408</v>
      </c>
      <c r="D22" s="1545" t="s">
        <v>409</v>
      </c>
      <c r="E22" s="818"/>
      <c r="F22" s="801" t="s">
        <v>410</v>
      </c>
      <c r="G22" s="1549" t="s">
        <v>411</v>
      </c>
      <c r="H22" s="1547" t="s">
        <v>412</v>
      </c>
      <c r="M22" s="831"/>
    </row>
    <row r="23" spans="2:13" ht="34.5" customHeight="1" x14ac:dyDescent="0.3">
      <c r="B23" s="1544"/>
      <c r="C23" s="1545"/>
      <c r="D23" s="1545"/>
      <c r="E23" s="818"/>
      <c r="F23" s="801"/>
      <c r="G23" s="1549"/>
      <c r="H23" s="1547"/>
      <c r="M23" s="831"/>
    </row>
    <row r="24" spans="2:13" ht="11.55" customHeight="1" x14ac:dyDescent="0.3">
      <c r="B24" s="1544"/>
      <c r="C24" s="1545" t="s">
        <v>413</v>
      </c>
      <c r="D24" s="1545" t="s">
        <v>414</v>
      </c>
      <c r="E24" s="818"/>
      <c r="F24" s="801" t="s">
        <v>415</v>
      </c>
      <c r="G24" s="1550" t="s">
        <v>417</v>
      </c>
      <c r="H24" s="1546" t="s">
        <v>416</v>
      </c>
    </row>
    <row r="25" spans="2:13" ht="14.55" customHeight="1" x14ac:dyDescent="0.3">
      <c r="B25" s="1544"/>
      <c r="C25" s="1545"/>
      <c r="D25" s="1545"/>
      <c r="E25" s="818"/>
      <c r="F25" s="801"/>
      <c r="G25" s="1551"/>
      <c r="H25" s="1546"/>
    </row>
    <row r="26" spans="2:13" ht="37.5" customHeight="1" x14ac:dyDescent="0.3">
      <c r="B26" s="1544"/>
      <c r="C26" s="805" t="s">
        <v>418</v>
      </c>
      <c r="D26" s="805" t="s">
        <v>419</v>
      </c>
      <c r="E26" s="818"/>
      <c r="F26" s="801" t="s">
        <v>420</v>
      </c>
      <c r="G26" s="802" t="s">
        <v>1433</v>
      </c>
      <c r="H26" s="811" t="s">
        <v>421</v>
      </c>
    </row>
    <row r="27" spans="2:13" ht="46.5" customHeight="1" x14ac:dyDescent="0.3">
      <c r="B27" s="1544"/>
      <c r="C27" s="805" t="s">
        <v>422</v>
      </c>
      <c r="D27" s="805" t="s">
        <v>423</v>
      </c>
      <c r="E27" s="818"/>
      <c r="F27" s="801" t="s">
        <v>424</v>
      </c>
      <c r="G27" s="819"/>
      <c r="H27" s="811" t="s">
        <v>1434</v>
      </c>
    </row>
    <row r="28" spans="2:13" x14ac:dyDescent="0.3">
      <c r="E28" s="832"/>
      <c r="H28" s="833"/>
    </row>
    <row r="29" spans="2:13" x14ac:dyDescent="0.3">
      <c r="E29" s="832"/>
    </row>
  </sheetData>
  <sheetProtection algorithmName="SHA-512" hashValue="N9YtF0LQcmjQxYIdcyKglMp+I5I80Hu1nsSNBvdxNqZFSlFb8/zJUnmmyZWb9EkRddUBJcq3fRgZSbtZLH4x7A==" saltValue="iApLNUBLYXKw2rCVAe7n5g==" spinCount="100000" sheet="1" objects="1" scenarios="1"/>
  <mergeCells count="13">
    <mergeCell ref="H24:H25"/>
    <mergeCell ref="C22:C23"/>
    <mergeCell ref="D22:D23"/>
    <mergeCell ref="H22:H23"/>
    <mergeCell ref="C9:C12"/>
    <mergeCell ref="G22:G23"/>
    <mergeCell ref="G24:G25"/>
    <mergeCell ref="B9:B17"/>
    <mergeCell ref="F9:F12"/>
    <mergeCell ref="B21:B27"/>
    <mergeCell ref="B2:F2"/>
    <mergeCell ref="C24:C25"/>
    <mergeCell ref="D24:D25"/>
  </mergeCells>
  <hyperlinks>
    <hyperlink ref="G24" r:id="rId1" xr:uid="{56E27788-FCB8-4905-9EE0-9BB306062DAD}"/>
    <hyperlink ref="G22" r:id="rId2" xr:uid="{EC01C020-7808-4B6D-AB2F-7636701D8CA0}"/>
    <hyperlink ref="G18" r:id="rId3" display="https://matthey.com/contact-us?assetCategoryIds=&amp;sort=ddm__keyword__232321__Country" xr:uid="{90784D5D-E25B-480A-B107-1751B6F184AB}"/>
  </hyperlinks>
  <pageMargins left="0.70866141732283472" right="0.70866141732283472" top="0.74803149606299213" bottom="0.74803149606299213" header="0.31496062992125984" footer="0.31496062992125984"/>
  <pageSetup paperSize="9" scale="60" orientation="landscape"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codeName="Sheet14">
    <pageSetUpPr fitToPage="1"/>
  </sheetPr>
  <dimension ref="B2:W38"/>
  <sheetViews>
    <sheetView zoomScale="80" zoomScaleNormal="80" workbookViewId="0"/>
  </sheetViews>
  <sheetFormatPr defaultColWidth="8.77734375" defaultRowHeight="13.8" x14ac:dyDescent="0.3"/>
  <cols>
    <col min="1" max="1" width="3.77734375" style="58" customWidth="1"/>
    <col min="2" max="2" width="69.21875" style="58" customWidth="1"/>
    <col min="3" max="3" width="30.5546875" style="58" customWidth="1"/>
    <col min="4" max="5" width="16.5546875" style="58" bestFit="1" customWidth="1"/>
    <col min="6" max="6" width="15.77734375" style="58" customWidth="1"/>
    <col min="7" max="7" width="16.21875" style="58" customWidth="1"/>
    <col min="8" max="9" width="14.21875" style="58" customWidth="1"/>
    <col min="10" max="10" width="14.77734375" style="58" customWidth="1"/>
    <col min="11" max="11" width="12.44140625" style="58" customWidth="1"/>
    <col min="12" max="12" width="12.77734375" style="58" customWidth="1"/>
    <col min="13" max="13" width="15" style="58" bestFit="1" customWidth="1"/>
    <col min="14" max="14" width="12.44140625" style="58" customWidth="1"/>
    <col min="15" max="15" width="13.21875" style="58" customWidth="1"/>
    <col min="16" max="16" width="15" style="58" bestFit="1" customWidth="1"/>
    <col min="17" max="17" width="14.44140625" style="58" customWidth="1"/>
    <col min="18" max="18" width="12.5546875" style="58" customWidth="1"/>
    <col min="19" max="19" width="14.77734375" style="58" customWidth="1"/>
    <col min="20" max="21" width="13.44140625" style="58" customWidth="1"/>
    <col min="22" max="22" width="26.5546875" style="58" bestFit="1" customWidth="1"/>
    <col min="23" max="16384" width="8.77734375" style="58"/>
  </cols>
  <sheetData>
    <row r="2" spans="2:23" ht="24.6" x14ac:dyDescent="0.3">
      <c r="B2" s="660" t="s">
        <v>425</v>
      </c>
      <c r="C2" s="660"/>
      <c r="D2" s="660"/>
    </row>
    <row r="3" spans="2:23" x14ac:dyDescent="0.3">
      <c r="B3" s="590"/>
      <c r="C3" s="590"/>
      <c r="D3" s="590"/>
    </row>
    <row r="4" spans="2:23" ht="3" customHeight="1" x14ac:dyDescent="0.3">
      <c r="B4" s="1563" t="s">
        <v>426</v>
      </c>
      <c r="C4" s="1563"/>
      <c r="D4" s="1563"/>
      <c r="E4" s="1563"/>
      <c r="F4" s="1563"/>
      <c r="G4" s="1563"/>
      <c r="H4" s="1563"/>
      <c r="I4" s="1563"/>
      <c r="J4" s="1563"/>
      <c r="K4" s="1563"/>
      <c r="L4" s="1563"/>
      <c r="M4" s="1563"/>
      <c r="N4" s="1563"/>
      <c r="O4" s="1563"/>
      <c r="P4" s="1563"/>
      <c r="Q4" s="1563"/>
      <c r="R4" s="1563"/>
    </row>
    <row r="5" spans="2:23" ht="13.5" customHeight="1" x14ac:dyDescent="0.3">
      <c r="B5" s="1563"/>
      <c r="C5" s="1563"/>
      <c r="D5" s="1563"/>
      <c r="E5" s="1563"/>
      <c r="F5" s="1563"/>
      <c r="G5" s="1563"/>
      <c r="H5" s="1563"/>
      <c r="I5" s="1563"/>
      <c r="J5" s="1563"/>
      <c r="K5" s="1563"/>
      <c r="L5" s="1563"/>
      <c r="M5" s="1563"/>
      <c r="N5" s="1563"/>
      <c r="O5" s="1563"/>
      <c r="P5" s="1563"/>
      <c r="Q5" s="1563"/>
      <c r="R5" s="1563"/>
    </row>
    <row r="6" spans="2:23" ht="59.55" customHeight="1" x14ac:dyDescent="0.3">
      <c r="B6" s="1563"/>
      <c r="C6" s="1563"/>
      <c r="D6" s="1563"/>
      <c r="E6" s="1563"/>
      <c r="F6" s="1563"/>
      <c r="G6" s="1563"/>
      <c r="H6" s="1563"/>
      <c r="I6" s="1563"/>
      <c r="J6" s="1563"/>
      <c r="K6" s="1563"/>
      <c r="L6" s="1563"/>
      <c r="M6" s="1563"/>
      <c r="N6" s="1563"/>
      <c r="O6" s="1563"/>
      <c r="P6" s="1563"/>
      <c r="Q6" s="1563"/>
      <c r="R6" s="1563"/>
    </row>
    <row r="7" spans="2:23" ht="16.2" x14ac:dyDescent="0.3">
      <c r="B7" s="784" t="s">
        <v>427</v>
      </c>
      <c r="C7" s="8"/>
      <c r="D7" s="8"/>
    </row>
    <row r="8" spans="2:23" ht="16.2" x14ac:dyDescent="0.3">
      <c r="B8" s="785" t="s">
        <v>428</v>
      </c>
      <c r="C8" s="8"/>
      <c r="D8" s="8"/>
    </row>
    <row r="9" spans="2:23" x14ac:dyDescent="0.3">
      <c r="B9" s="5"/>
      <c r="C9" s="8"/>
      <c r="D9" s="8"/>
    </row>
    <row r="10" spans="2:23" s="503" customFormat="1" ht="14.55" customHeight="1" x14ac:dyDescent="0.3">
      <c r="B10" s="1569" t="s">
        <v>429</v>
      </c>
      <c r="C10" s="1570" t="s">
        <v>430</v>
      </c>
      <c r="D10" s="1552" t="s">
        <v>431</v>
      </c>
      <c r="E10" s="1553"/>
      <c r="F10" s="1554"/>
      <c r="G10" s="1564" t="s">
        <v>432</v>
      </c>
      <c r="H10" s="1565"/>
      <c r="I10" s="1568"/>
      <c r="J10" s="1564" t="s">
        <v>433</v>
      </c>
      <c r="K10" s="1565"/>
      <c r="L10" s="1568"/>
      <c r="M10" s="1564" t="s">
        <v>434</v>
      </c>
      <c r="N10" s="1565"/>
      <c r="O10" s="1568"/>
      <c r="P10" s="1564" t="s">
        <v>435</v>
      </c>
      <c r="Q10" s="1565"/>
      <c r="R10" s="1568"/>
      <c r="S10" s="1564" t="s">
        <v>436</v>
      </c>
      <c r="T10" s="1565"/>
      <c r="U10" s="1565"/>
      <c r="V10" s="1555" t="s">
        <v>437</v>
      </c>
    </row>
    <row r="11" spans="2:23" s="503" customFormat="1" ht="16.2" x14ac:dyDescent="0.3">
      <c r="B11" s="1569"/>
      <c r="C11" s="1570"/>
      <c r="D11" s="760" t="s">
        <v>438</v>
      </c>
      <c r="E11" s="760" t="s">
        <v>439</v>
      </c>
      <c r="F11" s="760" t="s">
        <v>440</v>
      </c>
      <c r="G11" s="760" t="s">
        <v>438</v>
      </c>
      <c r="H11" s="760" t="s">
        <v>439</v>
      </c>
      <c r="I11" s="760" t="s">
        <v>440</v>
      </c>
      <c r="J11" s="760" t="s">
        <v>438</v>
      </c>
      <c r="K11" s="760" t="s">
        <v>439</v>
      </c>
      <c r="L11" s="760" t="s">
        <v>440</v>
      </c>
      <c r="M11" s="760" t="s">
        <v>438</v>
      </c>
      <c r="N11" s="760" t="s">
        <v>439</v>
      </c>
      <c r="O11" s="760" t="s">
        <v>440</v>
      </c>
      <c r="P11" s="760" t="s">
        <v>438</v>
      </c>
      <c r="Q11" s="760" t="s">
        <v>439</v>
      </c>
      <c r="R11" s="760" t="s">
        <v>440</v>
      </c>
      <c r="S11" s="760" t="s">
        <v>438</v>
      </c>
      <c r="T11" s="760" t="s">
        <v>439</v>
      </c>
      <c r="U11" s="761" t="s">
        <v>440</v>
      </c>
      <c r="V11" s="1555"/>
    </row>
    <row r="12" spans="2:23" s="503" customFormat="1" ht="18.600000000000001" x14ac:dyDescent="0.3">
      <c r="B12" s="534" t="s">
        <v>368</v>
      </c>
      <c r="C12" s="568" t="s">
        <v>441</v>
      </c>
      <c r="D12" s="595">
        <f>E12+F12</f>
        <v>225329.5</v>
      </c>
      <c r="E12" s="595">
        <v>115184.5</v>
      </c>
      <c r="F12" s="595">
        <v>110145</v>
      </c>
      <c r="G12" s="535">
        <f>H12+I12</f>
        <v>215647.08</v>
      </c>
      <c r="H12" s="535">
        <v>103157.2</v>
      </c>
      <c r="I12" s="535">
        <v>112489.87999999999</v>
      </c>
      <c r="J12" s="535">
        <f>K12+L12</f>
        <v>215165.84</v>
      </c>
      <c r="K12" s="535">
        <v>102084.39</v>
      </c>
      <c r="L12" s="535">
        <v>113081.45</v>
      </c>
      <c r="M12" s="535">
        <f>N12+O12</f>
        <v>226340.99</v>
      </c>
      <c r="N12" s="535">
        <v>104922.09</v>
      </c>
      <c r="O12" s="535">
        <v>121418.9</v>
      </c>
      <c r="P12" s="535">
        <f>Q12+R12</f>
        <v>229149.57</v>
      </c>
      <c r="Q12" s="535">
        <v>114568.14</v>
      </c>
      <c r="R12" s="535">
        <v>114581.43000000001</v>
      </c>
      <c r="S12" s="535">
        <f>T12+U12</f>
        <v>227933</v>
      </c>
      <c r="T12" s="535">
        <v>110387.47</v>
      </c>
      <c r="U12" s="733">
        <v>117545.53</v>
      </c>
      <c r="V12" s="762">
        <f>(G12-D12)/G12</f>
        <v>-4.4899379115172874E-2</v>
      </c>
      <c r="W12" s="763"/>
    </row>
    <row r="13" spans="2:23" s="503" customFormat="1" ht="18.600000000000001" x14ac:dyDescent="0.3">
      <c r="B13" s="534" t="s">
        <v>370</v>
      </c>
      <c r="C13" s="568" t="s">
        <v>441</v>
      </c>
      <c r="D13" s="595">
        <f>E13+F13</f>
        <v>21203.81</v>
      </c>
      <c r="E13" s="595">
        <v>1076.4100000000001</v>
      </c>
      <c r="F13" s="595">
        <v>20127.400000000001</v>
      </c>
      <c r="G13" s="535">
        <f>H13+I13</f>
        <v>66265.350000000006</v>
      </c>
      <c r="H13" s="535">
        <v>635</v>
      </c>
      <c r="I13" s="535">
        <v>65630.350000000006</v>
      </c>
      <c r="J13" s="535">
        <f>K13+L13</f>
        <v>128767.54</v>
      </c>
      <c r="K13" s="535">
        <v>1023.59</v>
      </c>
      <c r="L13" s="535">
        <v>127743.95</v>
      </c>
      <c r="M13" s="535">
        <f>N13+O13</f>
        <v>167772</v>
      </c>
      <c r="N13" s="535">
        <v>1265.23</v>
      </c>
      <c r="O13" s="535">
        <v>166506.76999999999</v>
      </c>
      <c r="P13" s="535">
        <f>Q13+R13</f>
        <v>165830.01</v>
      </c>
      <c r="Q13" s="535">
        <v>3968.71</v>
      </c>
      <c r="R13" s="535">
        <v>161861.30000000002</v>
      </c>
      <c r="S13" s="535">
        <f>T13+U13</f>
        <v>176107.33</v>
      </c>
      <c r="T13" s="535">
        <v>3761.42</v>
      </c>
      <c r="U13" s="733">
        <v>172345.90999999997</v>
      </c>
      <c r="V13" s="762">
        <f t="shared" ref="V13:V17" si="0">(G13-D13)/G13</f>
        <v>0.6800166301090993</v>
      </c>
      <c r="W13" s="763"/>
    </row>
    <row r="14" spans="2:23" s="503" customFormat="1" ht="18.600000000000001" x14ac:dyDescent="0.3">
      <c r="B14" s="534" t="s">
        <v>442</v>
      </c>
      <c r="C14" s="568" t="s">
        <v>441</v>
      </c>
      <c r="D14" s="595">
        <f>E14+F14</f>
        <v>178481</v>
      </c>
      <c r="E14" s="595">
        <v>18083</v>
      </c>
      <c r="F14" s="595">
        <v>160398</v>
      </c>
      <c r="G14" s="535">
        <f>H14+I14</f>
        <v>195176.27</v>
      </c>
      <c r="H14" s="535">
        <v>21689.24</v>
      </c>
      <c r="I14" s="535">
        <v>173487.03</v>
      </c>
      <c r="J14" s="535">
        <f>K14+L14</f>
        <v>202347.79</v>
      </c>
      <c r="K14" s="535">
        <v>21710.13</v>
      </c>
      <c r="L14" s="535">
        <v>180637.66</v>
      </c>
      <c r="M14" s="535">
        <f>N14+O14</f>
        <v>223642.5</v>
      </c>
      <c r="N14" s="535">
        <v>24704.94</v>
      </c>
      <c r="O14" s="535">
        <v>198937.56</v>
      </c>
      <c r="P14" s="535">
        <f>Q14+R14</f>
        <v>205942.86</v>
      </c>
      <c r="Q14" s="535">
        <v>29486.92</v>
      </c>
      <c r="R14" s="535">
        <v>176455.94</v>
      </c>
      <c r="S14" s="535">
        <f>T14+U14</f>
        <v>227469.08</v>
      </c>
      <c r="T14" s="535">
        <v>34440.620000000003</v>
      </c>
      <c r="U14" s="733">
        <v>193028.46</v>
      </c>
      <c r="V14" s="762">
        <f t="shared" si="0"/>
        <v>8.553944595826117E-2</v>
      </c>
      <c r="W14" s="763"/>
    </row>
    <row r="15" spans="2:23" s="503" customFormat="1" ht="18.600000000000001" x14ac:dyDescent="0.3">
      <c r="B15" s="536" t="s">
        <v>443</v>
      </c>
      <c r="C15" s="569" t="s">
        <v>444</v>
      </c>
      <c r="D15" s="595">
        <f>E15+F15</f>
        <v>246532.91</v>
      </c>
      <c r="E15" s="595">
        <f>E12+E13</f>
        <v>116260.91</v>
      </c>
      <c r="F15" s="595">
        <v>130272</v>
      </c>
      <c r="G15" s="535">
        <f>H15+I15</f>
        <v>281912.43</v>
      </c>
      <c r="H15" s="535">
        <v>103792.19</v>
      </c>
      <c r="I15" s="535">
        <v>178120.24</v>
      </c>
      <c r="J15" s="535">
        <f>K15+L15</f>
        <v>343933.38</v>
      </c>
      <c r="K15" s="535">
        <v>103107.98</v>
      </c>
      <c r="L15" s="535">
        <v>240825.40000000002</v>
      </c>
      <c r="M15" s="535">
        <f>N15+O15</f>
        <v>394113</v>
      </c>
      <c r="N15" s="535">
        <v>106187.32</v>
      </c>
      <c r="O15" s="535">
        <v>287925.68</v>
      </c>
      <c r="P15" s="535">
        <f>Q15+R15</f>
        <v>394979.57999999996</v>
      </c>
      <c r="Q15" s="535">
        <v>118536.85</v>
      </c>
      <c r="R15" s="535">
        <v>276442.73</v>
      </c>
      <c r="S15" s="535">
        <f>T15+U15</f>
        <v>404040.33</v>
      </c>
      <c r="T15" s="535">
        <v>114148.89</v>
      </c>
      <c r="U15" s="733">
        <v>289891.44</v>
      </c>
      <c r="V15" s="762">
        <f t="shared" si="0"/>
        <v>0.12549826199575517</v>
      </c>
      <c r="W15" s="763"/>
    </row>
    <row r="16" spans="2:23" s="503" customFormat="1" ht="18.600000000000001" x14ac:dyDescent="0.3">
      <c r="B16" s="534" t="s">
        <v>445</v>
      </c>
      <c r="C16" s="568" t="s">
        <v>441</v>
      </c>
      <c r="D16" s="595">
        <f>E16+F16</f>
        <v>403811</v>
      </c>
      <c r="E16" s="595">
        <v>133268</v>
      </c>
      <c r="F16" s="595">
        <v>270543</v>
      </c>
      <c r="G16" s="535">
        <f>H16+I16</f>
        <v>410823.35</v>
      </c>
      <c r="H16" s="535">
        <v>124846.44</v>
      </c>
      <c r="I16" s="535">
        <v>285976.90999999997</v>
      </c>
      <c r="J16" s="535">
        <f>K16+L16</f>
        <v>417513.63</v>
      </c>
      <c r="K16" s="535">
        <v>123794.52</v>
      </c>
      <c r="L16" s="535">
        <v>293719.11</v>
      </c>
      <c r="M16" s="535">
        <f>N16+O16</f>
        <v>449983.5</v>
      </c>
      <c r="N16" s="535">
        <v>129627.03</v>
      </c>
      <c r="O16" s="535">
        <v>320356.46999999997</v>
      </c>
      <c r="P16" s="535">
        <f>Q16+R16</f>
        <v>435092.42</v>
      </c>
      <c r="Q16" s="535">
        <v>144055.06</v>
      </c>
      <c r="R16" s="535">
        <v>291037.36</v>
      </c>
      <c r="S16" s="535">
        <f>T16+U16</f>
        <v>455402.07999999996</v>
      </c>
      <c r="T16" s="535">
        <v>144828.07999999999</v>
      </c>
      <c r="U16" s="733">
        <v>310574</v>
      </c>
      <c r="V16" s="762">
        <f t="shared" si="0"/>
        <v>1.7069015186210759E-2</v>
      </c>
      <c r="W16" s="763"/>
    </row>
    <row r="17" spans="2:23" s="503" customFormat="1" ht="34.799999999999997" x14ac:dyDescent="0.3">
      <c r="B17" s="536" t="s">
        <v>446</v>
      </c>
      <c r="C17" s="569" t="s">
        <v>1438</v>
      </c>
      <c r="D17" s="662">
        <v>2.518831582819077</v>
      </c>
      <c r="E17" s="709">
        <v>9.8000000000000007</v>
      </c>
      <c r="F17" s="709">
        <v>1.5</v>
      </c>
      <c r="G17" s="663">
        <v>2.685033716212355</v>
      </c>
      <c r="H17" s="737">
        <v>7.1808627369586278</v>
      </c>
      <c r="I17" s="737">
        <v>1.9673099182681686</v>
      </c>
      <c r="J17" s="737">
        <v>3.3209101442558371</v>
      </c>
      <c r="K17" s="737">
        <v>6.9292997311827955</v>
      </c>
      <c r="L17" s="737">
        <v>2.7154838418690663</v>
      </c>
      <c r="M17" s="737">
        <v>3.7216986477298484</v>
      </c>
      <c r="N17" s="737">
        <v>5.7451344478710169</v>
      </c>
      <c r="O17" s="737">
        <v>3.293854232208024</v>
      </c>
      <c r="P17" s="737">
        <v>3.8646195843606908</v>
      </c>
      <c r="Q17" s="737">
        <v>6.1073136173939924</v>
      </c>
      <c r="R17" s="737">
        <v>3.3388819373150551</v>
      </c>
      <c r="S17" s="737">
        <v>3.7166804341826882</v>
      </c>
      <c r="T17" s="737">
        <v>4.7015482515754359</v>
      </c>
      <c r="U17" s="738">
        <v>3.4334715921877037</v>
      </c>
      <c r="V17" s="764">
        <f t="shared" si="0"/>
        <v>6.1899458613775292E-2</v>
      </c>
      <c r="W17" s="763"/>
    </row>
    <row r="18" spans="2:23" s="503" customFormat="1" ht="16.2" x14ac:dyDescent="0.3">
      <c r="W18" s="763"/>
    </row>
    <row r="19" spans="2:23" s="503" customFormat="1" ht="16.2" x14ac:dyDescent="0.3">
      <c r="E19" s="765"/>
      <c r="F19" s="765"/>
      <c r="H19" s="765"/>
      <c r="I19" s="765"/>
      <c r="K19" s="765"/>
      <c r="L19" s="765"/>
      <c r="N19" s="765"/>
      <c r="O19" s="765"/>
      <c r="Q19" s="765"/>
      <c r="R19" s="765"/>
      <c r="T19" s="765"/>
      <c r="U19" s="765"/>
      <c r="V19" s="763"/>
      <c r="W19" s="763"/>
    </row>
    <row r="20" spans="2:23" s="503" customFormat="1" ht="16.2" x14ac:dyDescent="0.3">
      <c r="B20" s="1566" t="s">
        <v>448</v>
      </c>
      <c r="C20" s="1557" t="s">
        <v>430</v>
      </c>
      <c r="D20" s="1552" t="s">
        <v>431</v>
      </c>
      <c r="E20" s="1553"/>
      <c r="F20" s="1554"/>
      <c r="G20" s="1564" t="s">
        <v>432</v>
      </c>
      <c r="H20" s="1565"/>
      <c r="I20" s="1568"/>
      <c r="J20" s="1564" t="s">
        <v>433</v>
      </c>
      <c r="K20" s="1565"/>
      <c r="L20" s="1568"/>
      <c r="M20" s="1564" t="s">
        <v>434</v>
      </c>
      <c r="N20" s="1565"/>
      <c r="O20" s="1568"/>
      <c r="P20" s="1564" t="s">
        <v>435</v>
      </c>
      <c r="Q20" s="1565"/>
      <c r="R20" s="1568"/>
      <c r="S20" s="1564" t="s">
        <v>436</v>
      </c>
      <c r="T20" s="1565"/>
      <c r="U20" s="1565"/>
      <c r="V20" s="1555" t="s">
        <v>437</v>
      </c>
      <c r="W20" s="763"/>
    </row>
    <row r="21" spans="2:23" s="503" customFormat="1" ht="13.5" customHeight="1" x14ac:dyDescent="0.3">
      <c r="B21" s="1567"/>
      <c r="C21" s="1558"/>
      <c r="D21" s="760" t="s">
        <v>438</v>
      </c>
      <c r="E21" s="760" t="s">
        <v>439</v>
      </c>
      <c r="F21" s="760" t="s">
        <v>440</v>
      </c>
      <c r="G21" s="760" t="s">
        <v>438</v>
      </c>
      <c r="H21" s="760" t="s">
        <v>439</v>
      </c>
      <c r="I21" s="760" t="s">
        <v>440</v>
      </c>
      <c r="J21" s="760" t="s">
        <v>438</v>
      </c>
      <c r="K21" s="760" t="s">
        <v>439</v>
      </c>
      <c r="L21" s="760" t="s">
        <v>440</v>
      </c>
      <c r="M21" s="760" t="s">
        <v>438</v>
      </c>
      <c r="N21" s="760" t="s">
        <v>439</v>
      </c>
      <c r="O21" s="760" t="s">
        <v>440</v>
      </c>
      <c r="P21" s="760" t="s">
        <v>438</v>
      </c>
      <c r="Q21" s="760" t="s">
        <v>439</v>
      </c>
      <c r="R21" s="760" t="s">
        <v>440</v>
      </c>
      <c r="S21" s="760" t="s">
        <v>438</v>
      </c>
      <c r="T21" s="760" t="s">
        <v>439</v>
      </c>
      <c r="U21" s="761" t="s">
        <v>440</v>
      </c>
      <c r="V21" s="1555"/>
      <c r="W21" s="763"/>
    </row>
    <row r="22" spans="2:23" s="503" customFormat="1" ht="16.2" x14ac:dyDescent="0.3">
      <c r="B22" s="530" t="s">
        <v>449</v>
      </c>
      <c r="C22" s="570" t="s">
        <v>450</v>
      </c>
      <c r="D22" s="539">
        <f>F22+E22</f>
        <v>1126107.6223499998</v>
      </c>
      <c r="E22" s="539">
        <v>329650.70068000001</v>
      </c>
      <c r="F22" s="539">
        <v>796456.92166999984</v>
      </c>
      <c r="G22" s="531">
        <v>1206508</v>
      </c>
      <c r="H22" s="766">
        <v>348744</v>
      </c>
      <c r="I22" s="531">
        <f>G22-H22</f>
        <v>857764</v>
      </c>
      <c r="J22" s="531">
        <v>1203247</v>
      </c>
      <c r="K22" s="766">
        <v>337747.64269000001</v>
      </c>
      <c r="L22" s="531">
        <v>865498.97879999992</v>
      </c>
      <c r="M22" s="531">
        <v>1270929</v>
      </c>
      <c r="N22" s="766">
        <v>371400.67975000001</v>
      </c>
      <c r="O22" s="531">
        <v>899528.35901000001</v>
      </c>
      <c r="P22" s="531">
        <v>1199807</v>
      </c>
      <c r="Q22" s="766">
        <v>387584.09269000002</v>
      </c>
      <c r="R22" s="531">
        <v>812223.04309999989</v>
      </c>
      <c r="S22" s="531">
        <v>1231348</v>
      </c>
      <c r="T22" s="766">
        <v>375504.88628999999</v>
      </c>
      <c r="U22" s="734">
        <v>855843.34701999999</v>
      </c>
      <c r="V22" s="764">
        <f>(G22-D22)/G22</f>
        <v>6.6638909688124859E-2</v>
      </c>
      <c r="W22" s="767"/>
    </row>
    <row r="23" spans="2:23" s="503" customFormat="1" ht="16.2" x14ac:dyDescent="0.3">
      <c r="B23" s="530" t="s">
        <v>451</v>
      </c>
      <c r="C23" s="571" t="s">
        <v>452</v>
      </c>
      <c r="D23" s="540">
        <v>11.505455882953942</v>
      </c>
      <c r="E23" s="709">
        <v>27.8</v>
      </c>
      <c r="F23" s="709">
        <v>9.3000000000000007</v>
      </c>
      <c r="G23" s="739">
        <v>11.491209021467894</v>
      </c>
      <c r="H23" s="739">
        <v>24.1</v>
      </c>
      <c r="I23" s="739">
        <v>9.9</v>
      </c>
      <c r="J23" s="739">
        <v>11.61816619353842</v>
      </c>
      <c r="K23" s="739">
        <v>22.698094266801075</v>
      </c>
      <c r="L23" s="739">
        <v>9.7591387456870304</v>
      </c>
      <c r="M23" s="739">
        <v>12.001671451235174</v>
      </c>
      <c r="N23" s="739">
        <v>20.094177338635504</v>
      </c>
      <c r="O23" s="739">
        <v>10.290555855650762</v>
      </c>
      <c r="P23" s="739">
        <v>11.739335055379437</v>
      </c>
      <c r="Q23" s="739">
        <v>19.969297371837808</v>
      </c>
      <c r="R23" s="739">
        <v>9.8100494365601776</v>
      </c>
      <c r="S23" s="739">
        <v>11.326906448348819</v>
      </c>
      <c r="T23" s="739">
        <v>15.466241867045595</v>
      </c>
      <c r="U23" s="740">
        <v>10.136600857741824</v>
      </c>
      <c r="V23" s="764">
        <f t="shared" ref="V23" si="1">(G23-D23)/G23</f>
        <v>-1.239805268482428E-3</v>
      </c>
      <c r="W23" s="767"/>
    </row>
    <row r="24" spans="2:23" s="503" customFormat="1" ht="16.2" x14ac:dyDescent="0.3">
      <c r="D24" s="768"/>
      <c r="E24" s="769"/>
      <c r="F24" s="769"/>
      <c r="G24" s="768"/>
      <c r="I24" s="669"/>
      <c r="J24" s="770"/>
      <c r="K24" s="770"/>
      <c r="L24" s="770"/>
      <c r="M24" s="770"/>
      <c r="N24" s="770"/>
      <c r="O24" s="770"/>
      <c r="P24" s="770"/>
      <c r="Q24" s="770"/>
      <c r="R24" s="770"/>
      <c r="S24" s="770"/>
      <c r="T24" s="770"/>
      <c r="U24" s="770"/>
      <c r="V24" s="770"/>
    </row>
    <row r="25" spans="2:23" s="503" customFormat="1" ht="16.2" x14ac:dyDescent="0.3">
      <c r="E25" s="765"/>
      <c r="F25" s="765"/>
      <c r="H25" s="765"/>
      <c r="I25" s="771"/>
      <c r="J25" s="768"/>
      <c r="K25" s="765"/>
      <c r="L25" s="765"/>
      <c r="N25" s="765"/>
      <c r="O25" s="765"/>
      <c r="Q25" s="765"/>
      <c r="R25" s="765"/>
      <c r="T25" s="765"/>
      <c r="U25" s="765"/>
    </row>
    <row r="26" spans="2:23" s="503" customFormat="1" ht="16.2" x14ac:dyDescent="0.3">
      <c r="B26" s="1556" t="s">
        <v>453</v>
      </c>
      <c r="C26" s="1557" t="s">
        <v>430</v>
      </c>
      <c r="D26" s="1559" t="s">
        <v>431</v>
      </c>
      <c r="E26" s="1561" t="s">
        <v>432</v>
      </c>
      <c r="F26" s="1561" t="s">
        <v>433</v>
      </c>
      <c r="G26" s="1561" t="s">
        <v>434</v>
      </c>
      <c r="H26" s="1561" t="s">
        <v>435</v>
      </c>
    </row>
    <row r="27" spans="2:23" s="503" customFormat="1" ht="16.2" x14ac:dyDescent="0.3">
      <c r="B27" s="1556"/>
      <c r="C27" s="1558"/>
      <c r="D27" s="1560"/>
      <c r="E27" s="1562"/>
      <c r="F27" s="1562"/>
      <c r="G27" s="1562"/>
      <c r="H27" s="1562"/>
      <c r="I27" s="772"/>
      <c r="J27" s="772"/>
      <c r="K27" s="772"/>
      <c r="L27" s="772"/>
      <c r="M27" s="772"/>
      <c r="N27" s="772"/>
      <c r="O27" s="772"/>
      <c r="P27" s="772"/>
      <c r="Q27" s="772"/>
      <c r="R27" s="772"/>
    </row>
    <row r="28" spans="2:23" s="503" customFormat="1" ht="16.2" x14ac:dyDescent="0.3">
      <c r="B28" s="773" t="str">
        <f t="shared" ref="B28:D29" si="2">B22</f>
        <v>Total energy consumption</v>
      </c>
      <c r="C28" s="773" t="str">
        <f t="shared" si="2"/>
        <v>MWh</v>
      </c>
      <c r="D28" s="774">
        <f t="shared" si="2"/>
        <v>1126107.6223499998</v>
      </c>
      <c r="E28" s="775">
        <f>G22</f>
        <v>1206508</v>
      </c>
      <c r="F28" s="775">
        <f>J22</f>
        <v>1203247</v>
      </c>
      <c r="G28" s="775">
        <f>M22</f>
        <v>1270929</v>
      </c>
      <c r="H28" s="776">
        <f>P22</f>
        <v>1199807</v>
      </c>
    </row>
    <row r="29" spans="2:23" s="503" customFormat="1" ht="16.5" customHeight="1" x14ac:dyDescent="0.3">
      <c r="B29" s="773" t="str">
        <f t="shared" si="2"/>
        <v>Total energy efficiency</v>
      </c>
      <c r="C29" s="773" t="str">
        <f t="shared" si="2"/>
        <v>MWh/tonne</v>
      </c>
      <c r="D29" s="777">
        <f t="shared" si="2"/>
        <v>11.505455882953942</v>
      </c>
      <c r="E29" s="778">
        <f>G23</f>
        <v>11.491209021467894</v>
      </c>
      <c r="F29" s="778">
        <f>J23</f>
        <v>11.61816619353842</v>
      </c>
      <c r="G29" s="778">
        <f>M23</f>
        <v>12.001671451235174</v>
      </c>
      <c r="H29" s="778">
        <f>P23</f>
        <v>11.739335055379437</v>
      </c>
    </row>
    <row r="30" spans="2:23" s="503" customFormat="1" ht="18.600000000000001" x14ac:dyDescent="0.3">
      <c r="B30" s="773" t="str">
        <f>B15</f>
        <v>Total Scope 1 and 2 GHG emission (market-based)</v>
      </c>
      <c r="C30" s="568" t="s">
        <v>441</v>
      </c>
      <c r="D30" s="779">
        <f>D15</f>
        <v>246532.91</v>
      </c>
      <c r="E30" s="776">
        <f>G15</f>
        <v>281912.43</v>
      </c>
      <c r="F30" s="776">
        <f>J15</f>
        <v>343933.38</v>
      </c>
      <c r="G30" s="776">
        <f>M15</f>
        <v>394113</v>
      </c>
      <c r="H30" s="776">
        <f>P15</f>
        <v>394979.57999999996</v>
      </c>
    </row>
    <row r="31" spans="2:23" s="503" customFormat="1" ht="18.600000000000001" x14ac:dyDescent="0.3">
      <c r="B31" s="773" t="str">
        <f>B17</f>
        <v>Total Scope 1 and 2 carbon intensity (market-based)</v>
      </c>
      <c r="C31" s="568" t="s">
        <v>1439</v>
      </c>
      <c r="D31" s="780">
        <f>D17</f>
        <v>2.518831582819077</v>
      </c>
      <c r="E31" s="781">
        <f>G17</f>
        <v>2.685033716212355</v>
      </c>
      <c r="F31" s="781">
        <f>J17</f>
        <v>3.3209101442558371</v>
      </c>
      <c r="G31" s="781">
        <f>M17</f>
        <v>3.7216986477298484</v>
      </c>
      <c r="H31" s="781">
        <f>P17</f>
        <v>3.8646195843606908</v>
      </c>
    </row>
    <row r="32" spans="2:23" s="503" customFormat="1" ht="18.600000000000001" x14ac:dyDescent="0.3">
      <c r="B32" s="773" t="str">
        <f>Environment!B36</f>
        <v>Total Scope 3 (all categories) GHG emissions</v>
      </c>
      <c r="C32" s="568" t="s">
        <v>441</v>
      </c>
      <c r="D32" s="782">
        <f>Environment!D36</f>
        <v>3445486.0185479606</v>
      </c>
      <c r="E32" s="783">
        <f>Environment!E36</f>
        <v>3726800.7445285856</v>
      </c>
      <c r="F32" s="783">
        <f>Environment!F36</f>
        <v>3530148.8953033364</v>
      </c>
      <c r="G32" s="783">
        <f>Environment!G36</f>
        <v>3452287.5053755767</v>
      </c>
      <c r="H32" s="783">
        <f>Environment!H36</f>
        <v>3531785.1296996837</v>
      </c>
    </row>
    <row r="33" spans="5:7" ht="20.55" customHeight="1" x14ac:dyDescent="0.3">
      <c r="G33" s="720"/>
    </row>
    <row r="36" spans="5:7" x14ac:dyDescent="0.3">
      <c r="E36" s="735"/>
      <c r="F36" s="736"/>
      <c r="G36" s="736"/>
    </row>
    <row r="37" spans="5:7" x14ac:dyDescent="0.3">
      <c r="E37" s="736"/>
      <c r="G37" s="736"/>
    </row>
    <row r="38" spans="5:7" x14ac:dyDescent="0.3">
      <c r="F38" s="736"/>
      <c r="G38" s="736"/>
    </row>
  </sheetData>
  <sheetProtection algorithmName="SHA-512" hashValue="xW343FdC+CsiwKDbjfEj9WWeXhPHkQ/297iRFAVrv6xUPSVQt5k/PCndjh1EPgRBcbWvyQMerX5dFilAJtO8DA==" saltValue="WsNSiQLxcRdCZc0YhOMrog==" spinCount="100000" sheet="1" objects="1" scenarios="1"/>
  <mergeCells count="26">
    <mergeCell ref="B4:R6"/>
    <mergeCell ref="S10:U10"/>
    <mergeCell ref="B20:B21"/>
    <mergeCell ref="C20:C21"/>
    <mergeCell ref="G20:I20"/>
    <mergeCell ref="J20:L20"/>
    <mergeCell ref="M20:O20"/>
    <mergeCell ref="P20:R20"/>
    <mergeCell ref="S20:U20"/>
    <mergeCell ref="B10:B11"/>
    <mergeCell ref="C10:C11"/>
    <mergeCell ref="G10:I10"/>
    <mergeCell ref="J10:L10"/>
    <mergeCell ref="M10:O10"/>
    <mergeCell ref="P10:R10"/>
    <mergeCell ref="D10:F10"/>
    <mergeCell ref="D20:F20"/>
    <mergeCell ref="V10:V11"/>
    <mergeCell ref="V20:V21"/>
    <mergeCell ref="B26:B27"/>
    <mergeCell ref="C26:C27"/>
    <mergeCell ref="D26:D27"/>
    <mergeCell ref="E26:E27"/>
    <mergeCell ref="F26:F27"/>
    <mergeCell ref="G26:G27"/>
    <mergeCell ref="H26:H27"/>
  </mergeCells>
  <phoneticPr fontId="3" type="noConversion"/>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326A464BC14C4EB3B5F37AC7745352" ma:contentTypeVersion="12" ma:contentTypeDescription="Create a new document." ma:contentTypeScope="" ma:versionID="c167dd66ca3ddc8afb9bcd82f818eaa8">
  <xsd:schema xmlns:xsd="http://www.w3.org/2001/XMLSchema" xmlns:xs="http://www.w3.org/2001/XMLSchema" xmlns:p="http://schemas.microsoft.com/office/2006/metadata/properties" xmlns:ns2="2dc667c4-149b-475d-931d-57dacbd44eb1" xmlns:ns3="a4c58c2a-c055-4d84-892f-b379b4479c88" targetNamespace="http://schemas.microsoft.com/office/2006/metadata/properties" ma:root="true" ma:fieldsID="a71f3790b1bac85c9c28872d02bdd907" ns2:_="" ns3:_="">
    <xsd:import namespace="2dc667c4-149b-475d-931d-57dacbd44eb1"/>
    <xsd:import namespace="a4c58c2a-c055-4d84-892f-b379b4479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667c4-149b-475d-931d-57dacbd44e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c58c2a-c055-4d84-892f-b379b4479c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b4838c-41a4-4d62-9c1a-791edf4a8168}" ma:internalName="TaxCatchAll" ma:showField="CatchAllData" ma:web="a4c58c2a-c055-4d84-892f-b379b4479c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667c4-149b-475d-931d-57dacbd44eb1">
      <Terms xmlns="http://schemas.microsoft.com/office/infopath/2007/PartnerControls"/>
    </lcf76f155ced4ddcb4097134ff3c332f>
    <TaxCatchAll xmlns="a4c58c2a-c055-4d84-892f-b379b4479c88" xsi:nil="true"/>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EB89B8F5-0A23-4CE4-B37A-1F738C5C1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667c4-149b-475d-931d-57dacbd44eb1"/>
    <ds:schemaRef ds:uri="a4c58c2a-c055-4d84-892f-b379b447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2dc667c4-149b-475d-931d-57dacbd44eb1"/>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4c58c2a-c055-4d84-892f-b379b4479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UN SDGs</vt:lpstr>
      <vt:lpstr>Environment</vt:lpstr>
      <vt:lpstr>Environment (pre-divest Data)</vt:lpstr>
      <vt:lpstr>People</vt:lpstr>
      <vt:lpstr>Health and Safety</vt:lpstr>
      <vt:lpstr>Ethics and Compliance</vt:lpstr>
      <vt:lpstr>Community Investment</vt:lpstr>
      <vt:lpstr>Responsible Sourcing</vt:lpstr>
      <vt:lpstr>Product Stewardship</vt:lpstr>
      <vt:lpstr>Basis of Reporting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'Product Stewardship'!Print_Area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Ellen Briggs-Coquio</cp:lastModifiedBy>
  <cp:revision/>
  <dcterms:created xsi:type="dcterms:W3CDTF">2022-08-26T08:41:21Z</dcterms:created>
  <dcterms:modified xsi:type="dcterms:W3CDTF">2025-06-11T17:23:30Z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0x0101001A326A464BC14C4EB3B5F37AC7745352</vt:lpwstr>
  </property>
  <property fmtid="{D5CDD505-2E9C-101B-9397-08002B2CF9AE}" pid="17" name="MediaServiceImageTags">
    <vt:lpwstr/>
  </property>
</Properties>
</file>