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BriggE01\Downloads\"/>
    </mc:Choice>
  </mc:AlternateContent>
  <xr:revisionPtr revIDLastSave="0" documentId="8_{78F38783-2FA8-46D5-9EC4-E295C00897D4}" xr6:coauthVersionLast="47" xr6:coauthVersionMax="47" xr10:uidLastSave="{00000000-0000-0000-0000-000000000000}"/>
  <workbookProtection workbookAlgorithmName="SHA-512" workbookHashValue="SdfxJ4UKkNSfKKhVj01wSAkD9i1SDtUiJRo7csALQPxpIR50AxN4cQ1tDZDCem7NpK4QE3xxkHPW+N04XougOw==" workbookSaltValue="kjvKD+A0jdIn1g74CZN9pA==" workbookSpinCount="100000" lockStructure="1"/>
  <bookViews>
    <workbookView xWindow="-108" yWindow="-108" windowWidth="23256" windowHeight="12456" tabRatio="737" firstSheet="3" activeTab="6" xr2:uid="{B36B6803-1653-4DC9-8F7D-9B4B64E2CA12}"/>
  </bookViews>
  <sheets>
    <sheet name="Cover" sheetId="5" r:id="rId1"/>
    <sheet name="Home" sheetId="4" r:id="rId2"/>
    <sheet name="Contents" sheetId="11" r:id="rId3"/>
    <sheet name="Material Topics" sheetId="20" r:id="rId4"/>
    <sheet name="GRI Content index in accordance" sheetId="15" r:id="rId5"/>
    <sheet name="SASB Index" sheetId="13" r:id="rId6"/>
    <sheet name="TCFD Compliance Table" sheetId="12" r:id="rId7"/>
    <sheet name="PAI statement" sheetId="2" r:id="rId8"/>
    <sheet name="UK SECR" sheetId="28" r:id="rId9"/>
    <sheet name="ERM CVS assured metrics" sheetId="18" r:id="rId10"/>
    <sheet name="2030 targets" sheetId="19" r:id="rId11"/>
    <sheet name="Environment (pre-divest Data)" sheetId="3" state="hidden" r:id="rId12"/>
    <sheet name="Environment" sheetId="21" r:id="rId13"/>
    <sheet name="People" sheetId="23" r:id="rId14"/>
    <sheet name="Health and Safety" sheetId="6" r:id="rId15"/>
    <sheet name="Ethics and Compliance" sheetId="10" r:id="rId16"/>
    <sheet name="Community Investment" sheetId="8" r:id="rId17"/>
    <sheet name="Responsible Sourcing" sheetId="16" r:id="rId18"/>
    <sheet name="Environment (original)" sheetId="14" state="hidden" r:id="rId19"/>
    <sheet name="People (Internal)" sheetId="22" state="hidden" r:id="rId20"/>
  </sheets>
  <definedNames>
    <definedName name="_xlnm.Print_Area" localSheetId="10">'2030 targets'!$B$2:$N$32</definedName>
    <definedName name="_xlnm.Print_Area" localSheetId="16">'Community Investment'!$B$1:$I$22</definedName>
    <definedName name="_xlnm.Print_Area" localSheetId="2">Contents!$A$1:$E$18</definedName>
    <definedName name="_xlnm.Print_Area" localSheetId="0">Cover!$A$1:$P$34</definedName>
    <definedName name="_xlnm.Print_Area" localSheetId="12">Environment!$B$2:$J$158</definedName>
    <definedName name="_xlnm.Print_Area" localSheetId="9">'ERM CVS assured metrics'!$A$2:$D$53</definedName>
    <definedName name="_xlnm.Print_Area" localSheetId="15">'Ethics and Compliance'!$B$1:$M$33</definedName>
    <definedName name="_xlnm.Print_Area" localSheetId="4">'GRI Content index in accordance'!$B$2:$I$208</definedName>
    <definedName name="_xlnm.Print_Area" localSheetId="14">'Health and Safety'!$B$2:$T$40</definedName>
    <definedName name="_xlnm.Print_Area" localSheetId="1">Home!$A$2:$K$23</definedName>
    <definedName name="_xlnm.Print_Area" localSheetId="3">'Material Topics'!$B$1:$Q$18</definedName>
    <definedName name="_xlnm.Print_Area" localSheetId="7">'PAI statement'!$B$2:$H$27</definedName>
    <definedName name="_xlnm.Print_Area" localSheetId="13">People!$B$1:$X$162</definedName>
    <definedName name="_xlnm.Print_Area" localSheetId="17">'Responsible Sourcing'!$B$1:$K$21</definedName>
    <definedName name="_xlnm.Print_Area" localSheetId="5">'SASB Index'!$A$1:$E$35</definedName>
    <definedName name="_xlnm.Print_Area" localSheetId="6">'TCFD Compliance Table'!$B$2:$D$21</definedName>
    <definedName name="_xlnm.Print_Area" localSheetId="8">'UK SECR'!$A$1:$E$32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8" l="1"/>
  <c r="J7" i="8"/>
  <c r="J23" i="19" l="1"/>
  <c r="J24" i="19"/>
  <c r="H27" i="19"/>
  <c r="J27" i="19"/>
  <c r="J26" i="19"/>
  <c r="J25" i="19"/>
  <c r="H25" i="19"/>
  <c r="D42" i="21"/>
  <c r="F16" i="28"/>
  <c r="F12" i="28"/>
  <c r="F14" i="28"/>
  <c r="F112" i="23" l="1"/>
  <c r="C112" i="23"/>
  <c r="E112" i="23" s="1"/>
  <c r="E113" i="23"/>
  <c r="J23" i="6" l="1"/>
  <c r="D37" i="21"/>
  <c r="E83" i="23"/>
  <c r="H75" i="23"/>
  <c r="G75" i="23"/>
  <c r="F75" i="23"/>
  <c r="E75" i="23"/>
  <c r="C75" i="23"/>
  <c r="D75" i="23"/>
  <c r="D83" i="23"/>
  <c r="F83" i="23"/>
  <c r="C83" i="23"/>
  <c r="D69" i="23"/>
  <c r="E69" i="23"/>
  <c r="F69" i="23"/>
  <c r="G69" i="23"/>
  <c r="H69" i="23"/>
  <c r="C69" i="23"/>
  <c r="E64" i="23"/>
  <c r="F64" i="23"/>
  <c r="G64" i="23"/>
  <c r="H64" i="23"/>
  <c r="C64" i="23"/>
  <c r="D64" i="23"/>
  <c r="J39" i="18" l="1"/>
  <c r="J47" i="18"/>
  <c r="D33" i="21"/>
  <c r="D38" i="21"/>
  <c r="D40" i="18" l="1"/>
  <c r="J40" i="18" s="1"/>
  <c r="H10" i="2" l="1"/>
  <c r="H9" i="2"/>
  <c r="J30" i="19" l="1"/>
  <c r="J18" i="21"/>
  <c r="H113" i="23"/>
  <c r="D36" i="21" l="1"/>
  <c r="I108" i="21"/>
  <c r="G99" i="21"/>
  <c r="H99" i="21"/>
  <c r="J9" i="8"/>
  <c r="J8" i="8"/>
  <c r="I52" i="21"/>
  <c r="D38" i="18"/>
  <c r="J38" i="18" s="1"/>
  <c r="D37" i="18"/>
  <c r="J37" i="18" s="1"/>
  <c r="D36" i="18"/>
  <c r="J36" i="18" s="1"/>
  <c r="D34" i="18"/>
  <c r="J34" i="18" s="1"/>
  <c r="D33" i="18"/>
  <c r="J33" i="18" s="1"/>
  <c r="D32" i="18"/>
  <c r="J32" i="18" s="1"/>
  <c r="D31" i="18"/>
  <c r="J31" i="18" s="1"/>
  <c r="L31" i="19"/>
  <c r="L30" i="19"/>
  <c r="L25" i="19"/>
  <c r="H31" i="19"/>
  <c r="H30" i="19"/>
  <c r="K23" i="19"/>
  <c r="K22" i="19"/>
  <c r="K24" i="19"/>
  <c r="K26" i="19"/>
  <c r="K27" i="19"/>
  <c r="K28" i="19"/>
  <c r="K29" i="19"/>
  <c r="I13" i="21"/>
  <c r="E91" i="23"/>
  <c r="E89" i="23"/>
  <c r="F21" i="28"/>
  <c r="I15" i="21"/>
  <c r="I10" i="21"/>
  <c r="E33" i="21"/>
  <c r="D39" i="21"/>
  <c r="D116" i="21"/>
  <c r="E36" i="21"/>
  <c r="I45" i="21"/>
  <c r="J45" i="21"/>
  <c r="F29" i="19"/>
  <c r="H29" i="19" s="1"/>
  <c r="F28" i="19"/>
  <c r="D40" i="21" l="1"/>
  <c r="H11" i="2"/>
  <c r="L29" i="19"/>
  <c r="H28" i="19"/>
  <c r="L28" i="19"/>
  <c r="I36" i="21"/>
  <c r="I18" i="21"/>
  <c r="K23" i="6"/>
  <c r="K27" i="6"/>
  <c r="J20" i="6"/>
  <c r="J21" i="6"/>
  <c r="J22" i="6"/>
  <c r="J24" i="6"/>
  <c r="J25" i="6"/>
  <c r="J26" i="6"/>
  <c r="J27" i="6"/>
  <c r="J29" i="6"/>
  <c r="J30" i="6"/>
  <c r="J32" i="21"/>
  <c r="I19" i="21"/>
  <c r="I20" i="21"/>
  <c r="I21" i="21"/>
  <c r="I22" i="21"/>
  <c r="I23" i="21"/>
  <c r="I24" i="21"/>
  <c r="I25" i="21"/>
  <c r="I27" i="21"/>
  <c r="I29" i="21"/>
  <c r="I32" i="21"/>
  <c r="I150" i="21"/>
  <c r="I149" i="21"/>
  <c r="I148" i="21"/>
  <c r="I147" i="21"/>
  <c r="I146" i="21"/>
  <c r="I145" i="21"/>
  <c r="J111" i="21"/>
  <c r="I115" i="21"/>
  <c r="I114" i="21"/>
  <c r="I111" i="21"/>
  <c r="J104" i="21"/>
  <c r="J103" i="21"/>
  <c r="I107" i="21"/>
  <c r="I103" i="21"/>
  <c r="J90" i="21"/>
  <c r="J98" i="21"/>
  <c r="I98" i="21"/>
  <c r="J97" i="21"/>
  <c r="I97" i="21"/>
  <c r="J88" i="21"/>
  <c r="I88" i="21"/>
  <c r="I85" i="21"/>
  <c r="I90" i="21"/>
  <c r="I89" i="21"/>
  <c r="J89" i="21"/>
  <c r="I68" i="21"/>
  <c r="J76" i="21"/>
  <c r="J75" i="21"/>
  <c r="J68" i="21"/>
  <c r="I51" i="21"/>
  <c r="J11" i="21"/>
  <c r="J10" i="21"/>
  <c r="H12" i="2" l="1"/>
  <c r="D41" i="21"/>
  <c r="H13" i="2" s="1"/>
  <c r="J19" i="21"/>
  <c r="J20" i="21"/>
  <c r="J21" i="21"/>
  <c r="J22" i="21"/>
  <c r="J23" i="21"/>
  <c r="J24" i="21"/>
  <c r="J25" i="21"/>
  <c r="J27" i="21"/>
  <c r="J29" i="21"/>
  <c r="D46" i="18"/>
  <c r="J46" i="18" s="1"/>
  <c r="D29" i="18"/>
  <c r="J29" i="18" s="1"/>
  <c r="D28" i="18"/>
  <c r="J28" i="18" s="1"/>
  <c r="D26" i="18"/>
  <c r="J26" i="18" s="1"/>
  <c r="D53" i="18"/>
  <c r="J53" i="18" s="1"/>
  <c r="D52" i="18"/>
  <c r="J52" i="18" s="1"/>
  <c r="D51" i="18"/>
  <c r="J51" i="18" s="1"/>
  <c r="D50" i="18"/>
  <c r="J50" i="18" s="1"/>
  <c r="D49" i="18"/>
  <c r="J49" i="18" s="1"/>
  <c r="D48" i="18"/>
  <c r="J48" i="18" s="1"/>
  <c r="D45" i="18"/>
  <c r="J45" i="18" s="1"/>
  <c r="D44" i="18"/>
  <c r="J44" i="18" s="1"/>
  <c r="D43" i="18"/>
  <c r="J43" i="18" s="1"/>
  <c r="D42" i="18"/>
  <c r="J42" i="18" s="1"/>
  <c r="D41" i="18"/>
  <c r="J41" i="18" s="1"/>
  <c r="D35" i="18"/>
  <c r="J35" i="18" s="1"/>
  <c r="D27" i="18" l="1"/>
  <c r="J27" i="18" s="1"/>
  <c r="D30" i="18"/>
  <c r="J30" i="18" s="1"/>
  <c r="D23" i="18"/>
  <c r="J23" i="18" s="1"/>
  <c r="D25" i="18"/>
  <c r="J25" i="18" s="1"/>
  <c r="D24" i="18"/>
  <c r="J24" i="18" s="1"/>
  <c r="D22" i="18"/>
  <c r="J22" i="18" s="1"/>
  <c r="D21" i="18"/>
  <c r="J21" i="18" s="1"/>
  <c r="D17" i="18"/>
  <c r="J17" i="18" s="1"/>
  <c r="D16" i="18"/>
  <c r="J16" i="18" s="1"/>
  <c r="D15" i="18"/>
  <c r="J15" i="18" s="1"/>
  <c r="D14" i="18"/>
  <c r="J14" i="18" s="1"/>
  <c r="D13" i="18"/>
  <c r="J13" i="18" s="1"/>
  <c r="D18" i="18"/>
  <c r="J18" i="18" s="1"/>
  <c r="D12" i="18"/>
  <c r="J12" i="18" s="1"/>
  <c r="D11" i="18"/>
  <c r="J11" i="18" s="1"/>
  <c r="D10" i="18"/>
  <c r="J10" i="18" s="1"/>
  <c r="D9" i="18"/>
  <c r="J9" i="18" s="1"/>
  <c r="D8" i="18"/>
  <c r="J8" i="18" s="1"/>
  <c r="D7" i="18"/>
  <c r="J7" i="18" s="1"/>
  <c r="J12" i="21" l="1"/>
  <c r="I104" i="21" l="1"/>
  <c r="E115" i="23" l="1"/>
  <c r="E109" i="23"/>
  <c r="D105" i="23" l="1"/>
  <c r="E105" i="23" s="1"/>
  <c r="V32" i="23"/>
  <c r="V33" i="23"/>
  <c r="V34" i="23"/>
  <c r="V35" i="23"/>
  <c r="V31" i="23"/>
  <c r="E22" i="28"/>
  <c r="R21" i="28"/>
  <c r="O21" i="28"/>
  <c r="L21" i="28"/>
  <c r="I21" i="28"/>
  <c r="F22" i="28"/>
  <c r="R13" i="28"/>
  <c r="R14" i="28"/>
  <c r="R15" i="28"/>
  <c r="R16" i="28"/>
  <c r="O13" i="28"/>
  <c r="O14" i="28"/>
  <c r="O15" i="28"/>
  <c r="O16" i="28"/>
  <c r="L13" i="28"/>
  <c r="L14" i="28"/>
  <c r="L15" i="28"/>
  <c r="L16" i="28"/>
  <c r="I13" i="28"/>
  <c r="I14" i="28"/>
  <c r="I15" i="28"/>
  <c r="I16" i="28"/>
  <c r="F15" i="28"/>
  <c r="F13" i="28"/>
  <c r="R12" i="28"/>
  <c r="O12" i="28"/>
  <c r="L12" i="28"/>
  <c r="I12" i="28"/>
  <c r="G115" i="23"/>
  <c r="H114" i="23"/>
  <c r="E114" i="23"/>
  <c r="H112" i="23"/>
  <c r="H111" i="23"/>
  <c r="E111" i="23"/>
  <c r="H110" i="23"/>
  <c r="E110" i="23"/>
  <c r="H109" i="23"/>
  <c r="E100" i="23"/>
  <c r="H100" i="23"/>
  <c r="E101" i="23"/>
  <c r="H101" i="23"/>
  <c r="E102" i="23"/>
  <c r="H102" i="23"/>
  <c r="E103" i="23"/>
  <c r="H103" i="23"/>
  <c r="E104" i="23"/>
  <c r="H104" i="23"/>
  <c r="F105" i="23"/>
  <c r="G105" i="23"/>
  <c r="H105" i="23" l="1"/>
  <c r="H115" i="23"/>
  <c r="R32" i="23"/>
  <c r="R33" i="23"/>
  <c r="R36" i="23"/>
  <c r="R31" i="23"/>
  <c r="E42" i="23" l="1"/>
  <c r="O42" i="23" s="1"/>
  <c r="E116" i="21" l="1"/>
  <c r="I116" i="21" s="1"/>
  <c r="F116" i="21"/>
  <c r="G116" i="21"/>
  <c r="H116" i="21"/>
  <c r="I12" i="21"/>
  <c r="I14" i="21"/>
  <c r="I11" i="21"/>
  <c r="F22" i="19"/>
  <c r="H129" i="23"/>
  <c r="E129" i="23"/>
  <c r="H128" i="23"/>
  <c r="E128" i="23"/>
  <c r="I22" i="19"/>
  <c r="F27" i="19"/>
  <c r="F26" i="19"/>
  <c r="F24" i="19"/>
  <c r="F23" i="19"/>
  <c r="J22" i="19" l="1"/>
  <c r="L27" i="19"/>
  <c r="L24" i="19"/>
  <c r="L26" i="19"/>
  <c r="L23" i="19"/>
  <c r="H22" i="19"/>
  <c r="L22" i="19"/>
  <c r="G23" i="19"/>
  <c r="H23" i="19" s="1"/>
  <c r="G24" i="19"/>
  <c r="H24" i="19" s="1"/>
  <c r="I69" i="21"/>
  <c r="J69" i="21"/>
  <c r="I70" i="21"/>
  <c r="J70" i="21"/>
  <c r="I71" i="21"/>
  <c r="J71" i="21"/>
  <c r="I72" i="21"/>
  <c r="J72" i="21"/>
  <c r="I73" i="21"/>
  <c r="J73" i="21"/>
  <c r="I74" i="21"/>
  <c r="I75" i="21"/>
  <c r="I76" i="21"/>
  <c r="I112" i="21"/>
  <c r="J112" i="21"/>
  <c r="I113" i="21"/>
  <c r="J113" i="21"/>
  <c r="J114" i="21"/>
  <c r="J115" i="21"/>
  <c r="J116" i="21"/>
  <c r="I105" i="21"/>
  <c r="J105" i="21"/>
  <c r="I106" i="21"/>
  <c r="J106" i="21"/>
  <c r="J107" i="21"/>
  <c r="J108" i="21"/>
  <c r="D99" i="21"/>
  <c r="D19" i="18" l="1"/>
  <c r="J19" i="18" s="1"/>
  <c r="J85" i="21"/>
  <c r="J83" i="21"/>
  <c r="I83" i="21"/>
  <c r="D86" i="21"/>
  <c r="I53" i="21"/>
  <c r="I54" i="21"/>
  <c r="J13" i="21"/>
  <c r="J14" i="21"/>
  <c r="J15" i="21"/>
  <c r="H14" i="2" l="1"/>
  <c r="D20" i="18"/>
  <c r="J20" i="18" s="1"/>
  <c r="T27" i="6"/>
  <c r="S27" i="6"/>
  <c r="T23" i="6"/>
  <c r="S23" i="6"/>
  <c r="T20" i="6"/>
  <c r="P20" i="6"/>
  <c r="Q20" i="6"/>
  <c r="R20" i="6"/>
  <c r="S20" i="6"/>
  <c r="T19" i="6"/>
  <c r="S19" i="6"/>
  <c r="E135" i="23" l="1"/>
  <c r="E136" i="23"/>
  <c r="G8" i="6" l="1"/>
  <c r="D137" i="23" l="1"/>
  <c r="E137" i="23"/>
  <c r="C137" i="23"/>
  <c r="I29" i="19"/>
  <c r="J29" i="19" s="1"/>
  <c r="I28" i="19"/>
  <c r="J28" i="19" s="1"/>
  <c r="I27" i="19"/>
  <c r="I26" i="19"/>
  <c r="I24" i="19"/>
  <c r="I23" i="19"/>
  <c r="E120" i="23" l="1"/>
  <c r="E121" i="23"/>
  <c r="E122" i="23"/>
  <c r="E123" i="23"/>
  <c r="E124" i="23"/>
  <c r="E119" i="23"/>
  <c r="C94" i="23"/>
  <c r="D94" i="23"/>
  <c r="E94" i="23"/>
  <c r="E87" i="23"/>
  <c r="E88" i="23"/>
  <c r="E90" i="23"/>
  <c r="D56" i="23"/>
  <c r="C56" i="23"/>
  <c r="E52" i="23"/>
  <c r="O52" i="23" s="1"/>
  <c r="E53" i="23"/>
  <c r="O53" i="23" s="1"/>
  <c r="E54" i="23"/>
  <c r="O54" i="23" s="1"/>
  <c r="E55" i="23"/>
  <c r="O55" i="23" s="1"/>
  <c r="D51" i="23"/>
  <c r="C51" i="23"/>
  <c r="E47" i="23"/>
  <c r="E48" i="23"/>
  <c r="E49" i="23"/>
  <c r="E50" i="23"/>
  <c r="E37" i="23"/>
  <c r="O37" i="23" s="1"/>
  <c r="E38" i="23"/>
  <c r="O38" i="23" s="1"/>
  <c r="E39" i="23"/>
  <c r="O39" i="23" s="1"/>
  <c r="E40" i="23"/>
  <c r="O40" i="23" s="1"/>
  <c r="E32" i="23"/>
  <c r="O32" i="23" s="1"/>
  <c r="E33" i="23"/>
  <c r="E34" i="23"/>
  <c r="E35" i="23"/>
  <c r="E31" i="23"/>
  <c r="D36" i="23"/>
  <c r="C36" i="23"/>
  <c r="E41" i="23"/>
  <c r="C7" i="23"/>
  <c r="O31" i="23" l="1"/>
  <c r="O41" i="23"/>
  <c r="F119" i="23"/>
  <c r="D54" i="18"/>
  <c r="J54" i="18" s="1"/>
  <c r="S33" i="23"/>
  <c r="S36" i="23"/>
  <c r="S31" i="23"/>
  <c r="S32" i="23"/>
  <c r="O35" i="23"/>
  <c r="O34" i="23"/>
  <c r="O33" i="23"/>
  <c r="E51" i="23"/>
  <c r="O51" i="23" s="1"/>
  <c r="E56" i="23"/>
  <c r="O56" i="23" s="1"/>
  <c r="F121" i="23"/>
  <c r="E36" i="23"/>
  <c r="T32" i="23" s="1"/>
  <c r="F123" i="23"/>
  <c r="F122" i="23"/>
  <c r="F120" i="23"/>
  <c r="O36" i="23" l="1"/>
  <c r="W34" i="23"/>
  <c r="W32" i="23"/>
  <c r="W31" i="23"/>
  <c r="W35" i="23"/>
  <c r="W33" i="23"/>
  <c r="S37" i="23"/>
  <c r="F124" i="23"/>
  <c r="T34" i="23"/>
  <c r="T35" i="23"/>
  <c r="T31" i="23"/>
  <c r="T33" i="23"/>
  <c r="T36" i="23"/>
  <c r="C21" i="10"/>
  <c r="W36" i="23" l="1"/>
  <c r="T37" i="23"/>
  <c r="R13" i="10"/>
  <c r="F65" i="21" l="1"/>
  <c r="G65" i="21"/>
  <c r="H65" i="21"/>
  <c r="E65" i="21"/>
  <c r="J67" i="21"/>
  <c r="I67" i="21"/>
  <c r="G124" i="23"/>
  <c r="H124" i="23"/>
  <c r="I124" i="23"/>
  <c r="H87" i="23"/>
  <c r="K87" i="23"/>
  <c r="N87" i="23"/>
  <c r="H88" i="23"/>
  <c r="K88" i="23"/>
  <c r="N88" i="23"/>
  <c r="H90" i="23"/>
  <c r="K90" i="23"/>
  <c r="N90" i="23"/>
  <c r="F94" i="23"/>
  <c r="G94" i="23"/>
  <c r="H94" i="23"/>
  <c r="I94" i="23"/>
  <c r="L94" i="23"/>
  <c r="H52" i="23"/>
  <c r="K52" i="23"/>
  <c r="N52" i="23"/>
  <c r="H53" i="23"/>
  <c r="K53" i="23"/>
  <c r="N53" i="23"/>
  <c r="H54" i="23"/>
  <c r="H55" i="23"/>
  <c r="K55" i="23"/>
  <c r="N55" i="23"/>
  <c r="F56" i="23"/>
  <c r="G56" i="23"/>
  <c r="I56" i="23"/>
  <c r="J56" i="23"/>
  <c r="L56" i="23"/>
  <c r="M56" i="23"/>
  <c r="H47" i="23"/>
  <c r="K47" i="23"/>
  <c r="H48" i="23"/>
  <c r="K48" i="23"/>
  <c r="H49" i="23"/>
  <c r="K49" i="23"/>
  <c r="H50" i="23"/>
  <c r="K50" i="23"/>
  <c r="F51" i="23"/>
  <c r="G51" i="23"/>
  <c r="I51" i="23"/>
  <c r="J51" i="23"/>
  <c r="L51" i="23"/>
  <c r="M51" i="23"/>
  <c r="H37" i="23"/>
  <c r="K37" i="23"/>
  <c r="N37" i="23"/>
  <c r="H38" i="23"/>
  <c r="K38" i="23"/>
  <c r="N38" i="23"/>
  <c r="H39" i="23"/>
  <c r="K39" i="23"/>
  <c r="N39" i="23"/>
  <c r="H40" i="23"/>
  <c r="K40" i="23"/>
  <c r="N40" i="23"/>
  <c r="H41" i="23"/>
  <c r="K41" i="23"/>
  <c r="N41" i="23"/>
  <c r="H42" i="23"/>
  <c r="K42" i="23"/>
  <c r="N42" i="23"/>
  <c r="H17" i="23"/>
  <c r="O17" i="23" s="1"/>
  <c r="K17" i="23"/>
  <c r="N17" i="23"/>
  <c r="R17" i="23"/>
  <c r="H18" i="23"/>
  <c r="O18" i="23" s="1"/>
  <c r="R18" i="23"/>
  <c r="H19" i="23"/>
  <c r="K19" i="23"/>
  <c r="N19" i="23"/>
  <c r="R19" i="23"/>
  <c r="H20" i="23"/>
  <c r="O20" i="23" s="1"/>
  <c r="K20" i="23"/>
  <c r="N20" i="23"/>
  <c r="R20" i="23"/>
  <c r="H21" i="23"/>
  <c r="O21" i="23" s="1"/>
  <c r="K21" i="23"/>
  <c r="N21" i="23"/>
  <c r="R21" i="23"/>
  <c r="F22" i="23"/>
  <c r="G22" i="23"/>
  <c r="I22" i="23"/>
  <c r="J22" i="23"/>
  <c r="L22" i="23"/>
  <c r="M22" i="23"/>
  <c r="H24" i="23"/>
  <c r="O24" i="23" s="1"/>
  <c r="K24" i="23"/>
  <c r="N24" i="23"/>
  <c r="H25" i="23"/>
  <c r="O25" i="23" s="1"/>
  <c r="H26" i="23"/>
  <c r="O26" i="23" s="1"/>
  <c r="K26" i="23"/>
  <c r="N26" i="23"/>
  <c r="H27" i="23"/>
  <c r="O27" i="23" s="1"/>
  <c r="K27" i="23"/>
  <c r="N27" i="23"/>
  <c r="H28" i="23"/>
  <c r="O28" i="23" s="1"/>
  <c r="K28" i="23"/>
  <c r="N28" i="23"/>
  <c r="F29" i="23"/>
  <c r="G29" i="23"/>
  <c r="I29" i="23"/>
  <c r="J29" i="23"/>
  <c r="L29" i="23"/>
  <c r="M29" i="23"/>
  <c r="S29" i="23"/>
  <c r="T29" i="23"/>
  <c r="F31" i="23"/>
  <c r="G31" i="23"/>
  <c r="I31" i="23"/>
  <c r="J31" i="23"/>
  <c r="L31" i="23"/>
  <c r="M31" i="23"/>
  <c r="F32" i="23"/>
  <c r="G32" i="23"/>
  <c r="F33" i="23"/>
  <c r="G33" i="23"/>
  <c r="I33" i="23"/>
  <c r="J33" i="23"/>
  <c r="L33" i="23"/>
  <c r="M33" i="23"/>
  <c r="F34" i="23"/>
  <c r="G34" i="23"/>
  <c r="I34" i="23"/>
  <c r="J34" i="23"/>
  <c r="L34" i="23"/>
  <c r="M34" i="23"/>
  <c r="F35" i="23"/>
  <c r="G35" i="23"/>
  <c r="I35" i="23"/>
  <c r="J35" i="23"/>
  <c r="L35" i="23"/>
  <c r="M35" i="23"/>
  <c r="H152" i="22"/>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F33" i="21"/>
  <c r="F39" i="21" s="1"/>
  <c r="F35" i="21"/>
  <c r="F152" i="21" s="1"/>
  <c r="F36" i="21"/>
  <c r="F37" i="21"/>
  <c r="F38" i="21"/>
  <c r="F86" i="21"/>
  <c r="G64" i="21"/>
  <c r="F64" i="21"/>
  <c r="E64" i="21"/>
  <c r="J64" i="21" s="1"/>
  <c r="H63" i="21"/>
  <c r="G63" i="21"/>
  <c r="F63" i="21"/>
  <c r="E63" i="21"/>
  <c r="H62" i="21"/>
  <c r="G62" i="21"/>
  <c r="F62" i="21"/>
  <c r="E62" i="21"/>
  <c r="H61" i="21"/>
  <c r="G61" i="21"/>
  <c r="F61" i="21"/>
  <c r="E61" i="21"/>
  <c r="H60" i="21"/>
  <c r="G60" i="21"/>
  <c r="F60" i="21"/>
  <c r="E60" i="21"/>
  <c r="H59" i="21"/>
  <c r="G59" i="21"/>
  <c r="F59" i="21"/>
  <c r="E59" i="21"/>
  <c r="H58" i="21"/>
  <c r="G58" i="21"/>
  <c r="F58" i="21"/>
  <c r="E58" i="21"/>
  <c r="H57" i="21"/>
  <c r="G57" i="21"/>
  <c r="F57" i="21"/>
  <c r="E57" i="21"/>
  <c r="H86" i="21"/>
  <c r="J86" i="21" s="1"/>
  <c r="G86" i="21"/>
  <c r="E86" i="21"/>
  <c r="I86" i="21" s="1"/>
  <c r="B39" i="21"/>
  <c r="H38" i="21"/>
  <c r="J38" i="21" s="1"/>
  <c r="G38" i="21"/>
  <c r="E38" i="21"/>
  <c r="I38" i="21" s="1"/>
  <c r="B38" i="21"/>
  <c r="H37" i="21"/>
  <c r="J37" i="21" s="1"/>
  <c r="G37" i="21"/>
  <c r="E37" i="21"/>
  <c r="I37" i="21" s="1"/>
  <c r="B37" i="21"/>
  <c r="H36" i="21"/>
  <c r="J36" i="21" s="1"/>
  <c r="G36" i="21"/>
  <c r="B36" i="21"/>
  <c r="H35" i="21"/>
  <c r="H152" i="21" s="1"/>
  <c r="G35" i="21"/>
  <c r="G152" i="21" s="1"/>
  <c r="E35" i="21"/>
  <c r="E152" i="21" s="1"/>
  <c r="H33" i="21"/>
  <c r="G33" i="21"/>
  <c r="G39" i="21" s="1"/>
  <c r="J81" i="21"/>
  <c r="J101" i="21" s="1"/>
  <c r="I81" i="21"/>
  <c r="E39" i="21" l="1"/>
  <c r="E40" i="21" s="1"/>
  <c r="I33" i="21"/>
  <c r="H39" i="21"/>
  <c r="J39" i="21" s="1"/>
  <c r="J33" i="21"/>
  <c r="I101" i="21"/>
  <c r="I49" i="21" s="1"/>
  <c r="I144" i="21"/>
  <c r="J60" i="21"/>
  <c r="I58" i="21"/>
  <c r="I62" i="21"/>
  <c r="I63" i="21"/>
  <c r="J59" i="21"/>
  <c r="J61" i="21"/>
  <c r="J57" i="21"/>
  <c r="I59" i="21"/>
  <c r="I65" i="21"/>
  <c r="J58" i="21"/>
  <c r="I60" i="21"/>
  <c r="I57" i="21"/>
  <c r="I61" i="21"/>
  <c r="I64" i="21"/>
  <c r="J63" i="21"/>
  <c r="J62" i="21"/>
  <c r="J65" i="21"/>
  <c r="E99" i="21"/>
  <c r="F99" i="21"/>
  <c r="N29" i="23"/>
  <c r="F36" i="23"/>
  <c r="M36" i="23"/>
  <c r="G36" i="23"/>
  <c r="H35" i="23"/>
  <c r="N56" i="23"/>
  <c r="K22" i="23"/>
  <c r="K34" i="23"/>
  <c r="N33" i="23"/>
  <c r="K33" i="23"/>
  <c r="K31" i="23"/>
  <c r="H33" i="23"/>
  <c r="K56" i="23"/>
  <c r="H29" i="23"/>
  <c r="O29" i="23" s="1"/>
  <c r="N34" i="23"/>
  <c r="K51" i="23"/>
  <c r="K29" i="23"/>
  <c r="N22" i="23"/>
  <c r="L36" i="23"/>
  <c r="N35" i="23"/>
  <c r="K35" i="23"/>
  <c r="H51" i="23"/>
  <c r="J36" i="23"/>
  <c r="S21" i="23"/>
  <c r="I36" i="23"/>
  <c r="S18" i="23"/>
  <c r="S19" i="23"/>
  <c r="H34" i="23"/>
  <c r="H31" i="23"/>
  <c r="H22" i="23"/>
  <c r="O22" i="23" s="1"/>
  <c r="H56" i="23"/>
  <c r="S20" i="23"/>
  <c r="O19" i="23"/>
  <c r="S17" i="23"/>
  <c r="H32" i="23"/>
  <c r="N31" i="23"/>
  <c r="M28" i="22"/>
  <c r="D92" i="22"/>
  <c r="G121" i="22"/>
  <c r="G122" i="22"/>
  <c r="F40" i="21"/>
  <c r="F42" i="21" s="1"/>
  <c r="G40" i="21"/>
  <c r="G42" i="21" s="1"/>
  <c r="H40" i="21" l="1"/>
  <c r="J40" i="21" s="1"/>
  <c r="I39" i="21"/>
  <c r="H42" i="21"/>
  <c r="J42" i="21" s="1"/>
  <c r="I31" i="19"/>
  <c r="J31" i="19" s="1"/>
  <c r="J119" i="23"/>
  <c r="J122" i="23"/>
  <c r="J121" i="23"/>
  <c r="J123" i="23"/>
  <c r="G41" i="21"/>
  <c r="F41" i="21"/>
  <c r="H41" i="21"/>
  <c r="J41" i="21" s="1"/>
  <c r="H36" i="23"/>
  <c r="D8" i="23" s="1"/>
  <c r="N36" i="23"/>
  <c r="F8" i="23" s="1"/>
  <c r="F7" i="23" s="1"/>
  <c r="K36" i="23"/>
  <c r="E8" i="23" s="1"/>
  <c r="E7" i="23" s="1"/>
  <c r="J120" i="23"/>
  <c r="E42" i="21" l="1"/>
  <c r="I42" i="21" s="1"/>
  <c r="E41" i="21"/>
  <c r="I41" i="21" s="1"/>
  <c r="I40" i="21"/>
  <c r="D7" i="23"/>
  <c r="J124" i="23"/>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F54" i="18" l="1"/>
  <c r="J49" i="14"/>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F9" i="8"/>
  <c r="G9" i="8"/>
  <c r="I9" i="8"/>
  <c r="H9" i="8"/>
  <c r="E28" i="6"/>
  <c r="J28" i="6" s="1"/>
  <c r="F28" i="6"/>
  <c r="G28" i="6"/>
  <c r="H28" i="6"/>
  <c r="I28"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G26" i="19" l="1"/>
  <c r="H26" i="19" s="1"/>
  <c r="J71" i="14"/>
  <c r="K71" i="14"/>
  <c r="I71" i="14"/>
  <c r="F111" i="3"/>
  <c r="E111" i="3"/>
  <c r="F8" i="6"/>
  <c r="G11"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N23" i="6"/>
  <c r="N20" i="6"/>
  <c r="O20"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O24" i="10"/>
  <c r="V13" i="10" s="1"/>
  <c r="L24" i="10"/>
  <c r="U13" i="10" s="1"/>
  <c r="I26" i="10"/>
  <c r="T13"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R27" i="6"/>
  <c r="Q27" i="6"/>
  <c r="P27" i="6"/>
  <c r="O27" i="6"/>
  <c r="N27" i="6"/>
  <c r="O23" i="6"/>
  <c r="P23" i="6"/>
  <c r="Q23" i="6"/>
  <c r="R23" i="6"/>
  <c r="R19" i="6"/>
  <c r="Q19" i="6"/>
  <c r="P19" i="6"/>
  <c r="O19" i="6"/>
  <c r="F92" i="3"/>
  <c r="F83" i="3"/>
  <c r="F81" i="3"/>
  <c r="G92" i="3"/>
  <c r="G83" i="3"/>
  <c r="G81" i="3"/>
  <c r="H92" i="3"/>
  <c r="H83" i="3"/>
  <c r="H77" i="3"/>
  <c r="H81" i="3"/>
  <c r="F77" i="3"/>
  <c r="G77" i="3"/>
  <c r="F72" i="14"/>
  <c r="G72" i="14"/>
  <c r="E52" i="14"/>
  <c r="E56" i="14" s="1"/>
  <c r="F52" i="14"/>
  <c r="G52" i="14"/>
  <c r="H52" i="14"/>
  <c r="M14" i="14"/>
  <c r="F21" i="10"/>
  <c r="S13"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G27" i="19" l="1"/>
  <c r="N36" i="14"/>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t>
        </r>
      </text>
    </comment>
    <comment ref="B21"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2"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0" authorId="0" shapeId="0" xr:uid="{FFA28DE6-B952-4767-8054-EBBD987AF037}">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1" authorId="0" shapeId="0" xr:uid="{35C2FE94-E483-4F99-87D8-6DE614D9580A}">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2" authorId="0" shapeId="0" xr:uid="{DD79B860-0DCD-422B-8660-D0551A05A190}">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3" authorId="0" shapeId="0" xr:uid="{EFF25D66-9714-4E11-8335-0296651C5CD8}">
      <text>
        <r>
          <rPr>
            <sz val="10"/>
            <color indexed="81"/>
            <rFont val="Verdana"/>
            <family val="2"/>
          </rPr>
          <t xml:space="preserve">
This is our operational GHG footprint using the Scope 1 emissions and the market based Scope 2 emissions as stated above.</t>
        </r>
      </text>
    </comment>
    <comment ref="B14" authorId="0" shapeId="0" xr:uid="{5E54F472-C26B-449C-9D33-BB06DFF00875}">
      <text>
        <r>
          <rPr>
            <sz val="10"/>
            <color indexed="81"/>
            <rFont val="Verdana"/>
            <family val="2"/>
          </rPr>
          <t xml:space="preserve">
This is our operational GHG footprint using the Scope 1 emissions and the location based Scope 2 emissions as stated above.</t>
        </r>
      </text>
    </comment>
    <comment ref="B15" authorId="0" shapeId="0" xr:uid="{E6AA52E8-08AB-42D0-B11F-DDDC7BF95C72}">
      <text>
        <r>
          <rPr>
            <sz val="10"/>
            <color indexed="81"/>
            <rFont val="Verdana"/>
            <family val="2"/>
          </rPr>
          <t xml:space="preserve">
This is the total scope 1 GHG emissions and  Scope 2 GHG emissions based on the market values factored against the weight of product sold. </t>
        </r>
      </text>
    </comment>
    <comment ref="B18" authorId="0" shapeId="0" xr:uid="{5978D33D-096F-49CD-8A6D-BE20D20BACEC}">
      <text>
        <r>
          <rPr>
            <sz val="10"/>
            <color indexed="81"/>
            <rFont val="Verdana"/>
            <family val="2"/>
          </rPr>
          <t>Where mass of purchased goods was available, this was used in combination with GHG intensity factors obtained either from suppliers or EcoInvent. For the remaining goods and for purchased services a financial allocation (EEIO model) was used</t>
        </r>
      </text>
    </comment>
    <comment ref="B19" authorId="0" shapeId="0" xr:uid="{AF932271-CF3C-462C-97F8-44E05C7A5C38}">
      <text>
        <r>
          <rPr>
            <sz val="10"/>
            <color indexed="81"/>
            <rFont val="Verdana"/>
            <family val="2"/>
          </rPr>
          <t>Financial allocation (EEIO model) using geographical breakdown of data shown in Accounting note 12 “Property, plant &amp; equipment” on page 174</t>
        </r>
      </text>
    </comment>
    <comment ref="B20" authorId="0" shapeId="0" xr:uid="{A861B69E-B1B7-4093-BDF3-282AC0DE3DBB}">
      <text>
        <r>
          <rPr>
            <sz val="10"/>
            <color indexed="81"/>
            <rFont val="Verdana"/>
            <family val="2"/>
          </rPr>
          <t>Defra’s GHG reporting conversion factors 2022 were used to calculate well-to-tank GHG emissions from fuel usage, transmission and distribution losses from purchased electricity, and well-to-tank and transmission and distribution losses of energy from steam</t>
        </r>
      </text>
    </comment>
    <comment ref="B21" authorId="0" shapeId="0" xr:uid="{492BD891-C208-4854-9834-1229CDC5A01D}">
      <text>
        <r>
          <rPr>
            <sz val="10"/>
            <color indexed="81"/>
            <rFont val="Verdana"/>
            <family val="2"/>
          </rPr>
          <t>Emissions data was provided by our suppliers where available. Otherwise, a financial allocation was made based on spend and intensity factors from the EEIO mode</t>
        </r>
      </text>
    </comment>
    <comment ref="B22" authorId="0" shapeId="0" xr:uid="{B8DE6842-7FE2-4C54-A119-E2889F832AF3}">
      <text>
        <r>
          <rPr>
            <sz val="10"/>
            <color indexed="81"/>
            <rFont val="Verdana"/>
            <family val="2"/>
          </rPr>
          <t>Where GHG footprints were available from waste service providers they were used, otherwise Defra’s GHG reporting conversion factors 2022 were used according to mass of waste disposal by destination see page 46</t>
        </r>
      </text>
    </comment>
    <comment ref="B23" authorId="0" shapeId="0" xr:uid="{8808F123-FE98-4AB5-BEF4-71F90D457F2B}">
      <text>
        <r>
          <rPr>
            <sz val="10"/>
            <color indexed="81"/>
            <rFont val="Verdana"/>
            <family val="2"/>
          </rPr>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r>
      </text>
    </comment>
    <comment ref="B24" authorId="0" shapeId="0" xr:uid="{54C4A068-F891-4B70-B88D-C7DB21B285E5}">
      <text>
        <r>
          <rPr>
            <sz val="10"/>
            <color indexed="81"/>
            <rFont val="Verdana"/>
            <family val="2"/>
          </rPr>
          <t>Data is obtained by employee survey of miles travelled per week by modes of transport. Defra’s GHG reporting conversion factors 2022 are used to calculate the GHG intensity of each transport type</t>
        </r>
      </text>
    </comment>
    <comment ref="B25" authorId="0" shapeId="0" xr:uid="{56E19751-9707-4C55-AAD6-2FC528D87C73}">
      <text>
        <r>
          <rPr>
            <sz val="10"/>
            <color indexed="81"/>
            <rFont val="Verdana"/>
            <family val="2"/>
          </rPr>
          <t>Financial allocation (EEIO model) using floor space and geographical location</t>
        </r>
      </text>
    </comment>
    <comment ref="B26" authorId="0" shapeId="0" xr:uid="{3CD3E72C-DF34-4CF8-B7C2-CC2279A05826}">
      <text>
        <r>
          <rPr>
            <sz val="10"/>
            <color indexed="81"/>
            <rFont val="Verdana"/>
            <family val="2"/>
          </rPr>
          <t>Where JM takes responsibility for the downstream distribution of goods, it was included in the upstream category calculation. Where our customers takes responsibility, no data is available</t>
        </r>
      </text>
    </comment>
    <comment ref="B27" authorId="0" shapeId="0" xr:uid="{12942587-7E06-49E8-9272-E8228D1DC6DA}">
      <text>
        <r>
          <rPr>
            <sz val="10"/>
            <color indexed="81"/>
            <rFont val="Verdana"/>
            <family val="2"/>
          </rPr>
          <t>No quantitative data available, but not expected to be material based on our knowledge of how our customers use our products</t>
        </r>
      </text>
    </comment>
    <comment ref="B28" authorId="0" shapeId="0" xr:uid="{E9379C54-8129-48B7-8488-4FFF6766FFCD}">
      <text>
        <r>
          <rPr>
            <sz val="10"/>
            <color indexed="81"/>
            <rFont val="Verdana"/>
            <family val="2"/>
          </rPr>
          <t>We have removed Use of sold products from our footprint by agreement with SBTi, as it determined that the emissions we reported in this category were ‘indirect’ and should not, therefore, be included.</t>
        </r>
      </text>
    </comment>
    <comment ref="B29" authorId="0" shapeId="0" xr:uid="{00F03746-1F38-4E52-AD4F-F849A766073A}">
      <text>
        <r>
          <rPr>
            <sz val="10"/>
            <color indexed="81"/>
            <rFont val="Verdana"/>
            <family val="2"/>
          </rPr>
          <t>Many of JM’s products are returned to the company for recovery of the precious metals and thus end of life treatment is included in our Scope 1 and Scope 2 footprint. JM does not have visibility of other end of life treatments</t>
        </r>
      </text>
    </comment>
    <comment ref="B30" authorId="0" shapeId="0" xr:uid="{89E84C11-90F2-4DB5-AB4E-6388496D05EE}">
      <text>
        <r>
          <rPr>
            <sz val="10"/>
            <color indexed="81"/>
            <rFont val="Verdana"/>
            <family val="2"/>
          </rPr>
          <t>Included in Upstream leased assets category</t>
        </r>
      </text>
    </comment>
    <comment ref="B31" authorId="0" shapeId="0" xr:uid="{EC213310-037E-4E43-8391-EE0337747D11}">
      <text>
        <r>
          <rPr>
            <sz val="10"/>
            <color indexed="81"/>
            <rFont val="Verdana"/>
            <family val="2"/>
          </rPr>
          <t>JM does not have any franchises</t>
        </r>
      </text>
    </comment>
    <comment ref="B32" authorId="0" shapeId="0" xr:uid="{4484E058-6722-4374-B03D-160635F70A29}">
      <text>
        <r>
          <rPr>
            <sz val="10"/>
            <color indexed="81"/>
            <rFont val="Verdana"/>
            <family val="2"/>
          </rPr>
          <t>GHG footprints from our Pensions trustee providers were used, where available, and scaled to represent JM's global employee count. Financial allocation (EEIO model) using geographical breakdown of investment revenues from each entity</t>
        </r>
      </text>
    </comment>
    <comment ref="B51" authorId="0" shapeId="0" xr:uid="{175B0089-8403-40F9-B80E-6CEDA1992BFA}">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52" authorId="0" shapeId="0" xr:uid="{2A23E601-09FE-4E99-902D-E1D17CBD8BE7}">
      <text>
        <r>
          <rPr>
            <sz val="10"/>
            <color indexed="81"/>
            <rFont val="Verdana"/>
            <family val="2"/>
          </rPr>
          <t>This is the total energy used by the business divided by amount of materials sold to customers.</t>
        </r>
      </text>
    </comment>
    <comment ref="B53" authorId="0" shapeId="0" xr:uid="{10055198-DB26-4D53-BC3B-07066B6C1D0F}">
      <text>
        <r>
          <rPr>
            <sz val="10"/>
            <color indexed="81"/>
            <rFont val="Verdana"/>
            <family val="2"/>
          </rPr>
          <t>This is the total amount of renewable electricity supplied to site or generated on site as a percentage of the total electricity used by JM. The total amount includes non renewable electricity generated by JM on our own sites as well as all electricity supplied to JM through grid or direct connection.</t>
        </r>
      </text>
    </comment>
    <comment ref="B68" authorId="0" shapeId="0" xr:uid="{F2893684-7383-4FFC-9BD1-06617548BE76}">
      <text>
        <r>
          <rPr>
            <sz val="10"/>
            <color indexed="81"/>
            <rFont val="Verdana"/>
            <family val="2"/>
          </rPr>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r>
      </text>
    </comment>
    <comment ref="B69" authorId="0" shapeId="0" xr:uid="{AE1422BE-87C9-4B3C-8992-E96012D145A2}">
      <text>
        <r>
          <rPr>
            <sz val="10"/>
            <color indexed="81"/>
            <rFont val="Verdana"/>
            <family val="2"/>
          </rPr>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r>
      </text>
    </comment>
    <comment ref="B70" authorId="0" shapeId="0" xr:uid="{687246BD-CC2B-469D-9A66-79A37FE084F5}">
      <text>
        <r>
          <rPr>
            <sz val="10"/>
            <color indexed="81"/>
            <rFont val="Verdana"/>
            <family val="2"/>
          </rPr>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r>
      </text>
    </comment>
    <comment ref="B71" authorId="0" shapeId="0" xr:uid="{E8422A88-33D1-4043-8DB3-0961CBFD049E}">
      <text>
        <r>
          <rPr>
            <sz val="10"/>
            <color indexed="81"/>
            <rFont val="Verdana"/>
            <family val="2"/>
          </rPr>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r>
      </text>
    </comment>
    <comment ref="B72" authorId="0" shapeId="0" xr:uid="{D4F95AA3-266D-41D2-BEA7-C366D3EBA784}">
      <text>
        <r>
          <rPr>
            <sz val="10"/>
            <color indexed="81"/>
            <rFont val="Verdana"/>
            <family val="2"/>
          </rPr>
          <t>This is the total of non renewable electrical energy (expressed as kWh) purchased from a grid that is consumed for site operations. Values are taken from supplier invoices that cover the time period in question.</t>
        </r>
      </text>
    </comment>
    <comment ref="B73" authorId="0" shapeId="0" xr:uid="{9FEB0B2C-A7BB-49A9-A449-2C4D7ED9695A}">
      <text>
        <r>
          <rPr>
            <sz val="10"/>
            <color indexed="81"/>
            <rFont val="Verdana"/>
            <family val="2"/>
          </rPr>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r>
      </text>
    </comment>
    <comment ref="B74" authorId="0" shapeId="0" xr:uid="{18A2FBEE-CB58-44A5-8775-BBCBC7C2FB37}">
      <text>
        <r>
          <rPr>
            <sz val="10"/>
            <color indexed="81"/>
            <rFont val="Verdana"/>
            <family val="2"/>
          </rPr>
          <t xml:space="preserve">This is the energy used from either the direct fuel used or mileage traveled by JM vehicles or JM employees in road vehicles when on company business. </t>
        </r>
      </text>
    </comment>
    <comment ref="B75" authorId="0" shapeId="0" xr:uid="{065C91CC-65CB-42B7-9625-F1C4B7BA3D40}">
      <text>
        <r>
          <rPr>
            <sz val="10"/>
            <color indexed="81"/>
            <rFont val=" verdana"/>
          </rPr>
          <t>This is the total amount of renewable energy (expressed as GJ) supplied to site or generated on site for use in our operations. The energy is certified renewable or is purchased as a renewable supply.</t>
        </r>
      </text>
    </comment>
    <comment ref="B83" authorId="0" shapeId="0" xr:uid="{B78E1880-0FE3-4FC5-B0DC-D1A2AAAA14AD}">
      <text>
        <r>
          <rPr>
            <sz val="10"/>
            <color indexed="81"/>
            <rFont val="Verdana"/>
            <family val="2"/>
          </rPr>
          <t>This is fresh water that is supplied to site via mains pipework.</t>
        </r>
      </text>
    </comment>
    <comment ref="B84" authorId="0" shapeId="0" xr:uid="{5A9B5874-4EC5-4110-A0AA-E0A4471A8B9B}">
      <text>
        <r>
          <rPr>
            <sz val="10"/>
            <color indexed="81"/>
            <rFont val="Verdana"/>
            <family val="2"/>
          </rPr>
          <t>This is water that is extracted from fresh surface water</t>
        </r>
      </text>
    </comment>
    <comment ref="B85" authorId="0" shapeId="0" xr:uid="{42F94C63-7CE7-4FC3-A520-D9108C5D1CD2}">
      <text>
        <r>
          <rPr>
            <sz val="10"/>
            <color indexed="81"/>
            <rFont val="Verdana"/>
            <family val="2"/>
          </rPr>
          <t xml:space="preserve">Water in soil beneath the soil surface, usually under conditions where the pressure in the water is greater than the atmospheric pressure, and the soil voids are substantially filled with the water. </t>
        </r>
      </text>
    </comment>
    <comment ref="B86" authorId="0" shapeId="0" xr:uid="{01AB2AF8-5C8D-40D9-80C5-C5A76FBBEDDB}">
      <text>
        <r>
          <rPr>
            <sz val="10"/>
            <color indexed="81"/>
            <rFont val="Verdana"/>
            <family val="2"/>
          </rPr>
          <t xml:space="preserve">This is the total fresh mains water, water extracted from the surface of the earth and water extracted from beneath the ground. </t>
        </r>
      </text>
    </comment>
    <comment ref="B88" authorId="0" shapeId="0" xr:uid="{0C4F0592-3303-418E-9DAF-A4451157E774}">
      <text>
        <r>
          <rPr>
            <sz val="10"/>
            <color indexed="81"/>
            <rFont val="Verdana"/>
            <family val="2"/>
          </rPr>
          <t>This is wastewater that is returned to its original source and is of equal or higher quality than the water that was originally extracted. In JM we only consider water returned to fresh surface water (lakes, rivers etc) or fresh ground water for this indicator.</t>
        </r>
      </text>
    </comment>
    <comment ref="B90" authorId="0" shapeId="0" xr:uid="{398A002F-B38D-49A2-83D6-CDA930EBC196}">
      <text>
        <r>
          <rPr>
            <sz val="10"/>
            <color indexed="81"/>
            <rFont val="Tahoma"/>
            <family val="2"/>
          </rPr>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r>
      </text>
    </comment>
    <comment ref="B93" authorId="0" shapeId="0" xr:uid="{A9631693-9675-44F2-8BAC-5F1BB05C5A4E}">
      <text>
        <r>
          <rPr>
            <sz val="10"/>
            <color indexed="81"/>
            <rFont val="Verdana"/>
            <family val="2"/>
          </rPr>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r>
      </text>
    </comment>
    <comment ref="B94" authorId="0" shapeId="0" xr:uid="{1D2AE209-BACE-41BF-AA77-788F74423ED0}">
      <text>
        <r>
          <rPr>
            <sz val="10"/>
            <color indexed="81"/>
            <rFont val="Verdana"/>
            <family val="2"/>
          </rPr>
          <t>This represents the amount of wastewater at JM where COD is routinely measured.</t>
        </r>
      </text>
    </comment>
    <comment ref="B97" authorId="0" shapeId="0" xr:uid="{54613D08-4F79-4EEE-8E84-416221D70952}">
      <text>
        <r>
          <rPr>
            <sz val="10"/>
            <color indexed="81"/>
            <rFont val="Verdana"/>
            <family val="2"/>
          </rPr>
          <t>This indicator equates the net fresh waterusage indicator as per the DJSI reporting criteria. This equates to the fresh water takn into site from mains, surface and groundwater which is adjusted for any water that is returned to fresh surface or groundwater.</t>
        </r>
      </text>
    </comment>
    <comment ref="B98" authorId="0" shapeId="0" xr:uid="{EF6F40EA-2902-427C-AFED-445775950EC2}">
      <text>
        <r>
          <rPr>
            <sz val="10"/>
            <color indexed="81"/>
            <rFont val="Verdana"/>
            <family val="2"/>
          </rPr>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r>
      </text>
    </comment>
    <comment ref="B103" authorId="0" shapeId="0" xr:uid="{FA2F564E-B36B-4578-99F7-959530EEBDC9}">
      <text>
        <r>
          <rPr>
            <sz val="10"/>
            <color indexed="81"/>
            <rFont val="Verdana"/>
            <family val="2"/>
          </rPr>
          <t>Hazardous waste is material deemed hazardous under the terms of the Basel Convention Annex I, II, III, 179 and VIII.  A solid waste is any item that is transported in a skip or similar container that cannot be poured</t>
        </r>
      </text>
    </comment>
    <comment ref="B104" authorId="0" shapeId="0" xr:uid="{D05EF9B7-5C0D-4D73-B64F-D2D74859B98D}">
      <text>
        <r>
          <rPr>
            <sz val="10"/>
            <color indexed="81"/>
            <rFont val="Verdana"/>
            <family val="2"/>
          </rPr>
          <t>Hazardous waste is material deemed hazardous under the terms of the Basel Convention Annex I, II, III, 179 and VIII.  A liquid waste is any item that can be poured and is transported in IBC, tanker or sealed container</t>
        </r>
      </text>
    </comment>
    <comment ref="B105" authorId="0" shapeId="0" xr:uid="{A604139C-0B5E-4EBF-A6FF-B39F92979AC3}">
      <text>
        <r>
          <rPr>
            <sz val="10"/>
            <color indexed="81"/>
            <rFont val="Verdana"/>
            <family val="2"/>
          </rPr>
          <t>Non Hazardous waste is material that is not deemed hazardous under the terms of the Basel Convention Annex I, II, III, 179 and VIII.  A solid waste is any item that is transported in a skip or similar container that cannot be poured</t>
        </r>
      </text>
    </comment>
    <comment ref="B106" authorId="0" shapeId="0" xr:uid="{33B8DA16-C17E-46E0-8D31-BCD65959C278}">
      <text>
        <r>
          <rPr>
            <sz val="10"/>
            <color indexed="81"/>
            <rFont val="Verdana"/>
            <family val="2"/>
          </rPr>
          <t>Non Hazardous waste is material not deemed hazardous under the terms of the Basel Convention Annex I, II, III, 179 and VIII.  A liquid waste is any item that can be poured and is transported in IBC, tanker or sealed container</t>
        </r>
      </text>
    </comment>
    <comment ref="B107" authorId="0" shapeId="0" xr:uid="{51AA756E-DA99-4D12-9202-FDDA60F2DE93}">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08" authorId="0" shapeId="0" xr:uid="{A1391F9E-44AE-4C09-A027-248DF015583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11" authorId="0" shapeId="0" xr:uid="{86218217-3B07-497E-AFF1-2A842D99E105}">
      <text>
        <r>
          <rPr>
            <sz val="10"/>
            <color indexed="81"/>
            <rFont val="Verdana"/>
            <family val="2"/>
          </rPr>
          <t>Hazardous waste is material deemed hazardous under the terms of the Basel Convention Annex I, II, III, 179 and VIII.  A solid waste is any item that is transported in a skip or similar container that cannot be poured</t>
        </r>
      </text>
    </comment>
    <comment ref="B112" authorId="0" shapeId="0" xr:uid="{787AAE8A-F516-4D8F-ABFA-588D4A58489C}">
      <text>
        <r>
          <rPr>
            <sz val="10"/>
            <color indexed="81"/>
            <rFont val="Verdana"/>
            <family val="2"/>
          </rPr>
          <t>Hazardous waste is material deemed hazardous under the terms of the Basel Convention Annex I, II, III, 179 and VIII.  A liquid waste is any item that can be poured and is transported in IBC, tanker or sealed container</t>
        </r>
      </text>
    </comment>
    <comment ref="B113" authorId="0" shapeId="0" xr:uid="{FA78FCB2-6FC7-4F94-AD33-DD16054892E2}">
      <text>
        <r>
          <rPr>
            <sz val="10"/>
            <color indexed="81"/>
            <rFont val="Verdana"/>
            <family val="2"/>
          </rPr>
          <t>Non Hazardous waste is material that is not deemed hazardous under the terms of the Basel Convention Annex I, II, III, 179 and VIII.  A solid waste is any item that is transported in a skip or similar container that cannot be poured</t>
        </r>
      </text>
    </comment>
    <comment ref="B114" authorId="0" shapeId="0" xr:uid="{624B0787-01F9-4EE1-BC47-DEA00D71F57C}">
      <text>
        <r>
          <rPr>
            <sz val="10"/>
            <color indexed="81"/>
            <rFont val="Verdana"/>
            <family val="2"/>
          </rPr>
          <t>Non Hazardous waste is material not deemed hazardous under the terms of the Basel Convention Annex I, II, III, 179 and VIII.  A liquid waste is any item that can be poured and is transported in IBC, tanker or sealed container</t>
        </r>
      </text>
    </comment>
    <comment ref="B115" authorId="0" shapeId="0" xr:uid="{DB4F006C-14FC-421D-9907-E7B52146202F}">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16" authorId="0" shapeId="0" xr:uid="{85EC312B-D643-459C-A885-94943F2FCA8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45" authorId="0" shapeId="0" xr:uid="{1DE4A1BE-2CBA-4585-8876-93D558C2F5FF}">
      <text>
        <r>
          <rPr>
            <sz val="10"/>
            <color indexed="81"/>
            <rFont val="Verdana"/>
            <family val="2"/>
          </rPr>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r>
      </text>
    </comment>
    <comment ref="B146" authorId="0" shapeId="0" xr:uid="{103A23A1-B76A-4CFF-AC90-DDE2A14EE0D0}">
      <text>
        <r>
          <rPr>
            <sz val="10"/>
            <color indexed="81"/>
            <rFont val="Verdana"/>
            <family val="2"/>
          </rPr>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r>
      </text>
    </comment>
    <comment ref="B147" authorId="0" shapeId="0" xr:uid="{92F0347C-D34D-4268-9F6F-DBE08E9994F8}">
      <text>
        <r>
          <rPr>
            <sz val="10"/>
            <color indexed="81"/>
            <rFont val="Tahoma"/>
            <family val="2"/>
          </rPr>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r>
      </text>
    </comment>
    <comment ref="B148" authorId="0" shapeId="0" xr:uid="{29FE0B95-2A28-47E1-8E25-FBC5E12774DE}">
      <text>
        <r>
          <rPr>
            <sz val="10"/>
            <color indexed="81"/>
            <rFont val="Verdana"/>
            <family val="2"/>
          </rPr>
          <t>This represents the percentage of JM operational sites reporting NOx values.</t>
        </r>
      </text>
    </comment>
    <comment ref="B149" authorId="0" shapeId="0" xr:uid="{1036AD0F-FD46-48E7-AAE0-094325A388D6}">
      <text>
        <r>
          <rPr>
            <sz val="10"/>
            <color indexed="81"/>
            <rFont val="Verdana"/>
            <family val="2"/>
          </rPr>
          <t>This represents the percentage of JM operational sites reporting SOx values.</t>
        </r>
      </text>
    </comment>
    <comment ref="B150" authorId="0" shapeId="0" xr:uid="{CE5B0161-FA42-418B-A9CC-7FE82ED10256}">
      <text>
        <r>
          <rPr>
            <sz val="10"/>
            <color indexed="81"/>
            <rFont val="Verdana"/>
            <family val="2"/>
          </rPr>
          <t>This represents the percentage of JM operational sites reporting VOCs values.</t>
        </r>
      </text>
    </comment>
    <comment ref="B153" authorId="0" shapeId="0" xr:uid="{86A61306-4B5B-4F55-AB5C-F224BB40BF33}">
      <text>
        <r>
          <rPr>
            <sz val="10"/>
            <color indexed="81"/>
            <rFont val="Verdana"/>
            <family val="2"/>
          </rPr>
          <t xml:space="preserve">Global Weight of product sold. </t>
        </r>
      </text>
    </comment>
    <comment ref="B158" authorId="0" shapeId="0" xr:uid="{7FD64105-B10E-497E-AC80-41557A67E890}">
      <text>
        <r>
          <rPr>
            <sz val="10"/>
            <color indexed="81"/>
            <rFont val="Verdana"/>
            <family val="2"/>
          </rPr>
          <t>Significant fines during the year.
Fines reported here if the individual fine was over $10,000 USD (or equivalent in converted currency)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tc={F092CB2E-4203-42F2-BD2F-74C6245C12F3}</author>
  </authors>
  <commentList>
    <comment ref="B7" authorId="0" shapeId="0" xr:uid="{1C39D8EE-32E2-4A23-91CC-65A6E657D2FF}">
      <text>
        <r>
          <rPr>
            <sz val="10"/>
            <color indexed="81"/>
            <rFont val="Verdana"/>
            <family val="2"/>
          </rPr>
          <t>Total number of employees, contractors and agency staff - does not include Non Executive Board members</t>
        </r>
      </text>
    </comment>
    <comment ref="B8" authorId="0" shapeId="0" xr:uid="{19033548-F4E3-4225-B9F5-63738352521C}">
      <text>
        <r>
          <rPr>
            <sz val="10"/>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1" authorId="0" shapeId="0" xr:uid="{CD1C03F4-DDC1-40EE-9EBE-5A16F4391609}">
      <text>
        <r>
          <rPr>
            <sz val="10"/>
            <color indexed="81"/>
            <rFont val="Verdana"/>
            <family val="2"/>
          </rPr>
          <t>An individual who is not on Johnson Matthey’s payroll, but performs tasks on Johnson Matthey's behalf. 
They are hired for a specific purpose and usually for a certain period of time e.g. Consultant,  Contractor, Vendor</t>
        </r>
      </text>
    </comment>
    <comment ref="B12" authorId="0" shapeId="0" xr:uid="{DBEE2674-F3EC-4941-BDAC-5B27A1518796}">
      <text>
        <r>
          <rPr>
            <sz val="10"/>
            <color indexed="81"/>
            <rFont val="Verdana"/>
            <family val="2"/>
          </rPr>
          <t>Continuously site based
Person employed by an agency performing tasks that would normally be expected to be undertaken by a JM employee.
Work is directly supervised by JM - paid directly via invoices</t>
        </r>
      </text>
    </comment>
    <comment ref="B15" authorId="0" shapeId="0" xr:uid="{09C9F832-F087-46FB-B15B-468316F2DFA9}">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6" authorId="0" shapeId="0" xr:uid="{ECBEE0F3-106D-418A-AC78-CC4335FC837B}">
      <text>
        <r>
          <rPr>
            <b/>
            <sz val="9"/>
            <color indexed="81"/>
            <rFont val="Tahoma"/>
            <family val="2"/>
          </rPr>
          <t xml:space="preserve">Definition:
</t>
        </r>
        <r>
          <rPr>
            <sz val="9"/>
            <color indexed="81"/>
            <rFont val="Tahoma"/>
            <family val="2"/>
          </rPr>
          <t xml:space="preserve">
Continuously site based
Contract signed directly between JM and individual and paid regular salary and other benefits by JM
Work is directly supervised by JM - paid via payroll</t>
        </r>
      </text>
    </comment>
    <comment ref="B23" authorId="0" shapeId="0" xr:uid="{E960AC9C-F5D8-42CF-A2A6-AE5A354C1F02}">
      <text>
        <r>
          <rPr>
            <b/>
            <sz val="9"/>
            <color indexed="81"/>
            <rFont val="Tahoma"/>
            <family val="2"/>
          </rPr>
          <t xml:space="preserve">Definition:
</t>
        </r>
        <r>
          <rPr>
            <sz val="9"/>
            <color indexed="81"/>
            <rFont val="Tahoma"/>
            <family val="2"/>
          </rPr>
          <t xml:space="preserve">
Continuously site based
Fixed term contract signed directly between JM and individual and paid regular salary and other benefits by JM
Work is directly supervised by JM - paid via payroll</t>
        </r>
      </text>
    </comment>
    <comment ref="B30" authorId="0" shapeId="0" xr:uid="{C5267F5F-B570-4F0B-B2CA-D9ADC294173E}">
      <text>
        <r>
          <rPr>
            <sz val="10"/>
            <color indexed="81"/>
            <rFont val="Tahoma"/>
            <family val="2"/>
          </rPr>
          <t>Excludes Non Executive Board members, Agency Staff and contractors</t>
        </r>
      </text>
    </comment>
    <comment ref="R34" authorId="1" shapeId="0" xr:uid="{F092CB2E-4203-42F2-BD2F-74C6245C12F3}">
      <text>
        <t>[Threaded comment]
Your version of Excel allows you to read this threaded comment; however, any edits to it will get removed if the file is opened in a newer version of Excel. Learn more: https://go.microsoft.com/fwlink/?linkid=870924
Comment:
    @Trevor Rouse are you able to carve out China?</t>
      </text>
    </comment>
    <comment ref="B37" authorId="0" shapeId="0" xr:uid="{37EC3CD6-79F9-449F-B74A-F90F8E102988}">
      <text>
        <r>
          <rPr>
            <sz val="9"/>
            <color indexed="81"/>
            <rFont val="Tahoma"/>
            <family val="2"/>
          </rPr>
          <t>Members of the Board</t>
        </r>
      </text>
    </comment>
    <comment ref="B38" authorId="0" shapeId="0" xr:uid="{E6069AC9-90E6-497E-A96E-7C535BFD9111}">
      <text>
        <r>
          <rPr>
            <sz val="9"/>
            <color indexed="81"/>
            <rFont val="Tahoma"/>
            <family val="2"/>
          </rPr>
          <t>JM's Group Leadership Team (GLT)</t>
        </r>
      </text>
    </comment>
    <comment ref="B39" authorId="0" shapeId="0" xr:uid="{9075B179-8EB2-4E5D-B47C-4E7D8C6761F9}">
      <text>
        <r>
          <rPr>
            <sz val="10"/>
            <color indexed="81"/>
            <rFont val="Verdana"/>
            <family val="2"/>
          </rPr>
          <t xml:space="preserve">
Individuals appointed to the boards of JM's other legal entities, other than JMPLC</t>
        </r>
      </text>
    </comment>
    <comment ref="B40" authorId="0" shapeId="0" xr:uid="{FB2439D4-B373-478F-BE78-E9783EEF6A96}">
      <text>
        <r>
          <rPr>
            <sz val="10"/>
            <color indexed="81"/>
            <rFont val="Verdana"/>
            <family val="2"/>
          </rPr>
          <t xml:space="preserve">
Within JM our senior managers are defined as direct reports of the GLT. </t>
        </r>
      </text>
    </comment>
    <comment ref="B41" authorId="0" shapeId="0" xr:uid="{AF736BFE-4BC4-451E-BE35-BF079FCA0470}">
      <text>
        <r>
          <rPr>
            <sz val="10"/>
            <color indexed="81"/>
            <rFont val="Verdana"/>
            <family val="2"/>
          </rPr>
          <t xml:space="preserve">
All employees whether they are a People manager or not at a minimum compensation grade</t>
        </r>
      </text>
    </comment>
    <comment ref="B45" authorId="0" shapeId="0" xr:uid="{40928D8B-82EC-4B86-849D-F9D89BB186E2}">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56" authorId="0" shapeId="0" xr:uid="{4B22B3E1-F7ED-41E6-B686-7B89C0C1024C}">
      <text>
        <r>
          <rPr>
            <sz val="10"/>
            <color indexed="81"/>
            <rFont val="Verdana"/>
            <family val="2"/>
          </rPr>
          <t>Excludes Board members
2022 and 2021 categories different
employees under 30 years of age
employees aged between 30-50 
employees aged over 50
Age disclosure is voluntary</t>
        </r>
      </text>
    </comment>
    <comment ref="B86" authorId="0" shapeId="0" xr:uid="{2F3F2D6C-B0E2-40BB-8A24-8D6DEF5B1CD9}">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87" authorId="0" shapeId="0" xr:uid="{F0DF1482-982C-4497-AC21-5524FD1A86B4}">
      <text>
        <r>
          <rPr>
            <sz val="9"/>
            <color indexed="81"/>
            <rFont val="Tahoma"/>
            <family val="2"/>
          </rPr>
          <t xml:space="preserve">
</t>
        </r>
        <r>
          <rPr>
            <sz val="10"/>
            <color indexed="81"/>
            <rFont val="Verdana"/>
            <family val="2"/>
          </rPr>
          <t>External joiners</t>
        </r>
      </text>
    </comment>
    <comment ref="B88" authorId="0" shapeId="0" xr:uid="{B4B175C2-EF9A-4695-8F7E-D2A05E0EDA4A}">
      <text>
        <r>
          <rPr>
            <sz val="9"/>
            <color indexed="81"/>
            <rFont val="Tahoma"/>
            <family val="2"/>
          </rPr>
          <t xml:space="preserve">
</t>
        </r>
        <r>
          <rPr>
            <sz val="10"/>
            <color indexed="81"/>
            <rFont val="Verdana"/>
            <family val="2"/>
          </rPr>
          <t>Resignation only</t>
        </r>
      </text>
    </comment>
    <comment ref="B90" authorId="0" shapeId="0" xr:uid="{ADAE08CA-D61F-4918-9BF3-57153CB3434C}">
      <text>
        <r>
          <rPr>
            <sz val="10"/>
            <color indexed="81"/>
            <rFont val="Verdana"/>
            <family val="2"/>
          </rPr>
          <t xml:space="preserve">
Employee turnover rate initiated by employer </t>
        </r>
      </text>
    </comment>
    <comment ref="B92" authorId="0" shapeId="0" xr:uid="{31F4A19E-CA43-4764-B655-5A2622A34485}">
      <text>
        <r>
          <rPr>
            <sz val="10"/>
            <color indexed="81"/>
            <rFont val="Verdana"/>
            <family val="2"/>
          </rPr>
          <t xml:space="preserve">
Resignation only
Number of leavers over last 12 months divided by average headcount as at data points 1 April and the following 31 March</t>
        </r>
      </text>
    </comment>
    <comment ref="B93" authorId="0" shapeId="0" xr:uid="{190A87D6-8777-40E3-9830-477228A78CC0}">
      <text>
        <r>
          <rPr>
            <sz val="10"/>
            <color indexed="81"/>
            <rFont val="Verdana"/>
            <family val="2"/>
          </rPr>
          <t xml:space="preserve">
Employee turnover rate initiated by employer 
Number of leavers over last 12 months divided by average headcount as at data points 1 April and the following 31 March</t>
        </r>
      </text>
    </comment>
    <comment ref="B94" authorId="0" shapeId="0" xr:uid="{6F461C54-22DE-498B-A618-76D518B80E66}">
      <text>
        <r>
          <rPr>
            <sz val="10"/>
            <color indexed="81"/>
            <rFont val="Verdana"/>
            <family val="2"/>
          </rPr>
          <t xml:space="preserve">
Voluntary and involuntary leavers
Number of leavers over last 12 months divided by average headcount as at data points 1 April and the following 31 March</t>
        </r>
      </text>
    </comment>
    <comment ref="B98" authorId="0" shapeId="0" xr:uid="{A227676A-AE13-49B8-9743-FB1504A71AF7}">
      <text>
        <r>
          <rPr>
            <sz val="10"/>
            <color indexed="81"/>
            <rFont val="Verdana"/>
            <family val="2"/>
          </rPr>
          <t xml:space="preserve">
Average number of employees who were covered by a collective bargaining agreement and / or represented by a trade union</t>
        </r>
      </text>
    </comment>
    <comment ref="B107" authorId="0" shapeId="0" xr:uid="{10AE366A-B568-4BEF-98F9-BA75B8B9EBC4}">
      <text>
        <r>
          <rPr>
            <sz val="9"/>
            <color indexed="81"/>
            <rFont val="Tahoma"/>
            <family val="2"/>
          </rPr>
          <t xml:space="preserve">Number of employees who were covered by a collective bargaining agreement and / or represented by a trade union
Topics covered within trade union agreements are:
Personall protective equipment, 
Participation of worker representatives in health and safety,
Trainind and education,
Complaints mechanism,
The right to refuse unsafe work, 
Periodic inspections
</t>
        </r>
      </text>
    </comment>
    <comment ref="B117" authorId="0" shapeId="0" xr:uid="{E6CA7531-8F7C-4848-85A6-A122A9D96EE3}">
      <text>
        <r>
          <rPr>
            <sz val="10"/>
            <color indexed="81"/>
            <rFont val="Verdana"/>
            <family val="2"/>
          </rPr>
          <t>An internal promotion happens when an internal candidate is promoted to a new position — instead of the organization hiring an external candidate. </t>
        </r>
      </text>
    </comment>
    <comment ref="B118" authorId="0" shapeId="0" xr:uid="{E666F78D-FAFC-40C9-8F06-ECAF5649B2A5}">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7" authorId="0" shapeId="0" xr:uid="{C3AF9ECF-997F-42E3-9E7E-C38680D51FC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9" authorId="0" shapeId="0" xr:uid="{6E5A78F8-5D62-4A1B-9799-B80525D98EC7}">
      <text>
        <r>
          <rPr>
            <sz val="9"/>
            <color indexed="81"/>
            <rFont val="Tahoma"/>
            <family val="2"/>
          </rPr>
          <t xml:space="preserve">
Some employees may still be on leave</t>
        </r>
      </text>
    </comment>
    <comment ref="B133" authorId="0" shapeId="0" xr:uid="{7343B303-A080-4DD5-AF5D-BD89EB5F5A5B}">
      <text>
        <r>
          <rPr>
            <sz val="10"/>
            <color indexed="81"/>
            <rFont val="Verdana"/>
            <family val="2"/>
          </rPr>
          <t xml:space="preserve">
Employees globally receiving regular performance and career development reviews with objectives set and signed off by managers</t>
        </r>
      </text>
    </comment>
    <comment ref="B134" authorId="0" shapeId="0" xr:uid="{F30D083C-0E85-4DCC-B26F-7C4B932F4BCA}">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40" authorId="0" shapeId="0" xr:uid="{3A7ED20B-4D46-4907-B347-B36AA3A1D615}">
      <text>
        <r>
          <rPr>
            <sz val="9"/>
            <color indexed="81"/>
            <rFont val="Tahoma"/>
            <family val="2"/>
          </rPr>
          <t xml:space="preserve">
This is calculated from data gathered from 3 of our key sites. A programme to migrate learning record management to one global system is underway. </t>
        </r>
      </text>
    </comment>
    <comment ref="B141" authorId="0" shapeId="0" xr:uid="{CD11A43D-4F03-4BE7-AFD5-0050A37F8708}">
      <text>
        <r>
          <rPr>
            <sz val="9"/>
            <color indexed="81"/>
            <rFont val="Tahoma"/>
            <family val="2"/>
          </rPr>
          <t xml:space="preserve">
This is calculated from data gathered from our learning record management systems, we are in the process of migrating to one global system.
</t>
        </r>
      </text>
    </comment>
    <comment ref="B148" authorId="0" shapeId="0" xr:uid="{64C83B9F-3B0A-4113-A35C-71567F8A0F13}">
      <text>
        <r>
          <rPr>
            <sz val="10"/>
            <color indexed="81"/>
            <rFont val="Verdana"/>
            <family val="2"/>
          </rPr>
          <t>Eligible employees and contractors are offered the Code of Ethics training, subject to local laws, union agreements, long-term leave arrangements and start date before the cutoff period</t>
        </r>
      </text>
    </comment>
    <comment ref="B159" authorId="0" shapeId="0" xr:uid="{84692683-66DA-48F4-A53F-921769453B8C}">
      <text>
        <r>
          <rPr>
            <sz val="10"/>
            <color indexed="81"/>
            <rFont val="Verdana"/>
            <family val="2"/>
          </rPr>
          <t xml:space="preserve">
Average score given by survey respondents in response to three engagement questions (engagement, loyalty, satisfaction) </t>
        </r>
      </text>
    </comment>
    <comment ref="B160" authorId="0" shapeId="0" xr:uid="{E77F9B84-80A4-4FE0-B673-4CB426A03A71}">
      <text>
        <r>
          <rPr>
            <sz val="11"/>
            <color indexed="81"/>
            <rFont val="Verdana"/>
            <family val="2"/>
          </rPr>
          <t xml:space="preserve">
For reporting we use the latest survey available at the end of the fiscal year. Engagement level is tracked at both the Annual Survey and the Pulse Surveys, where the latter is a subset of questions asked to all JM employees. The latest survey for 2023/24 was conducted in January 2024.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tc={E4F7E7CA-AF99-4444-B457-44EA0116EAC2}</author>
    <author>tc={4797ADAB-84A8-44DA-BC88-ABF14B481556}</author>
    <author>Xin Ngfat</author>
    <author>Gary Machin</author>
  </authors>
  <commentList>
    <comment ref="F1" authorId="0" shapeId="0" xr:uid="{E4F7E7CA-AF99-4444-B457-44EA0116EAC2}">
      <text>
        <t>[Threaded comment]
Your version of Excel allows you to read this threaded comment; however, any edits to it will get removed if the file is opened in a newer version of Excel. Learn more: https://go.microsoft.com/fwlink/?linkid=870924
Comment:
    @Graeme Ellis fyi</t>
      </text>
    </comment>
    <comment ref="G1" authorId="1" shapeId="0" xr:uid="{4797ADAB-84A8-44DA-BC88-ABF14B481556}">
      <text>
        <t xml:space="preserve">[Threaded comment]
Your version of Excel allows you to read this threaded comment; however, any edits to it will get removed if the file is opened in a newer version of Excel. Learn more: https://go.microsoft.com/fwlink/?linkid=870924
Comment:
    @Gary Machin hello, please see this working version of the 2024 databook
</t>
      </text>
    </comment>
    <comment ref="B7" authorId="2"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and temporary staff). The total number of injuries is multiplied by the 200,000 OSHA standardised factor and divided by the total number of hours worked (by employees and temps).</t>
        </r>
      </text>
    </comment>
    <comment ref="D7" authorId="3" shapeId="0" xr:uid="{F481ED05-4435-4157-83AB-D76295EE9B00}">
      <text>
        <r>
          <rPr>
            <sz val="11"/>
            <color theme="1"/>
            <rFont val="Calibri"/>
            <family val="2"/>
            <scheme val="minor"/>
          </rPr>
          <t xml:space="preserve">
Higher value than previous years due to several ergonomic (musculo-skeletal) events in North America region resulting in &gt;180 total  lost and or restricted days</t>
        </r>
      </text>
    </comment>
    <comment ref="F7" authorId="3" shapeId="0" xr:uid="{C2951AC0-0489-4D80-A750-EEE64A7145EC}">
      <text>
        <r>
          <rPr>
            <b/>
            <sz val="11"/>
            <color theme="1"/>
            <rFont val="Calibri"/>
            <family val="2"/>
            <scheme val="minor"/>
          </rPr>
          <t>Restatement:</t>
        </r>
        <r>
          <rPr>
            <sz val="11"/>
            <color theme="1"/>
            <rFont val="Calibri"/>
            <family val="2"/>
            <scheme val="minor"/>
          </rPr>
          <t xml:space="preserve">
Number restated due to further information received.</t>
        </r>
      </text>
    </comment>
    <comment ref="H7" authorId="2"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8" authorId="2"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B9" authorId="2"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B10" authorId="2"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F10" authorId="3" shapeId="0" xr:uid="{05AE2332-73FB-44A8-AEDF-C40C3642E9EC}">
      <text>
        <r>
          <rPr>
            <b/>
            <sz val="11"/>
            <color theme="1"/>
            <rFont val="Calibri"/>
            <family val="2"/>
            <scheme val="minor"/>
          </rPr>
          <t>Restatement:</t>
        </r>
        <r>
          <rPr>
            <sz val="11"/>
            <color theme="1"/>
            <rFont val="Calibri"/>
            <family val="2"/>
            <scheme val="minor"/>
          </rPr>
          <t xml:space="preserve">
Number restated due to further information received.</t>
        </r>
      </text>
    </comment>
    <comment ref="B11" authorId="2"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0" authorId="2"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F20" authorId="2"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1" authorId="2"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2" authorId="2"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3" authorId="2"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4" authorId="2" shapeId="0" xr:uid="{62973684-B222-404E-926C-28A141DE09A9}">
      <text>
        <r>
          <rPr>
            <b/>
            <sz val="9"/>
            <color indexed="81"/>
            <rFont val="Tahoma"/>
            <family val="2"/>
          </rPr>
          <t>Definition:</t>
        </r>
        <r>
          <rPr>
            <sz val="9"/>
            <color indexed="81"/>
            <rFont val="Tahoma"/>
            <family val="2"/>
          </rPr>
          <t xml:space="preserve">
Permanent employees, temporary employees and contractors</t>
        </r>
      </text>
    </comment>
    <comment ref="B25" authorId="2"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6" authorId="2"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7" authorId="2"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F27" authorId="2"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28" authorId="2"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29" authorId="2"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0" authorId="2"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E30" authorId="3" shapeId="0" xr:uid="{C667A50B-444A-4EBD-A1B2-F6D0051E82FB}">
      <text>
        <r>
          <rPr>
            <b/>
            <sz val="11"/>
            <color theme="1"/>
            <rFont val="Calibri"/>
            <family val="2"/>
            <scheme val="minor"/>
          </rPr>
          <t>Restatement:</t>
        </r>
        <r>
          <rPr>
            <sz val="11"/>
            <color theme="1"/>
            <rFont val="Calibri"/>
            <family val="2"/>
            <scheme val="minor"/>
          </rPr>
          <t xml:space="preserve">
Restated value based on revised hours data received.</t>
        </r>
      </text>
    </comment>
    <comment ref="B34" authorId="2"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sharedStrings.xml><?xml version="1.0" encoding="utf-8"?>
<sst xmlns="http://schemas.openxmlformats.org/spreadsheetml/2006/main" count="2930" uniqueCount="1259">
  <si>
    <t>About this workbook</t>
  </si>
  <si>
    <t>This Sustainability Performance Databook outlines Johnson Matthey's key non-financial performance information and is published alongside our Annual Report to complement the business and financial information to provide stakeholders with a complete picture of our environmental, social and governance (ESG) impacts in 2023/24.
We take a strategic approach to embedding sustainability into everything we do. This approach is based on our understanding of the needs and demands of our stakeholders, combined with a focus on the topics that reflect our most significant ESG impacts.</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</si>
  <si>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</si>
  <si>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</si>
  <si>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</si>
  <si>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2023 to 31 March 2024), unless otherwise stated.</t>
  </si>
  <si>
    <t>This workbook has been prepared in accordance with the GRI Standards.</t>
  </si>
  <si>
    <r>
      <rPr>
        <b/>
        <sz val="10"/>
        <color rgb="FF0000CC"/>
        <rFont val="Verdana"/>
        <family val="2"/>
      </rPr>
      <t>Rebaselining of previous years’ data</t>
    </r>
    <r>
      <rPr>
        <sz val="10"/>
        <rFont val="Verdana"/>
        <family val="2"/>
      </rPr>
      <t xml:space="preserve"> 
During the year we divested several businesses as going concerns, including our Health, Advanced Glass Technologies and our Battery Materials businesses.
In accordance with the recommendations of the greenhouse gas (GHG) Protocol and SECR reporting guidance, we have removed their historical contribution to our operational KPIs for all years from 2019/20, which is our baseline for our 2030 sustainability targets. This specifically includes our historical data for Scope 1, 2 and 3 GHG emissions, water consumption, waste and emissions to air.</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</si>
  <si>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</si>
  <si>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 Emissions for Scope 3 Category 4 restated due to refinement in methodology.
• Emissions for Scope 3 Category 6 restated due to improvements in methodology.
• Emissions for Scope 3 Category 8 restated due to refinements in data quality.
• NOx, SOx and VOCs coverage restated due to improvements in methodology.
• Recycled PGMs restated due to calculation refinements post 2021/22 ARA publication.
• Following a review of the methodologies for calculating process CH4 emissions at our
Savannah Site values have been restated for all years from baseline year (2019/20).
• Calculation for Scope 1 emissions from Natural Gas has been refined following the
divestment of our West Deptford Pharmaceutical site in 2023. All data going back to
baseline year has subsequently been amended.
• During the annual assurance process a source of water use at our Royston site was noted to
be missing from data. This has been corrected and all data going back to baseline year has
subsequently been amended.</t>
  </si>
  <si>
    <t>Externally audited KPIs</t>
  </si>
  <si>
    <t>ERM Certification and Verification Services Limited (ERM CVS) were engaged to provide limited assurance of selected information. Information assured by ERM CVS is provided on the following tab</t>
  </si>
  <si>
    <t>Please see ERM CVS' full assurance report on page 216-218 of our ARA 2024 for more details.</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</si>
  <si>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</si>
  <si>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</si>
  <si>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</si>
  <si>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</si>
  <si>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</si>
  <si>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</si>
  <si>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</si>
  <si>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</si>
  <si>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</si>
  <si>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</si>
  <si>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</si>
  <si>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Environment</t>
  </si>
  <si>
    <t>People</t>
  </si>
  <si>
    <t>Health and Safety</t>
  </si>
  <si>
    <t>Ethics and Compliance</t>
  </si>
  <si>
    <t>Community Investment</t>
  </si>
  <si>
    <t>Responsible Sourcing</t>
  </si>
  <si>
    <t xml:space="preserve">In July 2022 we partnered with a third party to refresh our materiality assessment. They reviewed public domain opinions of our investors, customers and social media users, as well as interviewing leaders inside JM. 
</t>
  </si>
  <si>
    <t>Our material topics were identified as:</t>
  </si>
  <si>
    <t>Planet</t>
  </si>
  <si>
    <t>Climate Change</t>
  </si>
  <si>
    <t>Air Emissions</t>
  </si>
  <si>
    <t>Water and wastewater</t>
  </si>
  <si>
    <t>Waste management</t>
  </si>
  <si>
    <t>Circularity and product innovation</t>
  </si>
  <si>
    <t>Human rights</t>
  </si>
  <si>
    <t>Diversity and inclusion</t>
  </si>
  <si>
    <t>Community impact</t>
  </si>
  <si>
    <t>Responsible sourcing</t>
  </si>
  <si>
    <t>Governance and risk management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</si>
  <si>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</si>
  <si>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</si>
  <si>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2023 to 31</t>
    </r>
    <r>
      <rPr>
        <vertAlign val="superscript"/>
        <sz val="12"/>
        <rFont val="Verdana"/>
        <family val="2"/>
      </rPr>
      <t>st</t>
    </r>
    <r>
      <rPr>
        <sz val="12"/>
        <rFont val="Verdana"/>
        <family val="2"/>
      </rPr>
      <t xml:space="preserve"> March 2024.</t>
    </r>
  </si>
  <si>
    <t>GRI 1 used</t>
  </si>
  <si>
    <t>GRI 1: Foundation 2021</t>
  </si>
  <si>
    <t>Applicable GRI Sector Standard(s)</t>
  </si>
  <si>
    <t>N/A</t>
  </si>
  <si>
    <t>Key to location references:</t>
  </si>
  <si>
    <t>ARA = Annual Report and Accounts 2024</t>
  </si>
  <si>
    <t>SPD = Sustainability Performance Databook 2024</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</si>
  <si>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</si>
  <si>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</si>
  <si>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</si>
  <si>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</si>
  <si>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</si>
  <si>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</si>
  <si>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</si>
  <si>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</si>
  <si>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</si>
  <si>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</si>
  <si>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</si>
  <si>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</si>
  <si>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ARA p.2, 207-209, 220</t>
  </si>
  <si>
    <t>Reasons for omission are not permitted for the disclosure or that a GRI Sector Standard reference number is not available.</t>
  </si>
  <si>
    <t>2-2 Entities included in the organization’s sustainability reporting</t>
  </si>
  <si>
    <t>ARA p.149, 207-209, 210</t>
  </si>
  <si>
    <t>2-3 Reporting period, frequency and contact point</t>
  </si>
  <si>
    <t>ARA p.149, 210, 220</t>
  </si>
  <si>
    <t>2-4 Restatements of information</t>
  </si>
  <si>
    <r>
      <t>ARA p.210</t>
    </r>
    <r>
      <rPr>
        <sz val="10"/>
        <color rgb="FFFF0000"/>
        <rFont val="Verdana"/>
        <family val="2"/>
      </rPr>
      <t xml:space="preserve">
</t>
    </r>
    <r>
      <rPr>
        <sz val="10"/>
        <rFont val="Verdana"/>
        <family val="2"/>
      </rPr>
      <t>SPD Health and Safety tab
SPD Environment tab</t>
    </r>
  </si>
  <si>
    <t>2-5 External assurance</t>
  </si>
  <si>
    <t>ARA p.133-142, 216-218</t>
  </si>
  <si>
    <t>2-6 Activities, value chain and other business relationships</t>
  </si>
  <si>
    <t>ARA p.2, 6-11</t>
  </si>
  <si>
    <t>2-7 Employees</t>
  </si>
  <si>
    <t>ARA p.2, 46-48, 166, 214-215, 216-218
SPD People tab</t>
  </si>
  <si>
    <t>2-8 Workers who are not employees</t>
  </si>
  <si>
    <t>ARA p.48, 214
SPD People tab</t>
  </si>
  <si>
    <t>2-9 Governance structure and composition</t>
  </si>
  <si>
    <t>ARA p.75-81</t>
  </si>
  <si>
    <t>2-10 Nomination and selection of the highest governance body</t>
  </si>
  <si>
    <t>ARA p.75-76, 92-95</t>
  </si>
  <si>
    <t>2-11 Chair of the highest governance body</t>
  </si>
  <si>
    <t>ARA p.78, 80</t>
  </si>
  <si>
    <t>2-12 Role of the highest governance body in overseeing the management of impacts</t>
  </si>
  <si>
    <t>ARA p.53-54, 75-81, 86-88, 91</t>
  </si>
  <si>
    <t>2-13 Delegation of responsibility for managing impacts</t>
  </si>
  <si>
    <t>ARA p.53-54, 80-81, 89-90</t>
  </si>
  <si>
    <t>2-14 Role of the highest governance body in sustainability reporting</t>
  </si>
  <si>
    <t>ARA p.53-54, 82-83, 89-90</t>
  </si>
  <si>
    <t>2-15 Conflicts of interest</t>
  </si>
  <si>
    <t>ARA p.73, 111, 128</t>
  </si>
  <si>
    <t>Johnson Matthey Global Conflicts of Interest Policy</t>
  </si>
  <si>
    <t>2-16 Communication of critical concerns</t>
  </si>
  <si>
    <t>ARA p.49, 81, 89-90
SPD Ethics and Compliance tab</t>
  </si>
  <si>
    <t>2-17 Collective knowledge of the highest governance body</t>
  </si>
  <si>
    <t>ARA p.94</t>
  </si>
  <si>
    <t>2-18 Evaluation of the performance of the highest governance body</t>
  </si>
  <si>
    <t>ARA p.84-85</t>
  </si>
  <si>
    <t>2-19 Remuneration policies</t>
  </si>
  <si>
    <t>ARA p.105-117</t>
  </si>
  <si>
    <t>2-20 Process to determine remuneration</t>
  </si>
  <si>
    <t>ARA p.105-127</t>
  </si>
  <si>
    <t>2-21 Annual total compensation ratio</t>
  </si>
  <si>
    <t>2-22 Statement on sustainable development strategy</t>
  </si>
  <si>
    <t>ARA p.3</t>
  </si>
  <si>
    <t>2-23 Policy commitments</t>
  </si>
  <si>
    <t>ARA p.43, 45, 47-49, 72-73</t>
  </si>
  <si>
    <t>Johnson Matthey Policies</t>
  </si>
  <si>
    <t>2-24 Embedding policy commitments</t>
  </si>
  <si>
    <t>ARA p.49, 72-73</t>
  </si>
  <si>
    <t>2-25 Processes to remediate negative impacts</t>
  </si>
  <si>
    <t>ARA p.49</t>
  </si>
  <si>
    <t>2-26 Mechanisms for seeking advice and raising concerns</t>
  </si>
  <si>
    <t>2-27 Compliance with laws and regulations</t>
  </si>
  <si>
    <t>ARA p.72, 
SPD Environment tab</t>
  </si>
  <si>
    <t>2-28 Membership associations</t>
  </si>
  <si>
    <t>ARA p.52</t>
  </si>
  <si>
    <t>2-29 Approach to stakeholder engagement</t>
  </si>
  <si>
    <t>ARA p.52, 86-88</t>
  </si>
  <si>
    <t>2-30 Collective bargaining agreements</t>
  </si>
  <si>
    <t>ARA p.48, 114, 176
SPD People tab</t>
  </si>
  <si>
    <t>Material topics</t>
  </si>
  <si>
    <t>GRI 3: Material Topics 2021</t>
  </si>
  <si>
    <t>3-1 Process to determine material topics</t>
  </si>
  <si>
    <t>ARA p.34, 210</t>
  </si>
  <si>
    <t>3-2 List of material topics</t>
  </si>
  <si>
    <t>ARA p.34, 210
SPD Material Topics tab</t>
  </si>
  <si>
    <t>Governance and Risk</t>
  </si>
  <si>
    <t>Economic performance</t>
  </si>
  <si>
    <t>3-3 Management of material topics</t>
  </si>
  <si>
    <t>ARA p.53-59, 149-209</t>
  </si>
  <si>
    <t>GRI 201: Economic Performance 2016</t>
  </si>
  <si>
    <t>201-1 Direct economic value generated and distributed</t>
  </si>
  <si>
    <t>ARA p.149-209</t>
  </si>
  <si>
    <t>201-2 Financial implications and other risks and opportunities due to climate change</t>
  </si>
  <si>
    <t>ARA p.53-59</t>
  </si>
  <si>
    <t>201-3 Defined benefit plan obligations and other retirement plans</t>
  </si>
  <si>
    <t>ARA p.105-107, 154, 176-177</t>
  </si>
  <si>
    <t>201-4 Financial assistance received from government</t>
  </si>
  <si>
    <t>ARA p.163</t>
  </si>
  <si>
    <t>Anti-corruption</t>
  </si>
  <si>
    <t>ARA p.34, 49, 72-73</t>
  </si>
  <si>
    <t>Johnson Matthey Anti-Bribery and Corruption Policy</t>
  </si>
  <si>
    <t>GRI 205: Anti-corruption 2016</t>
  </si>
  <si>
    <t>205-1 Operations assessed for risks related to corruption</t>
  </si>
  <si>
    <t>ARA p.49 
SPD Ethics and Compliance tab</t>
  </si>
  <si>
    <t>205-2 Communication and training about anti-corruption policies and procedures</t>
  </si>
  <si>
    <t>205-3 Confirmed incidents of corruption and actions taken</t>
  </si>
  <si>
    <t>Materials</t>
  </si>
  <si>
    <t>ARA p.9, 20-21, 34-35, 42, 213</t>
  </si>
  <si>
    <t>GRI 301: Materials 2016</t>
  </si>
  <si>
    <t>301-1 Materials used by weight or volume</t>
  </si>
  <si>
    <t xml:space="preserve">a. </t>
  </si>
  <si>
    <t>Information unavailable/incomplete</t>
  </si>
  <si>
    <t>not disclosed as not relevant KPI to aggregate across our business</t>
  </si>
  <si>
    <t>301-2 Recycled input materials used</t>
  </si>
  <si>
    <t>ARA p.35, 42</t>
  </si>
  <si>
    <t>301-3 Reclaimed products and their packaging materials</t>
  </si>
  <si>
    <t xml:space="preserve">a. b. </t>
  </si>
  <si>
    <t>only dislosed for platinum group metal use</t>
  </si>
  <si>
    <t>Energy</t>
  </si>
  <si>
    <t>ARA p.9, 35-36, 38-41, 216-218</t>
  </si>
  <si>
    <t>GRI 302: Energy 2016</t>
  </si>
  <si>
    <t>302-1 Energy consumption within the organization</t>
  </si>
  <si>
    <t>ARA p.38-41
SPD Environment tab</t>
  </si>
  <si>
    <t>302-2 Energy consumption outside of the organization</t>
  </si>
  <si>
    <t>302-3 Energy intensity</t>
  </si>
  <si>
    <t>302-4 Reduction of energy consumption</t>
  </si>
  <si>
    <t>302-5 Reductions in energy requirements of products and services</t>
  </si>
  <si>
    <t>ARA p. 36</t>
  </si>
  <si>
    <t>Water and effluents</t>
  </si>
  <si>
    <t>ARA p.34-35, 43, 214, 216-218</t>
  </si>
  <si>
    <t>GRI 303: Water and Effluents 2018</t>
  </si>
  <si>
    <t>303-1 Interactions with water as a shared resource</t>
  </si>
  <si>
    <t>ARA p.43
SPD Environment tab</t>
  </si>
  <si>
    <t>303-2 Management of water discharge-related impacts</t>
  </si>
  <si>
    <t>303-3 Water withdrawal</t>
  </si>
  <si>
    <t>303-4 Water discharge</t>
  </si>
  <si>
    <t>303-5 Water consumption</t>
  </si>
  <si>
    <t>Emissions</t>
  </si>
  <si>
    <t>ARA p.17, 18-19, 22, 24-25, 34-43, 56-59, 211-213, 216-218</t>
  </si>
  <si>
    <t>GRI 305: Emissions 2016</t>
  </si>
  <si>
    <t>305-1 Direct (Scope 1) GHG emissions</t>
  </si>
  <si>
    <t>ARA p.39-41 
SPD Environment tab</t>
  </si>
  <si>
    <t>305-2 Energy indirect (Scope 2) GHG emissions</t>
  </si>
  <si>
    <t>305-3 Other indirect (Scope 3) GHG emissions</t>
  </si>
  <si>
    <t>305-4 GHG emissions intensity</t>
  </si>
  <si>
    <t>ARA p.41 
SPD Environment tab</t>
  </si>
  <si>
    <t>305-5 Reduction of GHG emissions</t>
  </si>
  <si>
    <t>305-6 Emissions of ozone-depleting substances (ODS)</t>
  </si>
  <si>
    <t>ARA p.43, 212
SPD Environment tab</t>
  </si>
  <si>
    <t>305-7 Nitrogen oxides (NOx), sulfur oxides (SOx), and other significant air emissions</t>
  </si>
  <si>
    <t>Waste</t>
  </si>
  <si>
    <t>ARA p.34-35, 43, 213-214, 216-218</t>
  </si>
  <si>
    <t>GRI 306: Waste 2020</t>
  </si>
  <si>
    <t>306-1 Waste generation and significant waste-related impacts</t>
  </si>
  <si>
    <t>306-2 Management of significant waste-related impacts</t>
  </si>
  <si>
    <t>306-3 Waste generated</t>
  </si>
  <si>
    <t>ARA p.43, 218
SPD Environment tab</t>
  </si>
  <si>
    <t>306-4 Waste diverted from disposal</t>
  </si>
  <si>
    <t>306-5 Waste directed to disposal</t>
  </si>
  <si>
    <t>Supplier environmental assessment</t>
  </si>
  <si>
    <t>ARA p.34, 49-50
SPD Responsible Sourcing tab</t>
  </si>
  <si>
    <t>GRI 308: Supplier Environmental Assessment 2016</t>
  </si>
  <si>
    <t>308-1 New suppliers that were screened using environmental criteria</t>
  </si>
  <si>
    <t>ARA p.49-50
SPD Responsible Sourcing tab</t>
  </si>
  <si>
    <t>308-2 Negative environmental impacts in the supply chain and actions taken</t>
  </si>
  <si>
    <t xml:space="preserve">b. c. d. e. </t>
  </si>
  <si>
    <t>risks disclosed but not impacts or actions taken</t>
  </si>
  <si>
    <t>Occupational health and safety</t>
  </si>
  <si>
    <t>ARA p.34-35, 45-49, 72, 214-218</t>
  </si>
  <si>
    <t>Johnson Matthey Environmental, Health and Safety Policy Statement</t>
  </si>
  <si>
    <t>GRI 403: Occupational Health and Safety 2018</t>
  </si>
  <si>
    <t>403-1 Occupational health and safety management system</t>
  </si>
  <si>
    <t>ARA p.45-49, 72, 214-218</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</si>
  <si>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</si>
  <si>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</si>
  <si>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</si>
  <si>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</si>
  <si>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</si>
  <si>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</si>
  <si>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</si>
  <si>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ARA p.45-49, 72, 214-218
SPD Health and Safety tab</t>
  </si>
  <si>
    <t>403-9 Work-related injuries</t>
  </si>
  <si>
    <t>SPD Health and Safety tab</t>
  </si>
  <si>
    <t>403-10 Work-related ill health</t>
  </si>
  <si>
    <t>Diversity and equal opportunity</t>
  </si>
  <si>
    <t>ARA p.34-35, 47-48, 94-95, 215-218</t>
  </si>
  <si>
    <t>GRI 405: Diversity and Equal Opportunity 2016</t>
  </si>
  <si>
    <t>405-1 Diversity of governance bodies and employees</t>
  </si>
  <si>
    <t>ARA p.34-35, 47-48, 94-95, 215-218
SPD People tab</t>
  </si>
  <si>
    <t>405-2 Ratio of basic salary and remuneration of women to men</t>
  </si>
  <si>
    <t>ARA p.48
SPD People tab</t>
  </si>
  <si>
    <t>a. b.</t>
  </si>
  <si>
    <t>data only available for UK employees</t>
  </si>
  <si>
    <t>Johnson Matthey Gender Pay Gap Report 2023</t>
  </si>
  <si>
    <t>Non-discrimination</t>
  </si>
  <si>
    <t>ARA p.34, 49</t>
  </si>
  <si>
    <t>GRI 406: Non-discrimination 2016</t>
  </si>
  <si>
    <t>406-1 Incidents of discrimination and corrective actions taken</t>
  </si>
  <si>
    <t>ARA p.49
SPD Ethics and Compliance tab</t>
  </si>
  <si>
    <t>Freedom of association and collective bargaining</t>
  </si>
  <si>
    <t>ARA p.34, 48, 114, 176-177</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</si>
  <si>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</si>
  <si>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</si>
  <si>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</si>
  <si>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</si>
  <si>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ARA p.34, 49-50</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</si>
  <si>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</si>
  <si>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</si>
  <si>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</si>
  <si>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</si>
  <si>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</si>
  <si>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Local communities</t>
  </si>
  <si>
    <t>ARA p.34, 51, 215</t>
  </si>
  <si>
    <t>GRI 413: Local Communities 2016</t>
  </si>
  <si>
    <t>413-1 Operations with local community engagement, impact assessments, and development programs</t>
  </si>
  <si>
    <t>ARA p.51, 215</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</si>
  <si>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</si>
  <si>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</si>
  <si>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</si>
  <si>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</si>
  <si>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</si>
  <si>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</si>
  <si>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r>
      <t>Topics in the applica</t>
    </r>
    <r>
      <rPr>
        <b/>
        <sz val="10"/>
        <color theme="0"/>
        <rFont val="Verdana"/>
        <family val="2"/>
      </rPr>
      <t>ble GRI Sector Standards determined as not material to JM but disclosure important to our stakeholers</t>
    </r>
  </si>
  <si>
    <t>[Title of GRI Sector Standard]</t>
  </si>
  <si>
    <t>[Topic]</t>
  </si>
  <si>
    <t>[Explanation]</t>
  </si>
  <si>
    <t>Rights of indigenous peoples</t>
  </si>
  <si>
    <t>GRI 411: Rights of Indigenous Peoples 2016</t>
  </si>
  <si>
    <t>411-1 Incidents of violations involving rights of indigenous peoples</t>
  </si>
  <si>
    <t>Labor/management relations</t>
  </si>
  <si>
    <t>ARA p.23-43</t>
  </si>
  <si>
    <t>GRI 402: Labor/Management Relations 2016</t>
  </si>
  <si>
    <t>402-1 Minimum notice periods regarding operational changes</t>
  </si>
  <si>
    <t>???</t>
  </si>
  <si>
    <t>Biodiversity</t>
  </si>
  <si>
    <t>ARA p.34</t>
  </si>
  <si>
    <t>GRI 101: Biodiversity 2024</t>
  </si>
  <si>
    <t>101-1 Policies to halt and reverse biodiversity loss</t>
  </si>
  <si>
    <t>Johnson Matthey Nature Statement</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</si>
  <si>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</si>
  <si>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</si>
  <si>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</si>
  <si>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</si>
  <si>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</si>
  <si>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</si>
  <si>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101-6 Ecosystem services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</si>
  <si>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</si>
  <si>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</si>
  <si>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</si>
  <si>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</si>
  <si>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</si>
  <si>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</si>
  <si>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</si>
  <si>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ARA p.81 - not sure this reference is correct from last year!?? Can't see what page to reference this year</t>
  </si>
  <si>
    <t>203-2 Significant indirect economic impacts</t>
  </si>
  <si>
    <t>ARA p.56-59</t>
  </si>
  <si>
    <t>Procurement practices</t>
  </si>
  <si>
    <t>GRI 204: Procurement Practices 2016</t>
  </si>
  <si>
    <t>204-1 Proportion of spending on local suppliers</t>
  </si>
  <si>
    <t>ARA p.50</t>
  </si>
  <si>
    <t>Tax</t>
  </si>
  <si>
    <t>ARA p.32, 153</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</si>
  <si>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</si>
  <si>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</si>
  <si>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</si>
  <si>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</si>
  <si>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</si>
  <si>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</si>
  <si>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</si>
  <si>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Anti-competitive behavior</t>
  </si>
  <si>
    <t>GRI 206: Anti-competitive Behavior 2016</t>
  </si>
  <si>
    <t>206-1 Legal actions for anti-competitive behavior, anti-trust, and monopoly practices</t>
  </si>
  <si>
    <t>Employment</t>
  </si>
  <si>
    <t>ARA p.34, 45-48</t>
  </si>
  <si>
    <t>GRI 401: Employment 2016</t>
  </si>
  <si>
    <t>401-1 New employee hires and employee turnover</t>
  </si>
  <si>
    <t>SPD People tab</t>
  </si>
  <si>
    <t>401-2 Benefits provided to full-time employees that are not provided to temporary or part-time employees</t>
  </si>
  <si>
    <t>ARA p.45-48</t>
  </si>
  <si>
    <t>401-3 Parental leave</t>
  </si>
  <si>
    <t>ARA p.48</t>
  </si>
  <si>
    <t>Training and education</t>
  </si>
  <si>
    <t>ARA p.34, 46-47</t>
  </si>
  <si>
    <t>GRI 404: Training and Education 2016</t>
  </si>
  <si>
    <t>404-1 Average hours of training per year per employee</t>
  </si>
  <si>
    <t>404-2 Programs for upgrading employee skills and transition assistance programs</t>
  </si>
  <si>
    <t>ARA p.46-47</t>
  </si>
  <si>
    <t>404-3 Percentage of employees receiving regular performance and career development reviews</t>
  </si>
  <si>
    <t>Security practices</t>
  </si>
  <si>
    <t>GRI 410: Security Practices 2016</t>
  </si>
  <si>
    <t>410-1 Security personnel trained in human rights policies or procedures</t>
  </si>
  <si>
    <t>Public policy</t>
  </si>
  <si>
    <t>GRI 415: Public Policy 2016</t>
  </si>
  <si>
    <t>415-1 Political contributions</t>
  </si>
  <si>
    <t>ARA p.129</t>
  </si>
  <si>
    <t>Customer health and safety</t>
  </si>
  <si>
    <t>ARA p.34, 44</t>
  </si>
  <si>
    <t>GRI 416: Customer Health and Safety 2016</t>
  </si>
  <si>
    <t>416-1 Assessment of the health and safety impacts of product and service categories</t>
  </si>
  <si>
    <t xml:space="preserve">ARA p.44, 49-50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</si>
  <si>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416-2 Incidents of non-compliance concerning the health and safety impacts of products and services</t>
  </si>
  <si>
    <t>ARA p.44, 49
SPD Ethics and Compliance tab</t>
  </si>
  <si>
    <t>Marketing and labeling</t>
  </si>
  <si>
    <t>GRI 417: Marketing and Labeling 2016</t>
  </si>
  <si>
    <t>417-1 Requirements for product and service information and labeling</t>
  </si>
  <si>
    <t xml:space="preserve">ARA p.44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</si>
  <si>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</si>
  <si>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</si>
  <si>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</si>
  <si>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</si>
  <si>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</si>
  <si>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</si>
  <si>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</si>
  <si>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</si>
  <si>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</si>
  <si>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</si>
  <si>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</si>
  <si>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</si>
  <si>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</si>
  <si>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</si>
  <si>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ARA p.39
SPD Environment tab</t>
  </si>
  <si>
    <t xml:space="preserve">JM currently operates in the UK and Europe where emission trading schemes (ETS) applicable to Scope 1 emissions are in place. There is only one site that is obligated under the UK ETS and there are no sites currently obligated under the EU ETS. The site in the UK scheme represents 5.9% of our total scope 1 emissions. During the year, JM made investments at the site to reduce Scope 1 emissions by improving boiler efficiency and it is expected that the site will fall outside the UK ETS scheme for FY24/25 onwards. </t>
  </si>
  <si>
    <t>Discussion of long term and short term strategy or plan to manage Scope 1 emissions, emissions reduction targets, and an analysis of performance against those targets</t>
  </si>
  <si>
    <t>RT-CH-110a.2</t>
  </si>
  <si>
    <t>ARA p.38,39</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</si>
  <si>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</si>
  <si>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</si>
  <si>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</si>
  <si>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</si>
  <si>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</si>
  <si>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r>
      <t>1) Total energy consumed, (2) percentage grid electricity, (3) percentage
renewable, (4) total self-generated energy</t>
    </r>
    <r>
      <rPr>
        <vertAlign val="superscript"/>
        <sz val="10"/>
        <rFont val="Verdana"/>
        <family val="2"/>
      </rPr>
      <t>1</t>
    </r>
  </si>
  <si>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</si>
  <si>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</si>
  <si>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</si>
  <si>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</si>
  <si>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</si>
  <si>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</si>
  <si>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</si>
  <si>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</si>
  <si>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</si>
  <si>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</si>
  <si>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</si>
  <si>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</si>
  <si>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</si>
  <si>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</si>
  <si>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ARA p.51-52</t>
  </si>
  <si>
    <t>Workforce health and safety</t>
  </si>
  <si>
    <t>1) Total recordable incident rate (TRIR) and (2) fatality rate for (a) direct employees and (b) contract employees</t>
  </si>
  <si>
    <t>RT-CH-320a.1</t>
  </si>
  <si>
    <t>ARA p.45
SPD Health and Safety tab</t>
  </si>
  <si>
    <t>Description of efforts to assess, monitor, and reduce exposure of employees and contract workers to long-term (chronic) health risks</t>
  </si>
  <si>
    <t>RT-CH-320a.2</t>
  </si>
  <si>
    <t>Product design for use-phase efficiency</t>
  </si>
  <si>
    <t>Revenue from products designed for use phase resource efficiency</t>
  </si>
  <si>
    <t>RT-CH-410a.1</t>
  </si>
  <si>
    <t>ARA p.37</t>
  </si>
  <si>
    <t>Sustainability Accounting Standards Board (SASB) Resource efficiency indicator: We have identified our revenues that align with the SASB Chemicals Sustainability Accounting Standard’s definition of products that, when used, improve energy efficiency, eliminate or reduce GHG emissions, reduce raw materials consumption, lower water consumption and/or increase product life. In 2023/24, those sales were £0.84 billion (with sales excluding precious metals as £3.90 billion) compared with £0.97 billion in 2022/23.</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</si>
  <si>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</si>
  <si>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</si>
  <si>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</si>
  <si>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ARA p.44</t>
  </si>
  <si>
    <t xml:space="preserve">(1) We estimate that approximately 5% of sales are from products containing &gt;0.1% w/w of so-called Substances of Very High Concern, which are a subset of the substances classified in category 1 or 2 for health or environmental hazard classes. 
(2) 100% of JM products that meet the SASB GHS categories undergo human health and environmental hazard assessment.  </t>
  </si>
  <si>
    <t>Discussion of strategy to (1) manage chemicals of concern and (2) develop alternatives with reduced human and/or environmental impact</t>
  </si>
  <si>
    <t>RT-CH-410b.2</t>
  </si>
  <si>
    <t xml:space="preserve">
ARA p.44</t>
  </si>
  <si>
    <t>(1)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(2) ARA p.44</t>
  </si>
  <si>
    <t>Genetically modified organisms</t>
  </si>
  <si>
    <t>Percentage of products by revenue that contain genetically modified organisms (GMOs)</t>
  </si>
  <si>
    <t>RT-CH-410c.1</t>
  </si>
  <si>
    <t>Management of the legal and regulatory environment</t>
  </si>
  <si>
    <t>Discussion of corporate positions related to government regulations and/or policy proposals that address environmental and social factors affecting the industry</t>
  </si>
  <si>
    <t>RT-CH-530a.1</t>
  </si>
  <si>
    <t>See our policies and disclosures</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</si>
  <si>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</si>
  <si>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</si>
  <si>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</si>
  <si>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t>ARA p.45
SPD Health and safety tab</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</si>
  <si>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</si>
  <si>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</si>
  <si>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</si>
  <si>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</si>
  <si>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</si>
  <si>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</si>
  <si>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t>SPD Environment tab</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</si>
  <si>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</si>
  <si>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</si>
  <si>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</si>
  <si>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</si>
  <si>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</si>
  <si>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2024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2024 where these are located.</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</si>
  <si>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</si>
  <si>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</si>
  <si>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</si>
  <si>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</si>
  <si>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</si>
  <si>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ARA p.53-54</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</si>
  <si>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</si>
  <si>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</si>
  <si>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</si>
  <si>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</si>
  <si>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ARA p.54-59</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</si>
  <si>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</si>
  <si>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</si>
  <si>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</si>
  <si>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</si>
  <si>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</si>
  <si>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</si>
  <si>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</si>
  <si>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ARA p.60</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</si>
  <si>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</si>
  <si>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</si>
  <si>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</si>
  <si>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</si>
  <si>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</si>
  <si>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</si>
  <si>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ARA p.61</t>
  </si>
  <si>
    <t>(h)</t>
  </si>
  <si>
    <t>b.) Disclose Scope 1, Scope 2, and if appropriate Scope 3 greenhouse gas (GHG) emissions, and the related risks</t>
  </si>
  <si>
    <t>ARA p.39, p.41, p.61</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</si>
  <si>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</si>
  <si>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</si>
  <si>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</si>
  <si>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</si>
  <si>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</si>
  <si>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</si>
  <si>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</si>
  <si>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</si>
  <si>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</si>
  <si>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ARA p.41
SPD Environment tab</t>
  </si>
  <si>
    <t>Total Scope 2 GHG emissions (market-based)</t>
  </si>
  <si>
    <t>Total Scope 3 GHG emissions</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</si>
  <si>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</si>
  <si>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</si>
  <si>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</si>
  <si>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</si>
  <si>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</si>
  <si>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</si>
  <si>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ARA p.16, 39
SPD Environment tab</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</si>
  <si>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</si>
  <si>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</si>
  <si>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</si>
  <si>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</si>
  <si>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ARA p.160-161</t>
  </si>
  <si>
    <t xml:space="preserve">&lt; 4.6%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</si>
  <si>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</si>
  <si>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</si>
  <si>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</si>
  <si>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</si>
  <si>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JM does not produce energy.
Non-renewable energy consumption is 77% of total energy consumption</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</si>
  <si>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</si>
  <si>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</si>
  <si>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</si>
  <si>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</si>
  <si>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1211.7 GWh covering all JM operations</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</si>
  <si>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</si>
  <si>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</si>
  <si>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</si>
  <si>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</si>
  <si>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</si>
  <si>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To the best of our knowledge we do not have any locations  in or near biodiversity sensitive areas as defined by Appendix D of Annex II to Commission Delegated Regulation (EU) 2021/2139</t>
  </si>
  <si>
    <t>Water</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</si>
  <si>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</si>
  <si>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</si>
  <si>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</si>
  <si>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</si>
  <si>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</si>
  <si>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</si>
  <si>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</si>
  <si>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</si>
  <si>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</si>
  <si>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42,300 tonnes</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</si>
  <si>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</si>
  <si>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</si>
  <si>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</si>
  <si>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 xml:space="preserve">Not on UNGC watchlist </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</si>
  <si>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</si>
  <si>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</si>
  <si>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</si>
  <si>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</si>
  <si>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</si>
  <si>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</si>
  <si>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</si>
  <si>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</si>
  <si>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We issue a gender pay gap report in accordance with UK law. In 2023/24 our UK gender pay gap was 7.6% which puts us ahead of the national average of 14.3%.</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</si>
  <si>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</si>
  <si>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</si>
  <si>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</si>
  <si>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ARA p.77
SPD People tab</t>
  </si>
  <si>
    <t>44% female</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</si>
  <si>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</si>
  <si>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</si>
  <si>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</si>
  <si>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To the best of our knowledge none of our product sales are used for / in controversial weapons</t>
  </si>
  <si>
    <t>Streamlined Energy and Carbon Reporting (SECR)</t>
  </si>
  <si>
    <t>In line with the requirements set out in the UK Government’s guidance on SECR, the table below represents Johnson Matthey’s energy use and associated GHG emissions from electricity and fuel in the UK (1st April 2023 through to 31st March 2024), calculated with reference to the Greenhouse Gas Protocol. 
The scope of this data includes 9 manufacturing sites and 8 non-manufacturing sites based in the UK. In 2023/24, the UK accounted for 37% of our global total Scope 1 and 2 emissions as well as 29% of our global energy use.</t>
  </si>
  <si>
    <t>Key:</t>
  </si>
  <si>
    <t>ROW = Rest of World</t>
  </si>
  <si>
    <t>Scope 1 and 2 greenhouse gas (GHG) emissions</t>
  </si>
  <si>
    <t>Units of Measure</t>
  </si>
  <si>
    <t>2023/24</t>
  </si>
  <si>
    <t>2022/23</t>
  </si>
  <si>
    <t>2021/22</t>
  </si>
  <si>
    <t>2020/21</t>
  </si>
  <si>
    <t>2019/20</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</si>
  <si>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</si>
  <si>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</si>
  <si>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</si>
  <si>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</si>
  <si>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</si>
  <si>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</si>
  <si>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</si>
  <si>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</si>
  <si>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</si>
  <si>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1"/>
        <rFont val="Verdana"/>
        <family val="2"/>
      </rPr>
      <t>2</t>
    </r>
    <r>
      <rPr>
        <b/>
        <sz val="11"/>
        <rFont val="Verdana"/>
        <family val="2"/>
      </rPr>
      <t>e/tonne sales</t>
    </r>
  </si>
  <si>
    <t xml:space="preserve">Energy consumption and efficiency </t>
  </si>
  <si>
    <t>Total energy consumption</t>
  </si>
  <si>
    <t>MWh</t>
  </si>
  <si>
    <t>Total energy efficiency</t>
  </si>
  <si>
    <t>MWh/tonne</t>
  </si>
  <si>
    <t>Externally assured selected information by ERM CVS</t>
  </si>
  <si>
    <t>ERM Certification and Verification Services Limited (ERM CVS) were engaged to provide limited assurance of selected information. All information below has been independently assured by ERM CVS. 
Please see ERM CVS' full assurance report on page 216-218 of our ARA 2024 for more details.</t>
  </si>
  <si>
    <t>Metric name</t>
  </si>
  <si>
    <t>Unit of Measure</t>
  </si>
  <si>
    <t>2023/24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</si>
  <si>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</si>
  <si>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</si>
  <si>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</si>
  <si>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</si>
  <si>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</si>
  <si>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</si>
  <si>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</si>
  <si>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</si>
  <si>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</si>
  <si>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</si>
  <si>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</si>
  <si>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</si>
  <si>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</si>
  <si>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</si>
  <si>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</si>
  <si>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</si>
  <si>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</si>
  <si>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</si>
  <si>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</si>
  <si>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</si>
  <si>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</si>
  <si>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</si>
  <si>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</si>
  <si>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</si>
  <si>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</si>
  <si>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</si>
  <si>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</si>
  <si>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</si>
  <si>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</si>
  <si>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</si>
  <si>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</si>
  <si>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</si>
  <si>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</si>
  <si>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</si>
  <si>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</si>
  <si>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</si>
  <si>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</si>
  <si>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</si>
  <si>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</si>
  <si>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</si>
  <si>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</si>
  <si>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</si>
  <si>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</si>
  <si>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</si>
  <si>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</si>
  <si>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</si>
  <si>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</si>
  <si>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</si>
  <si>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</si>
  <si>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</si>
  <si>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</si>
  <si>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</si>
  <si>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</si>
  <si>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</si>
  <si>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2030 Targets</t>
  </si>
  <si>
    <t>KPI</t>
  </si>
  <si>
    <t>Units of Measurement</t>
  </si>
  <si>
    <t>Target definition</t>
  </si>
  <si>
    <t>Baseline year</t>
  </si>
  <si>
    <t>Baseline Value</t>
  </si>
  <si>
    <t>2030 target</t>
  </si>
  <si>
    <t xml:space="preserve">2030 target on baseline value </t>
  </si>
  <si>
    <t>2023/24 Performance</t>
  </si>
  <si>
    <t>2023/24 progress on baseline</t>
  </si>
  <si>
    <t>2022/23 Performance</t>
  </si>
  <si>
    <t>2022/23 progress on baseline</t>
  </si>
  <si>
    <t>Avoided GHG emissions by customers when using our technologies</t>
  </si>
  <si>
    <r>
      <t>tonnes CO</t>
    </r>
    <r>
      <rPr>
        <vertAlign val="subscript"/>
        <sz val="10"/>
        <color theme="1"/>
        <rFont val="Verdana"/>
        <family val="2"/>
      </rPr>
      <t>2</t>
    </r>
    <r>
      <rPr>
        <sz val="10"/>
        <color theme="1"/>
        <rFont val="Verdana"/>
        <family val="2"/>
      </rPr>
      <t>e</t>
    </r>
  </si>
  <si>
    <t>50 million tonnes of GHG emissions avoided per year using technologies enabled by JM's products and solutions, compared to conventional offerings</t>
  </si>
  <si>
    <t>Total Scope 1 and Scope 2 GHG emissions (market-based)</t>
  </si>
  <si>
    <t>Reduction of 44% on baseline 2019/20 value by 2030</t>
  </si>
  <si>
    <t>Scope 3 Purchased Goods and Services</t>
  </si>
  <si>
    <t>Reduction of 42% on baseline 2019/20 value by 2030</t>
  </si>
  <si>
    <t>% recycled PGM</t>
  </si>
  <si>
    <t>Increase recycled PGM content in JM's manufactured products to at least 75%</t>
  </si>
  <si>
    <t>Reduction of 50% on baseline 2019/20 value by 2030</t>
  </si>
  <si>
    <r>
      <t>000's m</t>
    </r>
    <r>
      <rPr>
        <vertAlign val="superscript"/>
        <sz val="11"/>
        <color theme="1"/>
        <rFont val="Verdana"/>
        <family val="2"/>
      </rPr>
      <t>3</t>
    </r>
  </si>
  <si>
    <t>Reduction of 25% on baseline 2019/20 value by 2030</t>
  </si>
  <si>
    <t>TRIIR employees and contractors</t>
  </si>
  <si>
    <t>Achieve a Total Recordable Injury and Illness Rate for employees and contractors below 0.25</t>
  </si>
  <si>
    <t>ICCA - Process Safety Event Severity Rate (PSESR)</t>
  </si>
  <si>
    <t>Reduce our ICCA process safety severity rate to 0.4</t>
  </si>
  <si>
    <t>Employee Engagement</t>
  </si>
  <si>
    <t>Score of min 8 by 2030</t>
  </si>
  <si>
    <t xml:space="preserve">Female representation </t>
  </si>
  <si>
    <t>Achieve more than 40% of female representation across all management level</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</si>
  <si>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</si>
  <si>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</si>
  <si>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Greenhouse gas (GHG) emissions</t>
  </si>
  <si>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</si>
  <si>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</si>
  <si>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</si>
  <si>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</si>
  <si>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</si>
  <si>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</si>
  <si>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</si>
  <si>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</si>
  <si>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</si>
  <si>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</si>
  <si>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</si>
  <si>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</si>
  <si>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 xml:space="preserve">Scope 3 GHG emissions by category </t>
  </si>
  <si>
    <t>Definition/calculation methodology</t>
  </si>
  <si>
    <t>Total Scope 3 (Category 1) Purchased goods and services GHG emissions</t>
  </si>
  <si>
    <t>Where mass of purchased goods was available, this was used in combination with GHG intensity factors obtained either from suppliers or EcoInvent. For the remaining goods and for purchased services a financial allocation (EEIO model) was used</t>
  </si>
  <si>
    <r>
      <t>tonnes CO</t>
    </r>
    <r>
      <rPr>
        <vertAlign val="subscript"/>
        <sz val="11"/>
        <color rgb="FF000000"/>
        <rFont val="Verdana"/>
        <family val="2"/>
      </rPr>
      <t>2</t>
    </r>
    <r>
      <rPr>
        <sz val="11"/>
        <color rgb="FF000000"/>
        <rFont val="Verdana"/>
        <family val="2"/>
      </rPr>
      <t>e</t>
    </r>
  </si>
  <si>
    <t>Total Scope 3 (Category 2) Capital goods GHG emissions</t>
  </si>
  <si>
    <t>Financial allocation (EEIO model) using geographical breakdown of data shown in Accounting note 12 “Property, plant &amp; equipment” on page 174</t>
  </si>
  <si>
    <t>Total Scope 3 (Category 3) Fuel and Energy-related activities GHG emissions</t>
  </si>
  <si>
    <t>Defra’s GHG reporting conversion factors 2022 were used to calculate well-to-tank GHG emissions from fuel usage, transmission and distribution losses from purchased electricity, and well-to-tank and transmission and distribution losses of energy from steam</t>
  </si>
  <si>
    <t>Total Scope 3 (Category 4) Upstream transportation and distribution GHG emissions</t>
  </si>
  <si>
    <t>Emissions data was provided by our suppliers where available. Otherwise, a financial allocation was made based on spend and intensity factors from the EEIO mode</t>
  </si>
  <si>
    <t>Total Scope 3 (Category 5) Waste generated in operations GHG emissions</t>
  </si>
  <si>
    <t>Where GHG footprints were available from waste service providers they were used, otherwise Defra’s GHG reporting conversion factors 2022 were used according to mass of waste disposal by destination see page 46</t>
  </si>
  <si>
    <t>Total Scope 3 (Category 6) Business travel GHG emissions</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</si>
  <si>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</si>
  <si>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Total Scope 3 (Category 7) Employee commuting GHG emissions</t>
  </si>
  <si>
    <t>Data is obtained by employee survey of miles travelled per week by modes of transport. Defra’s GHG reporting conversion factors 2022 are used to calculate the GHG intensity of each transport type</t>
  </si>
  <si>
    <t>Total Scope 3 (Category 8) Upstream leased assets GHG emissions</t>
  </si>
  <si>
    <t>Financial allocation (EEIO model) using floor space and geographical location</t>
  </si>
  <si>
    <t>Total Scope 3 (Category 9) Downstream transportation and distribution GHG emissions</t>
  </si>
  <si>
    <t>Where JM takes responsibility for the downstream distribution of goods, it was included in the upstream category calculation. Where our customers takes responsibility, no data is available</t>
  </si>
  <si>
    <t>Total Scope 3 (Category 10) Processing of sold products GHG emissions</t>
  </si>
  <si>
    <t>No quantitative data available, but not expected to be material based on our knowledge of how our customers use our products</t>
  </si>
  <si>
    <t>Total Scope 3 (Category 11) Use of sold products GHG emissions</t>
  </si>
  <si>
    <t>We have removed Use of sold products from our footprint by agreement with SBTi, as it determined that the emissions we reported in this category were ‘indirect’ and should not, therefore, be included.</t>
  </si>
  <si>
    <t>Total Scope 3 (Category 12)  End of life treatment of sold products GHG emissions</t>
  </si>
  <si>
    <t>Many of JM’s products are returned to the company for recovery of the precious metals and thus end of life treatment is included in our Scope 1 and Scope 2 footprint. JM does not have visibility of other end of life treatments</t>
  </si>
  <si>
    <t>Total Scope 3 (Category 13) Downstream leased assets GHG emissions</t>
  </si>
  <si>
    <t>Included in Upstream leased assets category</t>
  </si>
  <si>
    <t>Total Scope 3 (Category 14) Franchises GHG emissions</t>
  </si>
  <si>
    <t>JM does not have any franchises</t>
  </si>
  <si>
    <t>Total Scope 3 (Category 15) Investments GHG emissions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</si>
  <si>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</si>
  <si>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</si>
  <si>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</si>
  <si>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</si>
  <si>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</si>
  <si>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</si>
  <si>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</si>
  <si>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Environmental KPIs</t>
  </si>
  <si>
    <t xml:space="preserve">Water withdrawal by source </t>
  </si>
  <si>
    <t>Total municipal water supplies</t>
  </si>
  <si>
    <t>This is fresh water that is supplied to site via mains pipework.</t>
  </si>
  <si>
    <r>
      <t>m</t>
    </r>
    <r>
      <rPr>
        <vertAlign val="superscript"/>
        <sz val="11"/>
        <color theme="1"/>
        <rFont val="Verdana"/>
        <family val="2"/>
      </rPr>
      <t>3</t>
    </r>
  </si>
  <si>
    <t>Fresh surface water</t>
  </si>
  <si>
    <t>This is water that is extracted from fresh surface water</t>
  </si>
  <si>
    <t>Fresh groundwater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</si>
  <si>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</si>
  <si>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</si>
  <si>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</si>
  <si>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r>
      <t>m</t>
    </r>
    <r>
      <rPr>
        <b/>
        <vertAlign val="superscript"/>
        <sz val="11"/>
        <color theme="1"/>
        <rFont val="Verdana"/>
        <family val="2"/>
      </rPr>
      <t>3</t>
    </r>
  </si>
  <si>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</si>
  <si>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</si>
  <si>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</si>
  <si>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Water consumption</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</si>
  <si>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</si>
  <si>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</si>
  <si>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r>
      <t>000's m</t>
    </r>
    <r>
      <rPr>
        <b/>
        <vertAlign val="superscript"/>
        <sz val="11"/>
        <color theme="1"/>
        <rFont val="Verdana"/>
        <family val="2"/>
      </rPr>
      <t>3</t>
    </r>
  </si>
  <si>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</si>
  <si>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r>
      <t>000's m</t>
    </r>
    <r>
      <rPr>
        <b/>
        <vertAlign val="superscript"/>
        <sz val="11"/>
        <rFont val="Verdana"/>
        <family val="2"/>
      </rPr>
      <t>3</t>
    </r>
  </si>
  <si>
    <t>Average COD of waste water discharge</t>
  </si>
  <si>
    <t>Total wastewater discharged</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</si>
  <si>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</si>
  <si>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r>
      <t>m</t>
    </r>
    <r>
      <rPr>
        <b/>
        <vertAlign val="superscript"/>
        <sz val="11"/>
        <color rgb="FF000000"/>
        <rFont val="Verdana"/>
        <family val="2"/>
      </rPr>
      <t>3</t>
    </r>
  </si>
  <si>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</si>
  <si>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</si>
  <si>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</si>
  <si>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</si>
  <si>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Liquid hazardous waste</t>
  </si>
  <si>
    <t>Hazardous waste is material deemed hazardous under the terms of the Basel Convention Annex I, II, III, 179 and VIII.  A solid waste is any item that is transported in a skip or similar container that cannot be poured</t>
  </si>
  <si>
    <t>Solid hazardous waste</t>
  </si>
  <si>
    <t>Hazardous waste is material deemed hazardous under the terms of the Basel Convention Annex I, II, III, 179 and VIII.  A liquid waste is any item that can be poured and is transported in IBC, tanker or sealed container</t>
  </si>
  <si>
    <t>Liquid non-hazardous waste</t>
  </si>
  <si>
    <t>Non Hazardous waste is material that is not deemed hazardous under the terms of the Basel Convention Annex I, II, III, 179 and VIII.  A solid waste is any item that is transported in a skip or similar container that cannot be poured</t>
  </si>
  <si>
    <t>Solid non-hazardous waste</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</si>
  <si>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</si>
  <si>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</si>
  <si>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</si>
  <si>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Waste directed to off site disposal</t>
  </si>
  <si>
    <t>Non-hazardous waste disposed through incineration with energy recovery</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</si>
  <si>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</si>
  <si>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Non-hazardous waste disposed through incineration or treatment without energy recovery</t>
  </si>
  <si>
    <t>The waste that is sent off site to be incinerated or treated in any other way before final disposai.  Non Hazardous waste is material that is not deemed hazardous under the terms of the Basel Convention Annex I, II, III, 179 and VIII.</t>
  </si>
  <si>
    <t>Non-hazardous waste disposed to landfill</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</si>
  <si>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</si>
  <si>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</si>
  <si>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</si>
  <si>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Hazardous waste disposed through incineration with energy recovery</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</si>
  <si>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</si>
  <si>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</si>
  <si>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</si>
  <si>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Hazardous waste disposed to landfill</t>
  </si>
  <si>
    <t>The waste is disposed of by burial in a landfill site. Hazardous waste is material that is deemed hazardous under the terms of the Basel Convention Annex I, II, III, 179 and VIII.</t>
  </si>
  <si>
    <t>Total hazardous waste disposed</t>
  </si>
  <si>
    <t xml:space="preserve">This is the total hazardous waste that is disposed of by the methods mentioned above. </t>
  </si>
  <si>
    <t xml:space="preserve">Total waste disposed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</si>
  <si>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</si>
  <si>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</si>
  <si>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</si>
  <si>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Waste diverted from off site disposal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</si>
  <si>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</si>
  <si>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</si>
  <si>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</si>
  <si>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</si>
  <si>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recycled</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</si>
  <si>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</si>
  <si>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recycled</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</si>
  <si>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</si>
  <si>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Total waste recycled or reused</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</si>
  <si>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</si>
  <si>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</si>
  <si>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</si>
  <si>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</si>
  <si>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</si>
  <si>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Solid waste disposed off site</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</si>
  <si>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</si>
  <si>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</si>
  <si>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</si>
  <si>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</si>
  <si>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</si>
  <si>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</si>
  <si>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</si>
  <si>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</si>
  <si>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</si>
  <si>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</si>
  <si>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</si>
  <si>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</si>
  <si>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</si>
  <si>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</si>
  <si>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</si>
  <si>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</si>
  <si>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</si>
  <si>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</si>
  <si>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</si>
  <si>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Energy Use</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</si>
  <si>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</si>
  <si>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</si>
  <si>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</si>
  <si>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</si>
  <si>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</si>
  <si>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</si>
  <si>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</si>
  <si>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1. Total energy consumption</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</si>
  <si>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</si>
  <si>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GJ</t>
  </si>
  <si>
    <t>2. Total Electricity consumption</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</si>
  <si>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</si>
  <si>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3. Total Natural gas consumption</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</si>
  <si>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</si>
  <si>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4. Total non-renewable energy consumption</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</si>
  <si>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</si>
  <si>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a) Non-renewable fuels purchased and consumed</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</si>
  <si>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</si>
  <si>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b) Non-renewable electricity purchased</t>
  </si>
  <si>
    <t>This is the total of non renewable electrical energy (expressed as GJ) purchased from a grid that is consumed for site operations. Values are taken from supplier invoices that cover the time period in question.</t>
  </si>
  <si>
    <t>c) Steam/heating/cooling and other energy (non-renewable) purchased</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</si>
  <si>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</si>
  <si>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d) Non-renewable energy from the fuel used or mileage travelled by JM controlled vehicles on company business</t>
  </si>
  <si>
    <t xml:space="preserve">This is the energy used from either the direct fuel used or mileage traveled by JM vehicles or JM employees in road vehicles when on company business. </t>
  </si>
  <si>
    <t>n/a</t>
  </si>
  <si>
    <t>5. Total renewable energy purchased or generated</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</si>
  <si>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</si>
  <si>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</si>
  <si>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</si>
  <si>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</si>
  <si>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</si>
  <si>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</si>
  <si>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</si>
  <si>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</si>
  <si>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t>
  </si>
  <si>
    <t>Compliance with environmental laws and regulations</t>
  </si>
  <si>
    <t>Definition / Calculation methodology</t>
  </si>
  <si>
    <t>Total monetary value of significant fines</t>
  </si>
  <si>
    <t>Significant fines during the year</t>
  </si>
  <si>
    <t>£</t>
  </si>
  <si>
    <r>
      <t xml:space="preserve">For more information on our methodology, please see our Basis of Reporting on pages 210-215 of our Annual Report and Accounts 2024
</t>
    </r>
    <r>
      <rPr>
        <b/>
        <sz val="12"/>
        <color theme="4"/>
        <rFont val="Verdana"/>
        <family val="2"/>
      </rPr>
      <t>Rebaseline statement: JM has updated the baseline data to take account of all businesses sold in the period from 1</t>
    </r>
    <r>
      <rPr>
        <b/>
        <vertAlign val="superscript"/>
        <sz val="12"/>
        <color theme="4"/>
        <rFont val="Verdana"/>
        <family val="2"/>
      </rPr>
      <t>st</t>
    </r>
    <r>
      <rPr>
        <b/>
        <sz val="12"/>
        <color theme="4"/>
        <rFont val="Verdana"/>
        <family val="2"/>
      </rPr>
      <t xml:space="preserve"> April 2019 through to 31</t>
    </r>
    <r>
      <rPr>
        <b/>
        <vertAlign val="superscript"/>
        <sz val="12"/>
        <color theme="4"/>
        <rFont val="Verdana"/>
        <family val="2"/>
      </rPr>
      <t>st</t>
    </r>
    <r>
      <rPr>
        <b/>
        <sz val="12"/>
        <color theme="4"/>
        <rFont val="Verdana"/>
        <family val="2"/>
      </rPr>
      <t xml:space="preserve"> March 2024. Data from the sold businesses has been removed from the rebaselined data set. Where JM has ceased operations voluntarily and sites have been closed then these data remain in the rebaselined data.</t>
    </r>
  </si>
  <si>
    <t>Performance against prior year</t>
  </si>
  <si>
    <t>Performance against 2019/20 baseline</t>
  </si>
  <si>
    <r>
      <t>tonnes CO</t>
    </r>
    <r>
      <rPr>
        <vertAlign val="subscript"/>
        <sz val="12"/>
        <color rgb="FF000000"/>
        <rFont val="Verdana"/>
        <family val="2"/>
      </rPr>
      <t>2</t>
    </r>
    <r>
      <rPr>
        <sz val="12"/>
        <color rgb="FF000000"/>
        <rFont val="Verdana"/>
        <family val="2"/>
      </rPr>
      <t>e</t>
    </r>
  </si>
  <si>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</si>
  <si>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</si>
  <si>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</si>
  <si>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</si>
  <si>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</si>
  <si>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</si>
  <si>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</si>
  <si>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</si>
  <si>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</si>
  <si>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</si>
  <si>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Total Avoided GHG emissions from customer applications of our technologies</t>
  </si>
  <si>
    <t>Certified renewable energy consumption</t>
  </si>
  <si>
    <t>Categorisation  of energy sources (KPIs)</t>
  </si>
  <si>
    <t>a) renewable electricity purchased or generated</t>
  </si>
  <si>
    <t>b) renewable fuels and steam purchased or generated</t>
  </si>
  <si>
    <t>Water discharge by destination</t>
  </si>
  <si>
    <t>Total water returned to the source of extraction at similar or higher quality as raw water extracted</t>
  </si>
  <si>
    <t>Total which goes to municipal treatment</t>
  </si>
  <si>
    <t>Average COD of wastewater discharge</t>
  </si>
  <si>
    <t>% freshwater consumed in regions of high or extremely high baseline water stress</t>
  </si>
  <si>
    <t>Types of waste produced and sent off site for treatment by a third party</t>
  </si>
  <si>
    <t>Methods of waste treatment applied by our third party providers</t>
  </si>
  <si>
    <t>Total waste reused</t>
  </si>
  <si>
    <t>Total waste recycled</t>
  </si>
  <si>
    <t>Total non-hazardous waste disposed</t>
  </si>
  <si>
    <t>Hazardous waste disposed through incineration without energy recovery</t>
  </si>
  <si>
    <t>Total waste disposed off site to landfill</t>
  </si>
  <si>
    <t>Non-hazardous waste reused</t>
  </si>
  <si>
    <t>Hazardous waste reused</t>
  </si>
  <si>
    <t xml:space="preserve">Non-hazardous waste recycled and reused  </t>
  </si>
  <si>
    <t xml:space="preserve">Hazardous waste recycled and reused  </t>
  </si>
  <si>
    <t xml:space="preserve">Total waste recycled and reused </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</si>
  <si>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</si>
  <si>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</si>
  <si>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</si>
  <si>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</si>
  <si>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</si>
  <si>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</si>
  <si>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</si>
  <si>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</si>
  <si>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</si>
  <si>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</si>
  <si>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</si>
  <si>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</si>
  <si>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t>
  </si>
  <si>
    <r>
      <t>The data below represents Johnson Matthey's People information as at 31</t>
    </r>
    <r>
      <rPr>
        <vertAlign val="superscript"/>
        <sz val="11"/>
        <color theme="4"/>
        <rFont val="Verdana"/>
        <family val="2"/>
      </rPr>
      <t>st</t>
    </r>
    <r>
      <rPr>
        <sz val="11"/>
        <color theme="4"/>
        <rFont val="Verdana"/>
        <family val="2"/>
      </rPr>
      <t xml:space="preserve"> March 2024 (for 2023/24), unless otherwise stated, and is reported on the basis of our Basis of Reporting on page 210 of our Annual Report and Accounts 2024</t>
    </r>
  </si>
  <si>
    <t>Workers</t>
  </si>
  <si>
    <r>
      <rPr>
        <b/>
        <sz val="12"/>
        <color rgb="FF000000"/>
        <rFont val="Verdana"/>
        <family val="2"/>
      </rPr>
      <t>Total as at 31</t>
    </r>
    <r>
      <rPr>
        <b/>
        <vertAlign val="superscript"/>
        <sz val="12"/>
        <color rgb="FF000000"/>
        <rFont val="Verdana"/>
        <family val="2"/>
      </rPr>
      <t>st</t>
    </r>
    <r>
      <rPr>
        <b/>
        <sz val="12"/>
        <color rgb="FF000000"/>
        <rFont val="Verdana"/>
        <family val="2"/>
      </rPr>
      <t xml:space="preserve"> March 2024</t>
    </r>
  </si>
  <si>
    <t>Employees</t>
  </si>
  <si>
    <t xml:space="preserve">Full time </t>
  </si>
  <si>
    <t>Part time</t>
  </si>
  <si>
    <t>Contractors</t>
  </si>
  <si>
    <t>Agency staff</t>
  </si>
  <si>
    <t>Employee Headcount by gender and region</t>
  </si>
  <si>
    <t>Percentage of female representation
2023/24</t>
  </si>
  <si>
    <t>Gender</t>
  </si>
  <si>
    <t>Female</t>
  </si>
  <si>
    <t>Male</t>
  </si>
  <si>
    <t>m</t>
  </si>
  <si>
    <t>Permanent employees</t>
  </si>
  <si>
    <t xml:space="preserve">UK </t>
  </si>
  <si>
    <t>Rest of Europe</t>
  </si>
  <si>
    <t>North America</t>
  </si>
  <si>
    <t>Asia</t>
  </si>
  <si>
    <t>Rest of World</t>
  </si>
  <si>
    <t>Globally</t>
  </si>
  <si>
    <t>Temporary employees</t>
  </si>
  <si>
    <t>Europe</t>
  </si>
  <si>
    <t>China</t>
  </si>
  <si>
    <t>Rest of Asia</t>
  </si>
  <si>
    <t>Total number of employees</t>
  </si>
  <si>
    <t>All employees</t>
  </si>
  <si>
    <t>Board</t>
  </si>
  <si>
    <t>Group leadership team (GLT)</t>
  </si>
  <si>
    <t>Subsidiary Directors</t>
  </si>
  <si>
    <t>Senior managers</t>
  </si>
  <si>
    <r>
      <t xml:space="preserve">All management levels 
</t>
    </r>
    <r>
      <rPr>
        <sz val="12"/>
        <color theme="4"/>
        <rFont val="Verdana"/>
        <family val="2"/>
      </rPr>
      <t>Our Goal of &gt;40% female representation across all management levels by 2030</t>
    </r>
  </si>
  <si>
    <t>New recruits</t>
  </si>
  <si>
    <t>Employee Headcount by age</t>
  </si>
  <si>
    <t>Percentage of female representation
2022/23</t>
  </si>
  <si>
    <t>Age</t>
  </si>
  <si>
    <t>Board members between 40-49 years of age</t>
  </si>
  <si>
    <t>Board members between 50-59 years of age</t>
  </si>
  <si>
    <t>Board members between 60-65 years of age</t>
  </si>
  <si>
    <t>Board members age 65 plus</t>
  </si>
  <si>
    <t>Total Board members</t>
  </si>
  <si>
    <t>Employees under 30 years of age</t>
  </si>
  <si>
    <t>Employees between 30-45 years of age</t>
  </si>
  <si>
    <t>Employees between 46-60 years of age</t>
  </si>
  <si>
    <t>Employees over 60 years of age</t>
  </si>
  <si>
    <t>Total number of employees with age disclosed</t>
  </si>
  <si>
    <t>Employees with Undisclosed age</t>
  </si>
  <si>
    <t>Board Members at a Glance</t>
  </si>
  <si>
    <t>Roles</t>
  </si>
  <si>
    <t>Number</t>
  </si>
  <si>
    <t>Percentage</t>
  </si>
  <si>
    <t>Chair</t>
  </si>
  <si>
    <t>Executive</t>
  </si>
  <si>
    <t>Non-Executive</t>
  </si>
  <si>
    <t>Chair and Non-Executive Directors' Tenure</t>
  </si>
  <si>
    <t>0-3 years</t>
  </si>
  <si>
    <t>4-6 years</t>
  </si>
  <si>
    <t>7-9 years</t>
  </si>
  <si>
    <t>Nationality</t>
  </si>
  <si>
    <t>British</t>
  </si>
  <si>
    <t>Irish</t>
  </si>
  <si>
    <t>German</t>
  </si>
  <si>
    <t>US Citizen</t>
  </si>
  <si>
    <t>Ethnicity</t>
  </si>
  <si>
    <t>White British or other White (including minority-white groups)</t>
  </si>
  <si>
    <t>Mixed/Multiple Ethnic Groups</t>
  </si>
  <si>
    <t>Asian/Asian British</t>
  </si>
  <si>
    <t>Black/African/ Caribbean/Black British</t>
  </si>
  <si>
    <t>Other ethnic group, including Arab</t>
  </si>
  <si>
    <t>Not specified/ prefer not to say</t>
  </si>
  <si>
    <t>Employee Turnover</t>
  </si>
  <si>
    <t>Voluntary permanent employee leavers</t>
  </si>
  <si>
    <t>Voluntary Redundancy permanent leavers**</t>
  </si>
  <si>
    <t>Involuntary permanent employee leavers</t>
  </si>
  <si>
    <t>Involuntary Redundancy permanent leavers**</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</si>
  <si>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</si>
  <si>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</si>
  <si>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</si>
  <si>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</si>
  <si>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</si>
  <si>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</si>
  <si>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</si>
  <si>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</si>
  <si>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</si>
  <si>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</si>
  <si>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Number of employees represented</t>
  </si>
  <si>
    <t>Internal Promotion</t>
  </si>
  <si>
    <t>% promoted</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</si>
  <si>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</si>
  <si>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</si>
  <si>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</si>
  <si>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</si>
  <si>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</si>
  <si>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Performance and career development reviews</t>
  </si>
  <si>
    <t>Permanent Employees</t>
  </si>
  <si>
    <t>Temporary Employees</t>
  </si>
  <si>
    <t>All Employees</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</si>
  <si>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</si>
  <si>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</si>
  <si>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</si>
  <si>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</si>
  <si>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</si>
  <si>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</si>
  <si>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on our policies (mandated)</t>
  </si>
  <si>
    <t># employees assigned</t>
  </si>
  <si>
    <t>% employee completed</t>
  </si>
  <si>
    <t>Code of Ethics</t>
  </si>
  <si>
    <t>Anti Bribery and Corruption Course</t>
  </si>
  <si>
    <t>Competition Law Training Course</t>
  </si>
  <si>
    <t>Human Rights Training Course</t>
  </si>
  <si>
    <t>Lifesaving Policy training</t>
  </si>
  <si>
    <t>Cybersecurity Training Course</t>
  </si>
  <si>
    <t>Note: Training completion rates are not designed to tie in to year end hence completion rates may appear low.</t>
  </si>
  <si>
    <t xml:space="preserve">Employee engagement </t>
  </si>
  <si>
    <t>Participation rate</t>
  </si>
  <si>
    <t>No survey</t>
  </si>
  <si>
    <t>Employee Engagement Score using Korn Ferry</t>
  </si>
  <si>
    <t>Employee Engagement Score using Workday Peakon</t>
  </si>
  <si>
    <t>Latest Pulse survey</t>
  </si>
  <si>
    <r>
      <rPr>
        <b/>
        <sz val="20"/>
        <color theme="7"/>
        <rFont val="Verdana"/>
        <family val="2"/>
      </rPr>
      <t xml:space="preserve">People </t>
    </r>
    <r>
      <rPr>
        <b/>
        <sz val="20"/>
        <color rgb="FF0000CC"/>
        <rFont val="Verdana"/>
        <family val="2"/>
      </rPr>
      <t xml:space="preserve">
Health and Safety</t>
    </r>
  </si>
  <si>
    <t>Health and Safety KPI</t>
  </si>
  <si>
    <t>Annual OSHA severity rate</t>
  </si>
  <si>
    <t>days lost * 200,000 / annual worked hrs</t>
  </si>
  <si>
    <t>no data available</t>
  </si>
  <si>
    <t>No data available</t>
  </si>
  <si>
    <t>Total recordable injury and illness rate (TRIIR)</t>
  </si>
  <si>
    <t>-</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</si>
  <si>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</si>
  <si>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</si>
  <si>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</si>
  <si>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</si>
  <si>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</si>
  <si>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</si>
  <si>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</si>
  <si>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</si>
  <si>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</si>
  <si>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</si>
  <si>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</si>
  <si>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</si>
  <si>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</si>
  <si>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</si>
  <si>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</si>
  <si>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</si>
  <si>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</si>
  <si>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</si>
  <si>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</si>
  <si>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</si>
  <si>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</si>
  <si>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</si>
  <si>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</si>
  <si>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</si>
  <si>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</si>
  <si>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</si>
  <si>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</si>
  <si>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</si>
  <si>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</si>
  <si>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</si>
  <si>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</si>
  <si>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r>
      <rPr>
        <b/>
        <sz val="20"/>
        <color theme="7"/>
        <rFont val="Verdana"/>
        <family val="2"/>
      </rPr>
      <t xml:space="preserve">People </t>
    </r>
    <r>
      <rPr>
        <b/>
        <sz val="20"/>
        <color rgb="FF0000CC"/>
        <rFont val="Verdana"/>
        <family val="2"/>
      </rPr>
      <t xml:space="preserve">
</t>
    </r>
    <r>
      <rPr>
        <b/>
        <sz val="20"/>
        <color rgb="FF1E22AA"/>
        <rFont val="Verdana"/>
        <family val="2"/>
      </rPr>
      <t>Ethics and Compliance</t>
    </r>
  </si>
  <si>
    <t>It is essential that our employees, customers, suppliers and other stakeholders feel they can speak freely when they have an ethical concern. We have various channels for them to do this including our independent Speak Up line. The data below represents our Speak Up reports.</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</si>
  <si>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</si>
  <si>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</si>
  <si>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</si>
  <si>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</si>
  <si>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</si>
  <si>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</si>
  <si>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</si>
  <si>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</si>
  <si>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</si>
  <si>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</si>
  <si>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 xml:space="preserve">Business and financial reporting </t>
  </si>
  <si>
    <t>Discrimination, including harassment and retaliation</t>
  </si>
  <si>
    <t>Competition / anti-trust</t>
  </si>
  <si>
    <t>Computer, email and internet use</t>
  </si>
  <si>
    <t>Employee rights</t>
  </si>
  <si>
    <t>Confidential information and intellectual property</t>
  </si>
  <si>
    <t>Enquiry</t>
  </si>
  <si>
    <t>Environmental protection, product stewardship or health and safety</t>
  </si>
  <si>
    <t>Discrimination including harassment and retaliation</t>
  </si>
  <si>
    <t>Financial crime</t>
  </si>
  <si>
    <t>Insider trading, financial reporting and other securities violations</t>
  </si>
  <si>
    <t>Other or general enquiry</t>
  </si>
  <si>
    <t>Other</t>
  </si>
  <si>
    <t>Theft or misuse of assets</t>
  </si>
  <si>
    <t>Insider trading</t>
  </si>
  <si>
    <t>Fraud, money laundering and embezzlement</t>
  </si>
  <si>
    <t>Trade and export controls</t>
  </si>
  <si>
    <t>Misconduct or inappropriate behaviour</t>
  </si>
  <si>
    <t>Protection of Privacy &amp; Personal Data, Network Security</t>
  </si>
  <si>
    <t>Retaliation</t>
  </si>
  <si>
    <t>Physical assets</t>
  </si>
  <si>
    <t>Substance abuse</t>
  </si>
  <si>
    <t>*To simplify identification of issues raised consolidation has been made of some of the categories from 2021/22.</t>
  </si>
  <si>
    <t>Theft</t>
  </si>
  <si>
    <t>Violence or threats</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</si>
  <si>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</si>
  <si>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</si>
  <si>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</si>
  <si>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</si>
  <si>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</si>
  <si>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</si>
  <si>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</si>
  <si>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</si>
  <si>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</si>
  <si>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</si>
  <si>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</si>
  <si>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</si>
  <si>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</si>
  <si>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</si>
  <si>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</si>
  <si>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</si>
  <si>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</si>
  <si>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r>
      <rPr>
        <b/>
        <sz val="20"/>
        <color theme="7"/>
        <rFont val="Verdana"/>
        <family val="2"/>
      </rPr>
      <t xml:space="preserve">People </t>
    </r>
    <r>
      <rPr>
        <b/>
        <sz val="20"/>
        <color rgb="FF0000CC"/>
        <rFont val="Verdana"/>
        <family val="2"/>
      </rPr>
      <t xml:space="preserve">
</t>
    </r>
    <r>
      <rPr>
        <b/>
        <sz val="20"/>
        <color rgb="FF1E22AA"/>
        <rFont val="Verdana"/>
        <family val="2"/>
      </rPr>
      <t>Community Investment</t>
    </r>
  </si>
  <si>
    <t>We at Johnson Matthey believe that Community investment helps us to connect with each other and our local communities</t>
  </si>
  <si>
    <t>Community investment summary</t>
  </si>
  <si>
    <t xml:space="preserve">Definition </t>
  </si>
  <si>
    <t>Units of measurement</t>
  </si>
  <si>
    <t>Direct expenditure</t>
  </si>
  <si>
    <t>Through monetary donations</t>
  </si>
  <si>
    <t>£'000</t>
  </si>
  <si>
    <t>Indirect expenditure</t>
  </si>
  <si>
    <t>Through volunteering days</t>
  </si>
  <si>
    <t>Volunteering Days</t>
  </si>
  <si>
    <t>Days of corporate volunteering</t>
  </si>
  <si>
    <t># of days</t>
  </si>
  <si>
    <r>
      <rPr>
        <b/>
        <sz val="20"/>
        <color theme="7"/>
        <rFont val="Verdana"/>
        <family val="2"/>
      </rPr>
      <t>People</t>
    </r>
    <r>
      <rPr>
        <b/>
        <sz val="20"/>
        <color rgb="FF0000CC"/>
        <rFont val="Verdana"/>
        <family val="2"/>
      </rPr>
      <t xml:space="preserve">
</t>
    </r>
    <r>
      <rPr>
        <b/>
        <sz val="20"/>
        <color rgb="FF1E22AA"/>
        <rFont val="Verdana"/>
        <family val="2"/>
      </rPr>
      <t>Responsible Sourcing</t>
    </r>
  </si>
  <si>
    <t>In the last year we have refreshed our Supplier Code of Conduct to provide our social and environmental expectations towards our stakeholders in the supply chain. Our new suppliers received the new Supplier Code of Conduct and the latter has been also shared with our biggest, by spend, existing suppliers. We are in a process of digital transformation adopting a system to track our supplier commitments to the SCoC. To get a better picture of our supplier ecosystem we used the services of sustainability rating provider EcoVadis and their EcoVadis IQ module enabling us to get a detailled overview of more than 500 suppliers representing 85% of our spend and the different risk areas. Some of the changes in the numbers of suppliers who have EcoVadis medal are due to the recent medal treshold changes and the fact that some suppliers did not meet the medal requirements.</t>
  </si>
  <si>
    <t>Supplier code of conduct | Johnson Matthey</t>
  </si>
  <si>
    <t>EcoVadis KPIs</t>
  </si>
  <si>
    <t>% procurement spend 2023/24</t>
  </si>
  <si>
    <t>% procurement spend 2022/23</t>
  </si>
  <si>
    <t>% procurement spend 2021/22</t>
  </si>
  <si>
    <t>Suppliers who have current EcoVadis medal</t>
  </si>
  <si>
    <t>Suppliers who have a good score with EcoVadis but no medal due to adverse media in the past three years</t>
  </si>
  <si>
    <t>Suppliers with current EcoVadis rating below medal achieving level</t>
  </si>
  <si>
    <t>Suppliers without an active EcoVadis rating, have declined to share their rating or we have not yet requested it</t>
  </si>
  <si>
    <t>Areas of concern where risks were identified by low scores in EcoVadis</t>
  </si>
  <si>
    <t>Number of supplier
risk identified
2023/24</t>
  </si>
  <si>
    <t>Number of supplier
risk identified
2022/23</t>
  </si>
  <si>
    <t>Number of supplier
risk identified
2021/22</t>
  </si>
  <si>
    <t>Environmental</t>
  </si>
  <si>
    <t>Labour and Human Rights</t>
  </si>
  <si>
    <t>Ethics</t>
  </si>
  <si>
    <t>Sustainable Procurement</t>
  </si>
  <si>
    <t>Child Labour</t>
  </si>
  <si>
    <t>Spend allocation</t>
  </si>
  <si>
    <t>Percentage of spend
2023/24</t>
  </si>
  <si>
    <t>Spend with suppliers of diverse/small businesses</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</si>
  <si>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</si>
  <si>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market based Scope 2 emissions as stated above.</t>
  </si>
  <si>
    <t>This is our operational GHG footprint using the Scope 1 emissions and the location based Scope 2 emissions as stated above.</t>
  </si>
  <si>
    <t xml:space="preserve">Pie chart data </t>
  </si>
  <si>
    <t>Scope 1</t>
  </si>
  <si>
    <t>Scope 2</t>
  </si>
  <si>
    <t>Scope 3 - Purchased goods and services</t>
  </si>
  <si>
    <t>Scope 3- All other categories</t>
  </si>
  <si>
    <t xml:space="preserve">Global
Weight of product sold. </t>
  </si>
  <si>
    <t>This is wastewater that is returned to its original source and is of equal or higher quality than the water that was originally extracted. In JM we only consider water returned to fresh surface water (lakes, rivers etc) or fresh ground water for this indicator.</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</si>
  <si>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</si>
  <si>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</si>
  <si>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</si>
  <si>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</si>
  <si>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</si>
  <si>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</si>
  <si>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</si>
  <si>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</si>
  <si>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</si>
  <si>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</si>
  <si>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</si>
  <si>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</si>
  <si>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</si>
  <si>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</si>
  <si>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</si>
  <si>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</si>
  <si>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</si>
  <si>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</si>
  <si>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</si>
  <si>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</si>
  <si>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</si>
  <si>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</si>
  <si>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</si>
  <si>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</si>
  <si>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</si>
  <si>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</si>
  <si>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</si>
  <si>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</si>
  <si>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</si>
  <si>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</si>
  <si>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</si>
  <si>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</si>
  <si>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</si>
  <si>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</si>
  <si>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</si>
  <si>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</si>
  <si>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</si>
  <si>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</si>
  <si>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</si>
  <si>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</si>
  <si>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External joiners</t>
  </si>
  <si>
    <t>Resignation only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</si>
  <si>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</si>
  <si>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</si>
  <si>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</si>
  <si>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Involuntary permanent employee leavers turnover rate</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</si>
  <si>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</si>
  <si>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</si>
  <si>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</si>
  <si>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</si>
  <si>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</si>
  <si>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</si>
  <si>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</si>
  <si>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</si>
  <si>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</si>
  <si>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</si>
  <si>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</si>
  <si>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</si>
  <si>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</si>
  <si>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</si>
  <si>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</si>
  <si>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</si>
  <si>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</si>
  <si>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</si>
  <si>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</si>
  <si>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</si>
  <si>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</si>
  <si>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</si>
  <si>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Continuously site based
Person employed by an agency performing tasks that would normally be expected to be undertaken by a JM employee.
Work is directly supervised by JM - paid directly via invoices</t>
  </si>
  <si>
    <t>Total average number of employees (including health)</t>
  </si>
  <si>
    <t>Average number of employees who were covered by a collective bargaining agreement and / or represented by a trade union</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</si>
  <si>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</si>
  <si>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</si>
  <si>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</si>
  <si>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</si>
  <si>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</si>
  <si>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</si>
  <si>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</si>
  <si>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</si>
  <si>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</si>
  <si>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</si>
  <si>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</si>
  <si>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</si>
  <si>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</si>
  <si>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</si>
  <si>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Average score given by survey respondents in response to three engagement questions (engagement, loyalty, satisfaction) </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</si>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</sst>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s>
  <fonts count="176">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18"/>
      <color rgb="FF0000CC"/>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0"/>
      <color rgb="FFFF0000"/>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12"/>
      <color rgb="FFFF0000"/>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0"/>
      <color indexed="81"/>
      <name val="Tahoma"/>
      <family val="2"/>
    </font>
    <font>
      <sz val="10"/>
      <color indexed="81"/>
      <name val=" verdana"/>
    </font>
    <font>
      <sz val="14"/>
      <color theme="1"/>
      <name val="Verdana"/>
      <family val="2"/>
    </font>
    <font>
      <b/>
      <sz val="14"/>
      <color rgb="FF002855"/>
      <name val="Verdana"/>
      <family val="2"/>
    </font>
    <font>
      <b/>
      <sz val="14"/>
      <color rgb="FFFFFFFF"/>
      <name val="Verdana"/>
      <family val="2"/>
    </font>
    <font>
      <b/>
      <sz val="12"/>
      <color rgb="FFFFFFFF"/>
      <name val="Verdana"/>
      <family val="2"/>
    </font>
    <font>
      <b/>
      <sz val="16"/>
      <color rgb="FFFFFFFF"/>
      <name val="Verdana"/>
      <family val="2"/>
    </font>
    <font>
      <b/>
      <sz val="16"/>
      <color theme="0"/>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i/>
      <sz val="12"/>
      <name val="Verdana"/>
      <family val="2"/>
    </font>
    <font>
      <b/>
      <i/>
      <sz val="12"/>
      <color theme="1"/>
      <name val="Verdana"/>
      <family val="2"/>
    </font>
    <font>
      <b/>
      <i/>
      <sz val="12"/>
      <color rgb="FF00305C"/>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0"/>
      <color rgb="FF1E22AA"/>
      <name val="Verdana"/>
      <family val="2"/>
    </font>
    <font>
      <sz val="12"/>
      <color rgb="FF1E22AA"/>
      <name val="Verdana"/>
      <family val="2"/>
    </font>
    <font>
      <b/>
      <sz val="10"/>
      <color rgb="FF1E22AA"/>
      <name val="Verdana"/>
      <family val="2"/>
    </font>
    <font>
      <b/>
      <sz val="14"/>
      <color rgb="FF1E22AA"/>
      <name val="Verdana"/>
      <family val="2"/>
    </font>
    <font>
      <b/>
      <vertAlign val="superscript"/>
      <sz val="12"/>
      <color rgb="FF000000"/>
      <name val="Verdana"/>
      <family val="2"/>
    </font>
    <font>
      <sz val="12"/>
      <color theme="0"/>
      <name val="Verdana"/>
      <family val="2"/>
    </font>
    <font>
      <sz val="11"/>
      <color indexed="81"/>
      <name val="Verdana"/>
      <family val="2"/>
    </font>
    <font>
      <u/>
      <sz val="11"/>
      <name val="Calibri"/>
      <family val="2"/>
      <scheme val="minor"/>
    </font>
    <font>
      <vertAlign val="superscript"/>
      <sz val="12"/>
      <name val="Verdana"/>
      <family val="2"/>
    </font>
    <font>
      <sz val="11"/>
      <color theme="1"/>
      <name val="Verdana"/>
      <family val="2"/>
    </font>
    <font>
      <sz val="10"/>
      <color rgb="FF4F4C49"/>
      <name val="Verdana"/>
      <family val="2"/>
    </font>
    <font>
      <u/>
      <sz val="11"/>
      <color theme="10"/>
      <name val="Verdana"/>
      <family val="2"/>
    </font>
    <font>
      <b/>
      <sz val="12"/>
      <color theme="4"/>
      <name val="Verdana"/>
      <family val="2"/>
    </font>
    <font>
      <sz val="11"/>
      <color theme="4"/>
      <name val="Verdana"/>
      <family val="2"/>
    </font>
    <font>
      <b/>
      <vertAlign val="superscript"/>
      <sz val="12"/>
      <color theme="4"/>
      <name val="Verdana"/>
      <family val="2"/>
    </font>
    <font>
      <sz val="10"/>
      <color theme="4"/>
      <name val="Verdana"/>
      <family val="2"/>
    </font>
    <font>
      <vertAlign val="superscript"/>
      <sz val="11"/>
      <color theme="4"/>
      <name val="Verdana"/>
      <family val="2"/>
    </font>
    <font>
      <u/>
      <sz val="10"/>
      <color theme="4"/>
      <name val="Verdana"/>
      <family val="2"/>
    </font>
    <font>
      <u/>
      <sz val="11"/>
      <color theme="3"/>
      <name val="Calibri"/>
      <family val="2"/>
      <scheme val="minor"/>
    </font>
    <font>
      <vertAlign val="superscript"/>
      <sz val="10"/>
      <name val="Verdana"/>
      <family val="2"/>
    </font>
    <font>
      <u/>
      <sz val="10"/>
      <color theme="3"/>
      <name val="Verdana"/>
      <family val="2"/>
    </font>
    <font>
      <u/>
      <sz val="10"/>
      <name val="Verdana"/>
      <family val="2"/>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6" tint="0.39997558519241921"/>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theme="9"/>
        <bgColor rgb="FF000000"/>
      </patternFill>
    </fill>
    <fill>
      <patternFill patternType="solid">
        <fgColor rgb="FFE3E3E3"/>
        <bgColor rgb="FF000000"/>
      </patternFill>
    </fill>
    <fill>
      <patternFill patternType="solid">
        <fgColor theme="9" tint="-0.249977111117893"/>
        <bgColor indexed="64"/>
      </patternFill>
    </fill>
    <fill>
      <patternFill patternType="solid">
        <fgColor theme="0" tint="-0.249977111117893"/>
        <bgColor indexed="64"/>
      </patternFill>
    </fill>
    <fill>
      <patternFill patternType="solid">
        <fgColor rgb="FFFFFF00"/>
        <bgColor rgb="FF000000"/>
      </patternFill>
    </fill>
    <fill>
      <patternFill patternType="solid">
        <fgColor rgb="FFFF0000"/>
        <bgColor indexed="64"/>
      </patternFill>
    </fill>
  </fills>
  <borders count="86">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right/>
      <top style="thin">
        <color theme="2"/>
      </top>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style="thin">
        <color theme="9" tint="-0.249977111117893"/>
      </right>
      <top style="thin">
        <color theme="2"/>
      </top>
      <bottom style="thin">
        <color theme="2"/>
      </bottom>
      <diagonal/>
    </border>
    <border>
      <left style="thin">
        <color theme="9" tint="-0.249977111117893"/>
      </left>
      <right style="thin">
        <color theme="9" tint="-0.249977111117893"/>
      </right>
      <top style="thin">
        <color theme="2"/>
      </top>
      <bottom style="thin">
        <color theme="9" tint="-0.249977111117893"/>
      </bottom>
      <diagonal/>
    </border>
    <border>
      <left style="thin">
        <color theme="9" tint="-0.249977111117893"/>
      </left>
      <right style="thin">
        <color theme="9" tint="-0.249977111117893"/>
      </right>
      <top style="thin">
        <color theme="9" tint="-0.249977111117893"/>
      </top>
      <bottom style="thin">
        <color theme="2"/>
      </bottom>
      <diagonal/>
    </border>
    <border>
      <left style="thin">
        <color theme="9" tint="-0.249977111117893"/>
      </left>
      <right style="thin">
        <color theme="9" tint="-0.249977111117893"/>
      </right>
      <top style="thin">
        <color theme="2"/>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bottom style="thin">
        <color theme="2"/>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9" tint="-0.249977111117893"/>
      </left>
      <right style="thin">
        <color theme="9" tint="-0.249977111117893"/>
      </right>
      <top style="thin">
        <color theme="9" tint="-0.249977111117893"/>
      </top>
      <bottom style="thin">
        <color indexed="64"/>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theme="9" tint="-0.249977111117893"/>
      </top>
      <bottom style="thin">
        <color indexed="64"/>
      </bottom>
      <diagonal/>
    </border>
    <border>
      <left style="thin">
        <color theme="9" tint="-0.249977111117893"/>
      </left>
      <right style="thin">
        <color theme="9" tint="-0.249977111117893"/>
      </right>
      <top/>
      <bottom style="thin">
        <color indexed="64"/>
      </bottom>
      <diagonal/>
    </border>
    <border>
      <left style="thin">
        <color theme="9" tint="-0.249977111117893"/>
      </left>
      <right/>
      <top style="thin">
        <color indexed="64"/>
      </top>
      <bottom style="thin">
        <color theme="9" tint="-0.249977111117893"/>
      </bottom>
      <diagonal/>
    </border>
    <border>
      <left/>
      <right/>
      <top style="thin">
        <color theme="9" tint="-0.249977111117893"/>
      </top>
      <bottom style="thin">
        <color indexed="64"/>
      </bottom>
      <diagonal/>
    </border>
    <border>
      <left/>
      <right style="thin">
        <color theme="9" tint="-0.249977111117893"/>
      </right>
      <top style="thin">
        <color theme="9" tint="-0.249977111117893"/>
      </top>
      <bottom style="thin">
        <color indexed="64"/>
      </bottom>
      <diagonal/>
    </border>
    <border>
      <left style="thin">
        <color theme="9" tint="-0.249977111117893"/>
      </left>
      <right/>
      <top style="thin">
        <color indexed="64"/>
      </top>
      <bottom/>
      <diagonal/>
    </border>
    <border>
      <left/>
      <right style="thin">
        <color theme="9" tint="-0.249977111117893"/>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right style="thin">
        <color indexed="64"/>
      </right>
      <top style="thin">
        <color indexed="64"/>
      </top>
      <bottom style="thin">
        <color indexed="64"/>
      </bottom>
      <diagonal/>
    </border>
    <border>
      <left style="thin">
        <color rgb="FF575756"/>
      </left>
      <right/>
      <top style="thin">
        <color rgb="FF575756"/>
      </top>
      <bottom style="thin">
        <color rgb="FF575756"/>
      </bottom>
      <diagonal/>
    </border>
    <border>
      <left/>
      <right style="thin">
        <color rgb="FF575756"/>
      </right>
      <top style="thin">
        <color rgb="FF575756"/>
      </top>
      <bottom style="thin">
        <color rgb="FF575756"/>
      </bottom>
      <diagonal/>
    </border>
    <border>
      <left style="thin">
        <color rgb="FF575756"/>
      </left>
      <right style="thin">
        <color rgb="FF575756"/>
      </right>
      <top/>
      <bottom/>
      <diagonal/>
    </border>
    <border>
      <left/>
      <right style="thin">
        <color rgb="FF575756"/>
      </right>
      <top/>
      <bottom/>
      <diagonal/>
    </border>
    <border>
      <left/>
      <right style="thin">
        <color indexed="64"/>
      </right>
      <top/>
      <bottom style="thin">
        <color indexed="64"/>
      </bottom>
      <diagonal/>
    </border>
    <border>
      <left style="thin">
        <color theme="9" tint="-0.499984740745262"/>
      </left>
      <right/>
      <top style="thin">
        <color indexed="64"/>
      </top>
      <bottom style="thin">
        <color indexed="64"/>
      </bottom>
      <diagonal/>
    </border>
    <border>
      <left style="thin">
        <color theme="9" tint="-0.499984740745262"/>
      </left>
      <right/>
      <top style="thin">
        <color theme="9" tint="-0.499984740745262"/>
      </top>
      <bottom style="thin">
        <color indexed="64"/>
      </bottom>
      <diagonal/>
    </border>
    <border>
      <left style="thin">
        <color theme="9" tint="-0.499984740745262"/>
      </left>
      <right/>
      <top style="thin">
        <color indexed="64"/>
      </top>
      <bottom style="thin">
        <color theme="9" tint="-0.499984740745262"/>
      </bottom>
      <diagonal/>
    </border>
    <border>
      <left style="thin">
        <color theme="9" tint="-0.499984740745262"/>
      </left>
      <right style="thin">
        <color theme="9" tint="-0.499984740745262"/>
      </right>
      <top style="thin">
        <color indexed="64"/>
      </top>
      <bottom/>
      <diagonal/>
    </border>
    <border>
      <left style="thin">
        <color theme="9" tint="-0.249977111117893"/>
      </left>
      <right/>
      <top/>
      <bottom style="thin">
        <color theme="9" tint="-0.249977111117893"/>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1580">
    <xf numFmtId="0" fontId="0" fillId="0" borderId="0" xfId="0"/>
    <xf numFmtId="0" fontId="0" fillId="2" borderId="0" xfId="0" applyFill="1"/>
    <xf numFmtId="0" fontId="8" fillId="2" borderId="0" xfId="0" applyFont="1" applyFill="1"/>
    <xf numFmtId="0" fontId="13" fillId="2" borderId="0" xfId="0" applyFont="1" applyFill="1"/>
    <xf numFmtId="0" fontId="12" fillId="4" borderId="0" xfId="0" applyFont="1" applyFill="1" applyAlignment="1">
      <alignment horizontal="left" vertical="center" wrapText="1"/>
    </xf>
    <xf numFmtId="0" fontId="14" fillId="4" borderId="0" xfId="0" applyFont="1" applyFill="1" applyAlignment="1">
      <alignment vertical="top"/>
    </xf>
    <xf numFmtId="0" fontId="12" fillId="4" borderId="0" xfId="0" applyFont="1" applyFill="1" applyAlignment="1">
      <alignment horizontal="left" vertical="top" wrapText="1"/>
    </xf>
    <xf numFmtId="0" fontId="12" fillId="4" borderId="0" xfId="0" applyFont="1" applyFill="1" applyAlignment="1">
      <alignment vertical="top"/>
    </xf>
    <xf numFmtId="0" fontId="15" fillId="5" borderId="0" xfId="0" applyFont="1" applyFill="1" applyAlignment="1">
      <alignment vertical="center"/>
    </xf>
    <xf numFmtId="0" fontId="9" fillId="2" borderId="0" xfId="0" applyFont="1" applyFill="1" applyAlignment="1">
      <alignment horizontal="right" vertical="center"/>
    </xf>
    <xf numFmtId="0" fontId="17" fillId="2" borderId="0" xfId="0" applyFont="1" applyFill="1" applyAlignment="1">
      <alignment horizontal="lef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1" fillId="2" borderId="0" xfId="0" applyFont="1" applyFill="1"/>
    <xf numFmtId="0" fontId="8" fillId="2" borderId="0" xfId="0" applyFont="1" applyFill="1" applyAlignment="1">
      <alignment horizontal="left" vertical="center" wrapText="1"/>
    </xf>
    <xf numFmtId="0" fontId="62"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59" fillId="5" borderId="0" xfId="0" applyFont="1" applyFill="1" applyAlignment="1">
      <alignment vertical="top"/>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3"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1" fontId="8" fillId="2" borderId="0" xfId="0" applyNumberFormat="1" applyFont="1" applyFill="1" applyAlignment="1">
      <alignment horizontal="center"/>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5"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8" fillId="5" borderId="0" xfId="0" applyFont="1" applyFill="1" applyAlignment="1">
      <alignment vertical="center"/>
    </xf>
    <xf numFmtId="0" fontId="77"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6"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2"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1"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8"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1" fillId="10" borderId="7" xfId="0" applyFont="1" applyFill="1" applyBorder="1" applyAlignment="1">
      <alignment horizontal="center" vertical="center"/>
    </xf>
    <xf numFmtId="0" fontId="81" fillId="10" borderId="7" xfId="0" applyFont="1" applyFill="1" applyBorder="1" applyAlignment="1">
      <alignment horizontal="center" vertical="center" wrapText="1"/>
    </xf>
    <xf numFmtId="0" fontId="84"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1"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5"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80"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5" fillId="22" borderId="7" xfId="0" applyFont="1" applyFill="1" applyBorder="1" applyAlignment="1">
      <alignment vertical="center"/>
    </xf>
    <xf numFmtId="169" fontId="85" fillId="8" borderId="7" xfId="0" applyNumberFormat="1" applyFont="1" applyFill="1" applyBorder="1" applyAlignment="1">
      <alignment vertical="center" wrapText="1"/>
    </xf>
    <xf numFmtId="0" fontId="81"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1" fillId="21" borderId="7" xfId="0" applyFont="1" applyFill="1" applyBorder="1" applyAlignment="1">
      <alignment horizontal="right" vertical="center" wrapText="1"/>
    </xf>
    <xf numFmtId="0" fontId="81" fillId="21" borderId="7" xfId="0" applyFont="1" applyFill="1" applyBorder="1" applyAlignment="1">
      <alignment horizontal="right" vertical="center"/>
    </xf>
    <xf numFmtId="0" fontId="81"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2"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2" fillId="24" borderId="7" xfId="0" applyFont="1" applyFill="1" applyBorder="1" applyAlignment="1">
      <alignment horizontal="right" vertical="center" wrapText="1"/>
    </xf>
    <xf numFmtId="0" fontId="82" fillId="24" borderId="7" xfId="0" applyFont="1" applyFill="1" applyBorder="1" applyAlignment="1">
      <alignment horizontal="center" vertical="center" wrapText="1"/>
    </xf>
    <xf numFmtId="0" fontId="81"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4"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6" fillId="2" borderId="7" xfId="0" applyFont="1" applyFill="1" applyBorder="1" applyAlignment="1">
      <alignment vertical="center" wrapText="1"/>
    </xf>
    <xf numFmtId="9" fontId="8" fillId="2" borderId="7" xfId="3" applyFont="1" applyFill="1" applyBorder="1"/>
    <xf numFmtId="0" fontId="65"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6"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2" fontId="8" fillId="2" borderId="0" xfId="0" applyNumberFormat="1" applyFont="1" applyFill="1"/>
    <xf numFmtId="166" fontId="8" fillId="2" borderId="0" xfId="2" applyNumberFormat="1" applyFont="1" applyFill="1"/>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2"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3" fillId="0" borderId="13" xfId="0" applyFont="1" applyBorder="1" applyAlignment="1">
      <alignment vertical="center"/>
    </xf>
    <xf numFmtId="0" fontId="93" fillId="0" borderId="13" xfId="0" applyFont="1" applyBorder="1" applyAlignment="1">
      <alignment horizontal="center" vertical="center" wrapText="1"/>
    </xf>
    <xf numFmtId="9" fontId="94"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1"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90" fillId="24" borderId="6" xfId="3" applyNumberFormat="1" applyFont="1" applyFill="1" applyBorder="1" applyAlignment="1">
      <alignment vertical="center" wrapText="1"/>
    </xf>
    <xf numFmtId="164" fontId="82"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6"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2" fillId="24" borderId="14" xfId="3" applyFont="1" applyFill="1" applyBorder="1" applyAlignment="1">
      <alignment vertical="center" wrapText="1"/>
    </xf>
    <xf numFmtId="9" fontId="82" fillId="24" borderId="15" xfId="3" applyFont="1" applyFill="1" applyBorder="1" applyAlignment="1">
      <alignment vertical="center" wrapText="1"/>
    </xf>
    <xf numFmtId="0" fontId="10" fillId="0" borderId="16" xfId="0" applyFont="1" applyBorder="1" applyAlignment="1">
      <alignment vertical="center"/>
    </xf>
    <xf numFmtId="0" fontId="64"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2"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7"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31" fillId="2" borderId="0" xfId="0" applyFont="1" applyFill="1" applyAlignment="1">
      <alignment horizontal="center"/>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37" fillId="5" borderId="0" xfId="0" applyFont="1" applyFill="1" applyAlignment="1">
      <alignment vertical="center" wrapText="1"/>
    </xf>
    <xf numFmtId="0" fontId="80" fillId="19" borderId="8" xfId="0" applyFont="1" applyFill="1" applyBorder="1" applyAlignment="1">
      <alignment horizontal="left" vertical="center" wrapText="1"/>
    </xf>
    <xf numFmtId="0" fontId="13" fillId="2" borderId="0" xfId="0" applyFont="1" applyFill="1" applyAlignment="1">
      <alignment vertical="center"/>
    </xf>
    <xf numFmtId="0" fontId="103" fillId="2" borderId="0" xfId="0" applyFont="1" applyFill="1" applyAlignment="1">
      <alignment horizontal="left" vertical="center"/>
    </xf>
    <xf numFmtId="0" fontId="13" fillId="19" borderId="0" xfId="0" applyFont="1" applyFill="1" applyAlignment="1">
      <alignment vertical="center"/>
    </xf>
    <xf numFmtId="0" fontId="13" fillId="19" borderId="0" xfId="0" applyFont="1" applyFill="1" applyAlignment="1">
      <alignment horizontal="left" vertical="center"/>
    </xf>
    <xf numFmtId="0" fontId="12" fillId="19" borderId="0" xfId="0" applyFont="1" applyFill="1" applyAlignment="1">
      <alignment vertical="center"/>
    </xf>
    <xf numFmtId="0" fontId="102" fillId="5" borderId="0" xfId="0" applyFont="1" applyFill="1" applyAlignment="1">
      <alignment horizontal="left"/>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30"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81" fillId="2" borderId="0" xfId="0" applyFont="1" applyFill="1" applyAlignment="1">
      <alignment horizontal="left"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2" fillId="7" borderId="0" xfId="0" applyFont="1" applyFill="1" applyAlignment="1">
      <alignment horizontal="left"/>
    </xf>
    <xf numFmtId="0" fontId="102" fillId="30" borderId="0" xfId="0" applyFont="1" applyFill="1" applyAlignment="1">
      <alignment horizontal="left"/>
    </xf>
    <xf numFmtId="0" fontId="13" fillId="19" borderId="0" xfId="0" applyFont="1" applyFill="1"/>
    <xf numFmtId="3" fontId="105" fillId="19" borderId="0" xfId="0" applyNumberFormat="1" applyFont="1" applyFill="1"/>
    <xf numFmtId="3" fontId="105" fillId="19" borderId="0" xfId="0" applyNumberFormat="1" applyFont="1" applyFill="1" applyAlignment="1">
      <alignment vertical="center"/>
    </xf>
    <xf numFmtId="0" fontId="105" fillId="19" borderId="0" xfId="0" applyFont="1" applyFill="1"/>
    <xf numFmtId="0" fontId="105" fillId="19" borderId="0" xfId="0" applyFont="1" applyFill="1" applyAlignment="1">
      <alignment vertical="center"/>
    </xf>
    <xf numFmtId="9" fontId="105" fillId="19" borderId="0" xfId="3" applyFont="1" applyFill="1" applyBorder="1"/>
    <xf numFmtId="9" fontId="105" fillId="19" borderId="0" xfId="0" applyNumberFormat="1" applyFont="1" applyFill="1" applyAlignment="1">
      <alignment vertical="center"/>
    </xf>
    <xf numFmtId="166" fontId="105" fillId="19" borderId="0" xfId="2" applyNumberFormat="1" applyFont="1" applyFill="1" applyBorder="1"/>
    <xf numFmtId="9" fontId="105" fillId="19" borderId="0" xfId="0" applyNumberFormat="1" applyFont="1" applyFill="1"/>
    <xf numFmtId="1" fontId="105" fillId="19" borderId="0" xfId="0" applyNumberFormat="1" applyFont="1" applyFill="1"/>
    <xf numFmtId="2" fontId="105" fillId="19" borderId="0" xfId="0" applyNumberFormat="1" applyFont="1" applyFill="1"/>
    <xf numFmtId="0" fontId="102" fillId="5" borderId="0" xfId="0" applyFont="1" applyFill="1" applyAlignment="1">
      <alignment vertical="center"/>
    </xf>
    <xf numFmtId="0" fontId="111" fillId="2" borderId="0" xfId="0" applyFont="1" applyFill="1" applyAlignment="1">
      <alignment horizontal="right" vertical="center"/>
    </xf>
    <xf numFmtId="0" fontId="12" fillId="2" borderId="0" xfId="1" applyFont="1" applyFill="1" applyAlignment="1">
      <alignment horizontal="center" vertical="center"/>
    </xf>
    <xf numFmtId="0" fontId="13" fillId="0" borderId="7" xfId="0" applyFont="1" applyBorder="1" applyAlignment="1">
      <alignment vertical="center"/>
    </xf>
    <xf numFmtId="9" fontId="13" fillId="2" borderId="0" xfId="3" applyFont="1" applyFill="1"/>
    <xf numFmtId="0" fontId="66" fillId="2" borderId="0" xfId="0" applyFont="1" applyFill="1"/>
    <xf numFmtId="0" fontId="109"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4" fillId="2" borderId="0" xfId="0" applyFont="1" applyFill="1" applyAlignment="1">
      <alignment horizontal="right" vertical="top" indent="2"/>
    </xf>
    <xf numFmtId="0" fontId="65" fillId="2" borderId="0" xfId="0" applyFont="1" applyFill="1" applyAlignment="1">
      <alignment horizontal="left" vertical="top"/>
    </xf>
    <xf numFmtId="0" fontId="64" fillId="2" borderId="0" xfId="0" applyFont="1" applyFill="1" applyAlignment="1">
      <alignment horizontal="right" indent="2"/>
    </xf>
    <xf numFmtId="0" fontId="12" fillId="2" borderId="0" xfId="0" applyFont="1" applyFill="1"/>
    <xf numFmtId="0" fontId="104" fillId="2" borderId="0" xfId="0" applyFont="1" applyFill="1" applyAlignment="1">
      <alignment horizontal="left" vertical="center"/>
    </xf>
    <xf numFmtId="0" fontId="113" fillId="2" borderId="0" xfId="0" applyFont="1" applyFill="1" applyAlignment="1">
      <alignment horizontal="left" vertical="center"/>
    </xf>
    <xf numFmtId="0" fontId="22" fillId="30" borderId="7" xfId="0" applyFont="1" applyFill="1" applyBorder="1" applyAlignment="1">
      <alignment vertical="center" wrapText="1"/>
    </xf>
    <xf numFmtId="168" fontId="110"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172" fontId="13" fillId="2" borderId="0" xfId="0" applyNumberFormat="1" applyFont="1" applyFill="1" applyAlignment="1">
      <alignmen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171" fontId="13" fillId="0" borderId="0" xfId="0" applyNumberFormat="1" applyFont="1" applyAlignment="1">
      <alignment vertical="center"/>
    </xf>
    <xf numFmtId="0" fontId="13" fillId="0" borderId="0" xfId="0" applyFont="1" applyAlignment="1">
      <alignment vertical="center"/>
    </xf>
    <xf numFmtId="0" fontId="114" fillId="2" borderId="0" xfId="0" applyFont="1" applyFill="1" applyAlignment="1">
      <alignment vertical="center"/>
    </xf>
    <xf numFmtId="0" fontId="105" fillId="2" borderId="0" xfId="0" applyFont="1" applyFill="1"/>
    <xf numFmtId="0" fontId="25" fillId="2" borderId="0" xfId="0" applyFont="1" applyFill="1" applyAlignment="1">
      <alignment horizontal="center" vertical="center" wrapText="1"/>
    </xf>
    <xf numFmtId="0" fontId="6" fillId="2" borderId="0" xfId="0" applyFont="1" applyFill="1" applyAlignment="1">
      <alignment vertical="center"/>
    </xf>
    <xf numFmtId="0" fontId="12" fillId="0" borderId="31" xfId="0" applyFont="1" applyBorder="1" applyAlignment="1">
      <alignment vertical="center" wrapText="1"/>
    </xf>
    <xf numFmtId="0" fontId="116" fillId="2" borderId="0" xfId="0" applyFont="1" applyFill="1" applyAlignment="1">
      <alignment horizontal="center" vertical="center" wrapText="1"/>
    </xf>
    <xf numFmtId="0" fontId="73" fillId="2" borderId="0" xfId="0" applyFont="1" applyFill="1" applyAlignment="1">
      <alignment vertical="center"/>
    </xf>
    <xf numFmtId="0" fontId="8" fillId="19" borderId="0" xfId="0" applyFont="1" applyFill="1" applyAlignment="1">
      <alignment vertical="center"/>
    </xf>
    <xf numFmtId="0" fontId="6" fillId="19" borderId="0" xfId="0" applyFont="1" applyFill="1" applyAlignment="1">
      <alignment vertical="center"/>
    </xf>
    <xf numFmtId="0" fontId="11" fillId="2" borderId="0" xfId="0" applyFont="1" applyFill="1" applyAlignment="1">
      <alignment vertical="center"/>
    </xf>
    <xf numFmtId="0" fontId="13" fillId="2" borderId="31" xfId="0" applyFont="1" applyFill="1" applyBorder="1" applyAlignment="1">
      <alignment vertical="center"/>
    </xf>
    <xf numFmtId="0" fontId="12" fillId="2" borderId="31" xfId="0" applyFont="1" applyFill="1" applyBorder="1" applyAlignment="1">
      <alignment vertical="center" wrapText="1"/>
    </xf>
    <xf numFmtId="0" fontId="11" fillId="19" borderId="31" xfId="0" applyFont="1" applyFill="1" applyBorder="1" applyAlignment="1">
      <alignment vertical="center" wrapText="1"/>
    </xf>
    <xf numFmtId="0" fontId="13" fillId="19" borderId="31" xfId="0" applyFont="1" applyFill="1" applyBorder="1" applyAlignment="1">
      <alignment vertical="center" wrapText="1"/>
    </xf>
    <xf numFmtId="0" fontId="13" fillId="0" borderId="31" xfId="0" applyFont="1" applyBorder="1" applyAlignment="1">
      <alignment vertical="center" wrapText="1"/>
    </xf>
    <xf numFmtId="0" fontId="12" fillId="19" borderId="31" xfId="0" applyFont="1" applyFill="1" applyBorder="1" applyAlignment="1">
      <alignment vertical="center" wrapText="1"/>
    </xf>
    <xf numFmtId="0" fontId="12" fillId="19" borderId="31" xfId="0" applyFont="1" applyFill="1" applyBorder="1" applyAlignment="1">
      <alignment vertical="center"/>
    </xf>
    <xf numFmtId="0" fontId="12" fillId="0" borderId="31" xfId="0" applyFont="1" applyBorder="1" applyAlignment="1">
      <alignment vertical="center"/>
    </xf>
    <xf numFmtId="0" fontId="65" fillId="0" borderId="31" xfId="0" applyFont="1" applyBorder="1" applyAlignment="1">
      <alignment vertical="center" wrapText="1"/>
    </xf>
    <xf numFmtId="0" fontId="12" fillId="0" borderId="31" xfId="0" applyFont="1" applyBorder="1" applyAlignment="1">
      <alignment horizontal="left" vertical="center" wrapText="1"/>
    </xf>
    <xf numFmtId="0" fontId="12" fillId="29" borderId="31" xfId="0" applyFont="1" applyFill="1" applyBorder="1" applyAlignment="1">
      <alignment vertical="center"/>
    </xf>
    <xf numFmtId="0" fontId="13" fillId="0" borderId="35" xfId="0" applyFont="1" applyBorder="1" applyAlignment="1">
      <alignmen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3" fillId="19" borderId="13" xfId="0" applyFont="1" applyFill="1" applyBorder="1" applyAlignment="1">
      <alignment horizontal="center" vertical="center" wrapText="1"/>
    </xf>
    <xf numFmtId="0" fontId="93"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166" fontId="7" fillId="2" borderId="0" xfId="2" applyNumberFormat="1" applyFont="1" applyFill="1" applyBorder="1" applyAlignment="1">
      <alignment horizontal="center" vertical="center" wrapText="1"/>
    </xf>
    <xf numFmtId="9" fontId="82" fillId="7" borderId="0" xfId="3" applyFont="1" applyFill="1" applyBorder="1" applyAlignment="1">
      <alignment vertical="center" wrapText="1"/>
    </xf>
    <xf numFmtId="166" fontId="10" fillId="2" borderId="0" xfId="2" applyNumberFormat="1" applyFont="1" applyFill="1" applyBorder="1" applyAlignment="1">
      <alignment horizontal="center" vertical="center" wrapText="1"/>
    </xf>
    <xf numFmtId="0" fontId="10" fillId="2" borderId="0" xfId="0" applyFont="1" applyFill="1" applyAlignment="1">
      <alignment vertical="center"/>
    </xf>
    <xf numFmtId="0" fontId="64" fillId="2" borderId="0" xfId="0" applyFont="1" applyFill="1" applyAlignment="1">
      <alignment vertical="center" wrapText="1"/>
    </xf>
    <xf numFmtId="168" fontId="8" fillId="2" borderId="0" xfId="2" applyNumberFormat="1" applyFont="1" applyFill="1" applyBorder="1" applyAlignment="1">
      <alignment horizontal="center" vertical="center" wrapText="1"/>
    </xf>
    <xf numFmtId="0" fontId="11" fillId="2" borderId="0" xfId="0" applyFont="1" applyFill="1"/>
    <xf numFmtId="0" fontId="22"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7" fillId="2" borderId="0" xfId="0" applyFont="1" applyFill="1" applyAlignment="1">
      <alignment horizontal="left" vertical="center"/>
    </xf>
    <xf numFmtId="166" fontId="10" fillId="2" borderId="0" xfId="2" applyNumberFormat="1" applyFont="1" applyFill="1" applyAlignment="1">
      <alignment horizontal="center" vertical="center" wrapText="1"/>
    </xf>
    <xf numFmtId="0" fontId="121" fillId="21" borderId="31" xfId="0" applyFont="1" applyFill="1" applyBorder="1" applyAlignment="1">
      <alignment horizontal="left" vertical="center"/>
    </xf>
    <xf numFmtId="0" fontId="7" fillId="21" borderId="31" xfId="0" applyFont="1" applyFill="1" applyBorder="1" applyAlignment="1">
      <alignment horizontal="center" vertical="center" wrapText="1"/>
    </xf>
    <xf numFmtId="0" fontId="8" fillId="2" borderId="31" xfId="0" applyFont="1" applyFill="1" applyBorder="1" applyAlignment="1">
      <alignment vertical="center"/>
    </xf>
    <xf numFmtId="0" fontId="115" fillId="21" borderId="31" xfId="0" applyFont="1" applyFill="1" applyBorder="1" applyAlignment="1">
      <alignment horizontal="center" vertical="center" wrapText="1"/>
    </xf>
    <xf numFmtId="0" fontId="121" fillId="0" borderId="31" xfId="0" applyFont="1" applyBorder="1" applyAlignment="1">
      <alignment vertical="center"/>
    </xf>
    <xf numFmtId="0" fontId="114" fillId="0" borderId="31" xfId="0" applyFont="1" applyBorder="1" applyAlignment="1">
      <alignment horizontal="right" wrapText="1"/>
    </xf>
    <xf numFmtId="0" fontId="8" fillId="0" borderId="31" xfId="0" applyFont="1" applyBorder="1" applyAlignment="1">
      <alignment horizontal="right" wrapText="1"/>
    </xf>
    <xf numFmtId="0" fontId="115" fillId="2" borderId="31" xfId="0" applyFont="1" applyFill="1" applyBorder="1" applyAlignment="1">
      <alignment horizontal="left" wrapText="1" indent="1"/>
    </xf>
    <xf numFmtId="166" fontId="115" fillId="0" borderId="31" xfId="2" applyNumberFormat="1" applyFont="1" applyBorder="1" applyAlignment="1">
      <alignment horizontal="center" vertical="center" wrapText="1"/>
    </xf>
    <xf numFmtId="0" fontId="121" fillId="2" borderId="31" xfId="0" applyFont="1" applyFill="1" applyBorder="1" applyAlignment="1">
      <alignment vertical="center" wrapText="1"/>
    </xf>
    <xf numFmtId="0" fontId="115" fillId="2" borderId="31" xfId="0" applyFont="1" applyFill="1" applyBorder="1" applyAlignment="1">
      <alignment horizontal="left" vertical="center" wrapText="1"/>
    </xf>
    <xf numFmtId="0" fontId="114" fillId="2" borderId="31" xfId="0" applyFont="1" applyFill="1" applyBorder="1" applyAlignment="1">
      <alignment horizontal="left" indent="2"/>
    </xf>
    <xf numFmtId="166" fontId="114" fillId="0" borderId="31" xfId="2" applyNumberFormat="1" applyFont="1" applyBorder="1" applyAlignment="1">
      <alignment horizontal="center" vertical="center" wrapText="1"/>
    </xf>
    <xf numFmtId="0" fontId="118" fillId="2" borderId="31" xfId="0" applyFont="1" applyFill="1" applyBorder="1" applyAlignment="1">
      <alignment horizontal="left" wrapText="1" indent="2"/>
    </xf>
    <xf numFmtId="0" fontId="114" fillId="2" borderId="31" xfId="0" applyFont="1" applyFill="1" applyBorder="1"/>
    <xf numFmtId="0" fontId="121" fillId="0" borderId="31" xfId="0" applyFont="1" applyBorder="1" applyAlignment="1">
      <alignment vertical="center" wrapText="1"/>
    </xf>
    <xf numFmtId="0" fontId="118" fillId="2" borderId="31" xfId="0" applyFont="1" applyFill="1" applyBorder="1" applyAlignment="1">
      <alignment vertical="center" wrapText="1"/>
    </xf>
    <xf numFmtId="0" fontId="114" fillId="2" borderId="31" xfId="0" applyFont="1" applyFill="1" applyBorder="1" applyAlignment="1">
      <alignment vertical="center"/>
    </xf>
    <xf numFmtId="166" fontId="114" fillId="2" borderId="31" xfId="0" applyNumberFormat="1" applyFont="1" applyFill="1" applyBorder="1" applyAlignment="1">
      <alignment vertical="center"/>
    </xf>
    <xf numFmtId="166" fontId="115" fillId="2" borderId="31" xfId="2" applyNumberFormat="1" applyFont="1" applyFill="1" applyBorder="1" applyAlignment="1">
      <alignment horizontal="right" vertical="center"/>
    </xf>
    <xf numFmtId="0" fontId="118" fillId="2" borderId="31" xfId="0" applyFont="1" applyFill="1" applyBorder="1" applyAlignment="1">
      <alignment vertical="center"/>
    </xf>
    <xf numFmtId="166" fontId="118" fillId="2" borderId="31" xfId="2" applyNumberFormat="1" applyFont="1" applyFill="1" applyBorder="1" applyAlignment="1">
      <alignment horizontal="right" vertical="center"/>
    </xf>
    <xf numFmtId="0" fontId="25" fillId="26" borderId="31" xfId="0" applyFont="1" applyFill="1" applyBorder="1" applyAlignment="1">
      <alignment horizontal="center" vertical="center" wrapText="1"/>
    </xf>
    <xf numFmtId="0" fontId="7" fillId="0" borderId="31" xfId="0" applyFont="1" applyBorder="1" applyAlignment="1">
      <alignment horizontal="lef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1" fillId="2" borderId="31" xfId="0" applyFont="1" applyFill="1" applyBorder="1" applyAlignment="1">
      <alignment horizontal="left" wrapText="1"/>
    </xf>
    <xf numFmtId="0" fontId="114" fillId="0" borderId="31" xfId="0" applyFont="1" applyBorder="1" applyAlignment="1">
      <alignment vertical="center" wrapText="1"/>
    </xf>
    <xf numFmtId="0" fontId="115" fillId="0" borderId="31" xfId="0" applyFont="1" applyBorder="1" applyAlignment="1">
      <alignment vertical="center" wrapText="1"/>
    </xf>
    <xf numFmtId="0" fontId="114" fillId="2" borderId="31" xfId="0" applyFont="1" applyFill="1" applyBorder="1" applyAlignment="1">
      <alignment vertical="center" wrapText="1"/>
    </xf>
    <xf numFmtId="0" fontId="7" fillId="0" borderId="31" xfId="0" applyFont="1" applyBorder="1" applyAlignment="1">
      <alignment vertical="center"/>
    </xf>
    <xf numFmtId="0" fontId="7" fillId="0" borderId="31" xfId="0" applyFont="1" applyBorder="1" applyAlignment="1">
      <alignment horizontal="left" vertical="center" indent="1"/>
    </xf>
    <xf numFmtId="0" fontId="7" fillId="0" borderId="31" xfId="0" applyFont="1" applyBorder="1" applyAlignment="1">
      <alignment horizontal="left" vertical="center" wrapText="1" indent="1"/>
    </xf>
    <xf numFmtId="0" fontId="7" fillId="0" borderId="31" xfId="0" applyFont="1" applyBorder="1" applyAlignment="1">
      <alignment horizontal="left" vertical="center"/>
    </xf>
    <xf numFmtId="0" fontId="115" fillId="5" borderId="31" xfId="0" applyFont="1" applyFill="1" applyBorder="1" applyAlignment="1">
      <alignment vertical="center"/>
    </xf>
    <xf numFmtId="166" fontId="115" fillId="7" borderId="31" xfId="2" applyNumberFormat="1" applyFont="1" applyFill="1" applyBorder="1" applyAlignment="1">
      <alignment horizontal="right" vertical="center"/>
    </xf>
    <xf numFmtId="165" fontId="119" fillId="0" borderId="31" xfId="0" applyNumberFormat="1" applyFont="1" applyBorder="1" applyAlignment="1">
      <alignment horizontal="right" vertical="center"/>
    </xf>
    <xf numFmtId="0" fontId="115" fillId="0" borderId="31" xfId="0" applyFont="1" applyBorder="1" applyAlignment="1">
      <alignment horizontal="left" vertical="center"/>
    </xf>
    <xf numFmtId="0" fontId="115" fillId="0" borderId="31" xfId="0" applyFont="1" applyBorder="1" applyAlignment="1">
      <alignment vertical="center"/>
    </xf>
    <xf numFmtId="0" fontId="120" fillId="0" borderId="31" xfId="0" applyFont="1" applyBorder="1" applyAlignment="1">
      <alignment vertical="center" wrapText="1"/>
    </xf>
    <xf numFmtId="0" fontId="119" fillId="0" borderId="31" xfId="0" applyFont="1" applyBorder="1" applyAlignment="1">
      <alignment horizontal="left" vertical="center" wrapText="1"/>
    </xf>
    <xf numFmtId="0" fontId="114" fillId="0" borderId="31" xfId="0" applyFont="1" applyBorder="1" applyAlignment="1">
      <alignment vertical="center"/>
    </xf>
    <xf numFmtId="3" fontId="115" fillId="5" borderId="31" xfId="0" applyNumberFormat="1" applyFont="1" applyFill="1" applyBorder="1" applyAlignment="1">
      <alignment horizontal="right" vertical="center"/>
    </xf>
    <xf numFmtId="0" fontId="118" fillId="0" borderId="31" xfId="0" applyFont="1" applyBorder="1" applyAlignment="1">
      <alignment vertical="center"/>
    </xf>
    <xf numFmtId="3" fontId="121" fillId="5" borderId="31" xfId="0" applyNumberFormat="1" applyFont="1" applyFill="1" applyBorder="1" applyAlignment="1">
      <alignment horizontal="right" vertical="center"/>
    </xf>
    <xf numFmtId="0" fontId="72" fillId="4" borderId="31" xfId="0" applyFont="1" applyFill="1" applyBorder="1" applyAlignment="1">
      <alignment vertical="center"/>
    </xf>
    <xf numFmtId="0" fontId="80" fillId="4" borderId="31" xfId="0" applyFont="1" applyFill="1" applyBorder="1" applyAlignment="1">
      <alignment vertical="center"/>
    </xf>
    <xf numFmtId="0" fontId="52" fillId="2" borderId="0" xfId="0" applyFont="1" applyFill="1" applyAlignment="1">
      <alignment horizontal="left" vertical="top" wrapText="1"/>
    </xf>
    <xf numFmtId="0" fontId="8" fillId="0" borderId="0" xfId="0" applyFont="1" applyAlignment="1">
      <alignment vertical="center" wrapText="1"/>
    </xf>
    <xf numFmtId="0" fontId="133" fillId="2" borderId="0" xfId="0" applyFont="1" applyFill="1" applyAlignment="1">
      <alignment vertical="center"/>
    </xf>
    <xf numFmtId="0" fontId="58" fillId="35" borderId="0" xfId="0" applyFont="1" applyFill="1" applyAlignment="1">
      <alignment vertical="center"/>
    </xf>
    <xf numFmtId="0" fontId="134" fillId="2" borderId="0" xfId="0" applyFont="1" applyFill="1" applyAlignment="1">
      <alignment horizontal="left" vertical="center"/>
    </xf>
    <xf numFmtId="0" fontId="80" fillId="12" borderId="34" xfId="0" applyFont="1" applyFill="1" applyBorder="1" applyAlignment="1">
      <alignment horizontal="left" vertical="center" wrapText="1"/>
    </xf>
    <xf numFmtId="0" fontId="80" fillId="12" borderId="33" xfId="0" applyFont="1" applyFill="1" applyBorder="1" applyAlignment="1">
      <alignment horizontal="left" vertical="center" wrapText="1"/>
    </xf>
    <xf numFmtId="0" fontId="135" fillId="13" borderId="32" xfId="0" applyFont="1" applyFill="1" applyBorder="1" applyAlignment="1">
      <alignment vertical="center"/>
    </xf>
    <xf numFmtId="0" fontId="135" fillId="13" borderId="33" xfId="0" applyFont="1" applyFill="1" applyBorder="1" applyAlignment="1">
      <alignment vertical="center"/>
    </xf>
    <xf numFmtId="0" fontId="11" fillId="19" borderId="9" xfId="0" applyFont="1" applyFill="1" applyBorder="1" applyAlignment="1">
      <alignment vertical="center"/>
    </xf>
    <xf numFmtId="0" fontId="72" fillId="2" borderId="0" xfId="0" applyFont="1" applyFill="1" applyAlignment="1">
      <alignment vertical="center"/>
    </xf>
    <xf numFmtId="0" fontId="72" fillId="2" borderId="34" xfId="0" applyFont="1" applyFill="1" applyBorder="1" applyAlignment="1">
      <alignment vertical="center"/>
    </xf>
    <xf numFmtId="0" fontId="72" fillId="19" borderId="34" xfId="0" applyFont="1" applyFill="1" applyBorder="1" applyAlignment="1">
      <alignment vertical="center"/>
    </xf>
    <xf numFmtId="9" fontId="82" fillId="23" borderId="31" xfId="3" applyFont="1" applyFill="1" applyBorder="1" applyAlignment="1">
      <alignment vertical="center" wrapText="1"/>
    </xf>
    <xf numFmtId="0" fontId="13" fillId="19" borderId="31" xfId="0" applyFont="1" applyFill="1" applyBorder="1" applyAlignment="1">
      <alignment vertical="center"/>
    </xf>
    <xf numFmtId="0" fontId="13" fillId="2" borderId="31" xfId="0" applyFont="1" applyFill="1" applyBorder="1" applyAlignment="1">
      <alignment vertical="center" wrapText="1"/>
    </xf>
    <xf numFmtId="0" fontId="13" fillId="19" borderId="31" xfId="0" applyFont="1" applyFill="1" applyBorder="1" applyAlignment="1">
      <alignment horizontal="left" vertical="center" wrapText="1"/>
    </xf>
    <xf numFmtId="0" fontId="11" fillId="19" borderId="31" xfId="0" applyFont="1" applyFill="1" applyBorder="1" applyAlignment="1">
      <alignment horizontal="left" vertical="center" wrapText="1"/>
    </xf>
    <xf numFmtId="0" fontId="13" fillId="19" borderId="35" xfId="0" applyFont="1" applyFill="1" applyBorder="1" applyAlignment="1">
      <alignment horizontal="left" vertical="center" wrapText="1"/>
    </xf>
    <xf numFmtId="0" fontId="118" fillId="12" borderId="31" xfId="0" applyFont="1" applyFill="1" applyBorder="1" applyAlignment="1">
      <alignment vertical="center" wrapText="1"/>
    </xf>
    <xf numFmtId="0" fontId="60" fillId="5" borderId="0" xfId="0" applyFont="1" applyFill="1"/>
    <xf numFmtId="0" fontId="89" fillId="5" borderId="0" xfId="0" applyFont="1" applyFill="1" applyAlignment="1">
      <alignment vertical="center"/>
    </xf>
    <xf numFmtId="0" fontId="88" fillId="5" borderId="0" xfId="0" applyFont="1" applyFill="1" applyAlignment="1">
      <alignment vertical="center" wrapText="1"/>
    </xf>
    <xf numFmtId="0" fontId="81" fillId="0" borderId="0" xfId="0" applyFont="1" applyAlignment="1">
      <alignment vertical="center" wrapText="1"/>
    </xf>
    <xf numFmtId="0" fontId="81" fillId="2" borderId="0" xfId="0" applyFont="1" applyFill="1" applyAlignment="1">
      <alignment vertical="top" wrapText="1"/>
    </xf>
    <xf numFmtId="0" fontId="13" fillId="19" borderId="45" xfId="0" applyFont="1" applyFill="1" applyBorder="1" applyAlignment="1">
      <alignment horizontal="left" vertical="center" wrapText="1"/>
    </xf>
    <xf numFmtId="0" fontId="13" fillId="2" borderId="45" xfId="0" applyFont="1" applyFill="1" applyBorder="1" applyAlignment="1">
      <alignment vertical="center" wrapText="1"/>
    </xf>
    <xf numFmtId="0" fontId="13" fillId="2" borderId="46" xfId="0" applyFont="1" applyFill="1" applyBorder="1" applyAlignment="1">
      <alignment vertical="center" wrapText="1"/>
    </xf>
    <xf numFmtId="0" fontId="13" fillId="2" borderId="44" xfId="0" applyFont="1" applyFill="1" applyBorder="1" applyAlignment="1">
      <alignment vertical="center" wrapText="1"/>
    </xf>
    <xf numFmtId="0" fontId="12" fillId="19" borderId="44" xfId="0" applyFont="1" applyFill="1" applyBorder="1" applyAlignment="1">
      <alignment vertical="center" wrapText="1"/>
    </xf>
    <xf numFmtId="0" fontId="13" fillId="19" borderId="44" xfId="0" applyFont="1" applyFill="1" applyBorder="1" applyAlignment="1">
      <alignment horizontal="left" vertical="center" wrapText="1"/>
    </xf>
    <xf numFmtId="0" fontId="13" fillId="0" borderId="44" xfId="0" applyFont="1" applyBorder="1" applyAlignment="1">
      <alignment vertical="center" wrapText="1"/>
    </xf>
    <xf numFmtId="0" fontId="12" fillId="19" borderId="45" xfId="0" applyFont="1" applyFill="1" applyBorder="1" applyAlignment="1">
      <alignment vertical="center"/>
    </xf>
    <xf numFmtId="0" fontId="12" fillId="19" borderId="46" xfId="0" applyFont="1" applyFill="1" applyBorder="1" applyAlignment="1">
      <alignment vertical="center"/>
    </xf>
    <xf numFmtId="0" fontId="13" fillId="19" borderId="46" xfId="0" applyFont="1" applyFill="1" applyBorder="1" applyAlignment="1">
      <alignment horizontal="left" vertical="center" wrapText="1"/>
    </xf>
    <xf numFmtId="169" fontId="83" fillId="8" borderId="31" xfId="0" applyNumberFormat="1" applyFont="1" applyFill="1" applyBorder="1" applyAlignment="1">
      <alignment vertical="center" wrapText="1"/>
    </xf>
    <xf numFmtId="3" fontId="87" fillId="4" borderId="31" xfId="0" applyNumberFormat="1" applyFont="1" applyFill="1" applyBorder="1" applyAlignment="1">
      <alignment horizontal="right" vertical="center" wrapText="1"/>
    </xf>
    <xf numFmtId="166" fontId="115" fillId="0" borderId="31" xfId="2" applyNumberFormat="1" applyFont="1" applyFill="1" applyBorder="1" applyAlignment="1">
      <alignment horizontal="right" vertical="center"/>
    </xf>
    <xf numFmtId="3" fontId="87" fillId="4" borderId="31" xfId="0" applyNumberFormat="1" applyFont="1" applyFill="1" applyBorder="1" applyAlignment="1">
      <alignment horizontal="right" vertical="center"/>
    </xf>
    <xf numFmtId="0" fontId="87" fillId="4" borderId="31" xfId="0" applyFont="1" applyFill="1" applyBorder="1" applyAlignment="1">
      <alignment horizontal="right" vertical="center"/>
    </xf>
    <xf numFmtId="165" fontId="87" fillId="4" borderId="31" xfId="0" applyNumberFormat="1" applyFont="1" applyFill="1" applyBorder="1" applyAlignment="1">
      <alignment horizontal="right" vertical="center" wrapText="1"/>
    </xf>
    <xf numFmtId="166" fontId="87" fillId="23" borderId="31" xfId="2" applyNumberFormat="1" applyFont="1" applyFill="1" applyBorder="1" applyAlignment="1">
      <alignment horizontal="right" vertical="center"/>
    </xf>
    <xf numFmtId="171" fontId="87" fillId="4" borderId="31" xfId="0" applyNumberFormat="1" applyFont="1" applyFill="1" applyBorder="1" applyAlignment="1">
      <alignment horizontal="right" vertical="center"/>
    </xf>
    <xf numFmtId="166" fontId="118" fillId="4" borderId="31" xfId="2" applyNumberFormat="1" applyFont="1" applyFill="1" applyBorder="1" applyAlignment="1">
      <alignment horizontal="right" vertical="center"/>
    </xf>
    <xf numFmtId="166" fontId="121" fillId="4" borderId="31" xfId="2" applyNumberFormat="1" applyFont="1" applyFill="1" applyBorder="1" applyAlignment="1">
      <alignment horizontal="right" vertical="center"/>
    </xf>
    <xf numFmtId="167" fontId="114" fillId="2" borderId="31" xfId="2" applyNumberFormat="1" applyFont="1" applyFill="1" applyBorder="1" applyAlignment="1">
      <alignment horizontal="right" vertical="center"/>
    </xf>
    <xf numFmtId="166" fontId="114" fillId="2" borderId="31" xfId="2" applyNumberFormat="1" applyFont="1" applyFill="1" applyBorder="1" applyAlignment="1">
      <alignment horizontal="right" vertical="center"/>
    </xf>
    <xf numFmtId="166" fontId="118" fillId="2" borderId="0" xfId="2" applyNumberFormat="1" applyFont="1" applyFill="1" applyBorder="1" applyAlignment="1">
      <alignment horizontal="right" vertical="center"/>
    </xf>
    <xf numFmtId="9" fontId="118" fillId="4" borderId="31" xfId="3" applyFont="1" applyFill="1" applyBorder="1" applyAlignment="1">
      <alignment horizontal="right" vertical="center"/>
    </xf>
    <xf numFmtId="166" fontId="121" fillId="0" borderId="31" xfId="2" applyNumberFormat="1" applyFont="1" applyBorder="1" applyAlignment="1">
      <alignment horizontal="right" vertical="center"/>
    </xf>
    <xf numFmtId="9" fontId="115" fillId="0" borderId="31" xfId="3" applyFont="1" applyFill="1" applyBorder="1" applyAlignment="1">
      <alignment horizontal="right" vertical="center"/>
    </xf>
    <xf numFmtId="166" fontId="87" fillId="4" borderId="31" xfId="2" applyNumberFormat="1" applyFont="1" applyFill="1" applyBorder="1" applyAlignment="1">
      <alignment horizontal="right" vertical="center"/>
    </xf>
    <xf numFmtId="10" fontId="87" fillId="2" borderId="0" xfId="3" applyNumberFormat="1" applyFont="1" applyFill="1" applyBorder="1" applyAlignment="1">
      <alignment horizontal="right" vertical="center"/>
    </xf>
    <xf numFmtId="3" fontId="114" fillId="0" borderId="31" xfId="0" applyNumberFormat="1" applyFont="1" applyBorder="1" applyAlignment="1">
      <alignment horizontal="right" vertical="center" wrapText="1"/>
    </xf>
    <xf numFmtId="166" fontId="115" fillId="0" borderId="31" xfId="2" applyNumberFormat="1" applyFont="1" applyBorder="1" applyAlignment="1">
      <alignment horizontal="right" vertical="center"/>
    </xf>
    <xf numFmtId="3" fontId="115" fillId="0" borderId="31" xfId="0" applyNumberFormat="1" applyFont="1" applyBorder="1" applyAlignment="1">
      <alignment horizontal="right" vertical="center" wrapText="1"/>
    </xf>
    <xf numFmtId="3" fontId="118" fillId="0" borderId="31" xfId="0" applyNumberFormat="1" applyFont="1" applyBorder="1" applyAlignment="1">
      <alignment horizontal="right" vertical="center" wrapText="1"/>
    </xf>
    <xf numFmtId="166" fontId="121" fillId="2" borderId="31" xfId="2" applyNumberFormat="1" applyFont="1" applyFill="1" applyBorder="1" applyAlignment="1">
      <alignment horizontal="right" vertical="center"/>
    </xf>
    <xf numFmtId="166" fontId="121" fillId="2" borderId="0" xfId="2" applyNumberFormat="1" applyFont="1" applyFill="1" applyBorder="1" applyAlignment="1">
      <alignment horizontal="right" vertical="center"/>
    </xf>
    <xf numFmtId="166" fontId="86" fillId="4" borderId="31" xfId="2" applyNumberFormat="1" applyFont="1" applyFill="1" applyBorder="1" applyAlignment="1">
      <alignment horizontal="right" vertical="center"/>
    </xf>
    <xf numFmtId="167" fontId="87" fillId="4" borderId="31" xfId="2" applyNumberFormat="1" applyFont="1" applyFill="1" applyBorder="1" applyAlignment="1">
      <alignment horizontal="right" vertical="center"/>
    </xf>
    <xf numFmtId="9" fontId="87" fillId="4" borderId="31" xfId="3" applyFont="1" applyFill="1" applyBorder="1" applyAlignment="1">
      <alignment horizontal="right" vertical="center"/>
    </xf>
    <xf numFmtId="166" fontId="87" fillId="2" borderId="0" xfId="2" applyNumberFormat="1" applyFont="1" applyFill="1" applyBorder="1" applyAlignment="1">
      <alignment horizontal="right" vertical="center"/>
    </xf>
    <xf numFmtId="9" fontId="114" fillId="0" borderId="31" xfId="3" applyFont="1" applyBorder="1"/>
    <xf numFmtId="0" fontId="114" fillId="0" borderId="31" xfId="0" applyFont="1" applyBorder="1"/>
    <xf numFmtId="0" fontId="115" fillId="0" borderId="31" xfId="0" applyFont="1" applyBorder="1" applyAlignment="1">
      <alignment horizontal="left" vertical="center" indent="1"/>
    </xf>
    <xf numFmtId="0" fontId="115" fillId="0" borderId="31" xfId="0" applyFont="1" applyBorder="1" applyAlignment="1">
      <alignment horizontal="left" vertical="center" wrapText="1" indent="1"/>
    </xf>
    <xf numFmtId="0" fontId="115" fillId="2" borderId="31" xfId="0" applyFont="1" applyFill="1" applyBorder="1" applyAlignment="1">
      <alignment horizontal="left" vertical="center"/>
    </xf>
    <xf numFmtId="0" fontId="115" fillId="2" borderId="31" xfId="0" applyFont="1" applyFill="1" applyBorder="1" applyAlignment="1">
      <alignment horizontal="left" vertical="center" indent="1"/>
    </xf>
    <xf numFmtId="0" fontId="114" fillId="0" borderId="31" xfId="0" applyFont="1" applyBorder="1" applyAlignment="1">
      <alignment horizontal="left" vertical="center"/>
    </xf>
    <xf numFmtId="0" fontId="114" fillId="2" borderId="31" xfId="0" applyFont="1" applyFill="1" applyBorder="1" applyAlignment="1">
      <alignment horizontal="left" vertical="center"/>
    </xf>
    <xf numFmtId="0" fontId="118" fillId="2" borderId="0" xfId="0" applyFont="1" applyFill="1" applyAlignment="1">
      <alignment vertical="center"/>
    </xf>
    <xf numFmtId="0" fontId="114" fillId="0" borderId="31" xfId="0" applyFont="1" applyBorder="1" applyAlignment="1">
      <alignment horizontal="left" vertical="center" wrapText="1"/>
    </xf>
    <xf numFmtId="0" fontId="115" fillId="0" borderId="31" xfId="0" applyFont="1" applyBorder="1" applyAlignment="1">
      <alignment horizontal="left" vertical="center" wrapText="1"/>
    </xf>
    <xf numFmtId="0" fontId="115" fillId="2" borderId="31" xfId="0" applyFont="1" applyFill="1" applyBorder="1" applyAlignment="1">
      <alignment vertical="center"/>
    </xf>
    <xf numFmtId="0" fontId="114" fillId="2" borderId="31" xfId="0" applyFont="1" applyFill="1" applyBorder="1" applyAlignment="1">
      <alignment wrapText="1"/>
    </xf>
    <xf numFmtId="0" fontId="114" fillId="2" borderId="31" xfId="0" applyFont="1" applyFill="1" applyBorder="1" applyAlignment="1">
      <alignment horizontal="left" vertical="center" wrapText="1"/>
    </xf>
    <xf numFmtId="9" fontId="114" fillId="2" borderId="31" xfId="3" applyFont="1" applyFill="1" applyBorder="1" applyAlignment="1">
      <alignment horizontal="right"/>
    </xf>
    <xf numFmtId="0" fontId="8" fillId="2" borderId="0" xfId="0" applyFont="1" applyFill="1" applyAlignment="1">
      <alignment horizontal="right" wrapText="1"/>
    </xf>
    <xf numFmtId="166" fontId="115" fillId="0" borderId="31" xfId="2" applyNumberFormat="1" applyFont="1" applyBorder="1" applyAlignment="1">
      <alignment horizontal="right" vertical="center" wrapText="1"/>
    </xf>
    <xf numFmtId="166" fontId="121" fillId="0" borderId="31" xfId="2" applyNumberFormat="1" applyFont="1" applyBorder="1" applyAlignment="1">
      <alignment horizontal="right" vertical="center" wrapText="1"/>
    </xf>
    <xf numFmtId="166" fontId="115" fillId="2" borderId="31" xfId="2" applyNumberFormat="1" applyFont="1" applyFill="1" applyBorder="1" applyAlignment="1">
      <alignment horizontal="right" vertical="center" wrapText="1"/>
    </xf>
    <xf numFmtId="166" fontId="121" fillId="2" borderId="31" xfId="2" applyNumberFormat="1" applyFont="1" applyFill="1" applyBorder="1" applyAlignment="1">
      <alignment horizontal="right" vertical="center" wrapText="1"/>
    </xf>
    <xf numFmtId="3" fontId="118" fillId="2" borderId="31" xfId="0" applyNumberFormat="1" applyFont="1" applyFill="1" applyBorder="1" applyAlignment="1">
      <alignment vertical="center" wrapText="1"/>
    </xf>
    <xf numFmtId="166" fontId="115" fillId="2" borderId="31" xfId="2" applyNumberFormat="1" applyFont="1" applyFill="1" applyBorder="1" applyAlignment="1">
      <alignment vertical="center"/>
    </xf>
    <xf numFmtId="0" fontId="115" fillId="0" borderId="31" xfId="0" applyFont="1" applyBorder="1" applyAlignment="1">
      <alignment horizontal="right" vertical="center" wrapText="1"/>
    </xf>
    <xf numFmtId="2" fontId="115" fillId="0" borderId="31" xfId="0" applyNumberFormat="1" applyFont="1" applyBorder="1" applyAlignment="1">
      <alignment horizontal="right" vertical="center" wrapText="1"/>
    </xf>
    <xf numFmtId="1" fontId="115" fillId="0" borderId="31" xfId="0" applyNumberFormat="1" applyFont="1" applyBorder="1" applyAlignment="1">
      <alignment vertical="center"/>
    </xf>
    <xf numFmtId="2" fontId="115" fillId="0" borderId="31" xfId="0" applyNumberFormat="1" applyFont="1" applyBorder="1" applyAlignment="1">
      <alignment vertical="center"/>
    </xf>
    <xf numFmtId="165" fontId="115" fillId="0" borderId="31" xfId="0" applyNumberFormat="1" applyFont="1" applyBorder="1" applyAlignment="1">
      <alignment horizontal="right" vertical="center"/>
    </xf>
    <xf numFmtId="0" fontId="115" fillId="0" borderId="31" xfId="0" applyFont="1" applyBorder="1" applyAlignment="1">
      <alignment horizontal="right" vertical="center"/>
    </xf>
    <xf numFmtId="0" fontId="115" fillId="2" borderId="31" xfId="0" applyFont="1" applyFill="1" applyBorder="1" applyAlignment="1">
      <alignment horizontal="right" vertical="center"/>
    </xf>
    <xf numFmtId="0" fontId="115" fillId="0" borderId="31" xfId="0" applyFont="1" applyBorder="1" applyAlignment="1">
      <alignment wrapText="1"/>
    </xf>
    <xf numFmtId="0" fontId="121" fillId="20" borderId="6" xfId="0" applyFont="1" applyFill="1" applyBorder="1" applyAlignment="1">
      <alignment vertical="center" wrapText="1"/>
    </xf>
    <xf numFmtId="0" fontId="121" fillId="20" borderId="6" xfId="0" applyFont="1" applyFill="1" applyBorder="1" applyAlignment="1">
      <alignment horizontal="center" vertical="center"/>
    </xf>
    <xf numFmtId="0" fontId="114" fillId="2" borderId="6" xfId="0" applyFont="1" applyFill="1" applyBorder="1" applyAlignment="1">
      <alignment vertical="center" wrapText="1"/>
    </xf>
    <xf numFmtId="0" fontId="114" fillId="2" borderId="6" xfId="0" applyFont="1" applyFill="1" applyBorder="1" applyAlignment="1">
      <alignment horizontal="center" vertical="center" wrapText="1"/>
    </xf>
    <xf numFmtId="0" fontId="114" fillId="2" borderId="6" xfId="0" applyFont="1" applyFill="1" applyBorder="1" applyAlignment="1">
      <alignment horizontal="left" vertical="center" wrapText="1"/>
    </xf>
    <xf numFmtId="0" fontId="118" fillId="2" borderId="6" xfId="0" applyFont="1" applyFill="1" applyBorder="1" applyAlignment="1">
      <alignment vertical="center" wrapText="1"/>
    </xf>
    <xf numFmtId="0" fontId="118" fillId="2" borderId="6" xfId="0" applyFont="1" applyFill="1" applyBorder="1" applyAlignment="1">
      <alignment horizontal="center" vertical="center" wrapText="1"/>
    </xf>
    <xf numFmtId="0" fontId="118" fillId="0" borderId="31" xfId="0" applyFont="1" applyBorder="1" applyAlignment="1">
      <alignment horizontal="left" wrapText="1"/>
    </xf>
    <xf numFmtId="0" fontId="114" fillId="2" borderId="0" xfId="0" applyFont="1" applyFill="1" applyAlignment="1">
      <alignment horizontal="left"/>
    </xf>
    <xf numFmtId="0" fontId="114" fillId="2" borderId="0" xfId="0" applyFont="1" applyFill="1"/>
    <xf numFmtId="0" fontId="114" fillId="0" borderId="31" xfId="0" applyFont="1" applyBorder="1" applyAlignment="1">
      <alignment horizontal="left" wrapText="1"/>
    </xf>
    <xf numFmtId="0" fontId="114" fillId="2" borderId="7" xfId="0" applyFont="1" applyFill="1" applyBorder="1" applyAlignment="1">
      <alignment vertical="center" wrapText="1"/>
    </xf>
    <xf numFmtId="0" fontId="114" fillId="2" borderId="49" xfId="0" applyFont="1" applyFill="1" applyBorder="1" applyAlignment="1">
      <alignment vertical="center" wrapText="1"/>
    </xf>
    <xf numFmtId="0" fontId="114" fillId="2" borderId="50" xfId="0" applyFont="1" applyFill="1" applyBorder="1" applyAlignment="1">
      <alignment vertical="center" wrapText="1"/>
    </xf>
    <xf numFmtId="0" fontId="8" fillId="26" borderId="0" xfId="0" applyFont="1" applyFill="1"/>
    <xf numFmtId="0" fontId="8" fillId="4" borderId="0" xfId="0" applyFont="1" applyFill="1"/>
    <xf numFmtId="0" fontId="15" fillId="23" borderId="0" xfId="0" applyFont="1" applyFill="1" applyAlignment="1">
      <alignment vertical="center"/>
    </xf>
    <xf numFmtId="0" fontId="7" fillId="4" borderId="0" xfId="1" applyFont="1" applyFill="1" applyAlignment="1">
      <alignment horizontal="center" vertical="center"/>
    </xf>
    <xf numFmtId="0" fontId="9" fillId="4" borderId="0" xfId="0" applyFont="1" applyFill="1" applyAlignment="1">
      <alignment horizontal="right" vertical="center"/>
    </xf>
    <xf numFmtId="0" fontId="13" fillId="0" borderId="31" xfId="0" applyFont="1" applyBorder="1" applyAlignment="1">
      <alignment horizontal="right" vertical="center" wrapText="1"/>
    </xf>
    <xf numFmtId="0" fontId="66" fillId="0" borderId="48" xfId="0" applyFont="1" applyBorder="1" applyAlignment="1">
      <alignment vertical="center" wrapText="1"/>
    </xf>
    <xf numFmtId="0" fontId="13" fillId="0" borderId="48" xfId="0" applyFont="1" applyBorder="1" applyAlignment="1">
      <alignment vertical="center" wrapText="1"/>
    </xf>
    <xf numFmtId="0" fontId="13" fillId="0" borderId="48" xfId="0" applyFont="1" applyBorder="1" applyAlignment="1">
      <alignment vertical="center"/>
    </xf>
    <xf numFmtId="0" fontId="13" fillId="0" borderId="49" xfId="0" applyFont="1" applyBorder="1" applyAlignment="1">
      <alignment vertical="center" wrapText="1"/>
    </xf>
    <xf numFmtId="0" fontId="13" fillId="0" borderId="49" xfId="0" applyFont="1" applyBorder="1" applyAlignment="1">
      <alignment vertical="center"/>
    </xf>
    <xf numFmtId="0" fontId="13" fillId="0" borderId="50" xfId="0" applyFont="1" applyBorder="1" applyAlignment="1">
      <alignment vertical="center" wrapText="1"/>
    </xf>
    <xf numFmtId="0" fontId="13" fillId="0" borderId="50" xfId="0" applyFont="1" applyBorder="1" applyAlignment="1">
      <alignment vertical="center"/>
    </xf>
    <xf numFmtId="0" fontId="66" fillId="0" borderId="48" xfId="0" applyFont="1" applyBorder="1" applyAlignment="1">
      <alignment horizontal="left" vertical="center" wrapText="1"/>
    </xf>
    <xf numFmtId="0" fontId="14" fillId="0" borderId="48" xfId="0" applyFont="1" applyBorder="1" applyAlignment="1">
      <alignment horizontal="left" vertical="center" wrapText="1"/>
    </xf>
    <xf numFmtId="0" fontId="12" fillId="0" borderId="48" xfId="0" applyFont="1" applyBorder="1" applyAlignment="1">
      <alignment vertical="center"/>
    </xf>
    <xf numFmtId="0" fontId="112" fillId="2" borderId="0" xfId="0" applyFont="1" applyFill="1" applyAlignment="1">
      <alignment vertical="center"/>
    </xf>
    <xf numFmtId="0" fontId="13" fillId="2" borderId="51" xfId="0" applyFont="1" applyFill="1" applyBorder="1" applyAlignment="1">
      <alignment vertical="center" wrapText="1"/>
    </xf>
    <xf numFmtId="0" fontId="12" fillId="19" borderId="51" xfId="0" applyFont="1" applyFill="1" applyBorder="1" applyAlignment="1">
      <alignment vertical="center" wrapText="1"/>
    </xf>
    <xf numFmtId="0" fontId="13" fillId="19" borderId="51" xfId="0" applyFont="1" applyFill="1" applyBorder="1" applyAlignment="1">
      <alignment horizontal="left" vertical="center" wrapText="1"/>
    </xf>
    <xf numFmtId="0" fontId="13" fillId="2" borderId="52" xfId="0" applyFont="1" applyFill="1" applyBorder="1" applyAlignment="1">
      <alignment vertical="center"/>
    </xf>
    <xf numFmtId="0" fontId="13" fillId="19" borderId="52" xfId="0" applyFont="1" applyFill="1" applyBorder="1" applyAlignment="1">
      <alignment vertical="center"/>
    </xf>
    <xf numFmtId="0" fontId="13" fillId="2" borderId="53" xfId="0" applyFont="1" applyFill="1" applyBorder="1" applyAlignment="1">
      <alignment vertical="center" wrapText="1"/>
    </xf>
    <xf numFmtId="0" fontId="13" fillId="19" borderId="53" xfId="0" quotePrefix="1" applyFont="1" applyFill="1" applyBorder="1" applyAlignment="1">
      <alignment vertical="center" wrapText="1"/>
    </xf>
    <xf numFmtId="0" fontId="13" fillId="19" borderId="53" xfId="0" quotePrefix="1" applyFont="1" applyFill="1" applyBorder="1" applyAlignment="1">
      <alignment horizontal="left" vertical="center" wrapText="1"/>
    </xf>
    <xf numFmtId="0" fontId="115" fillId="2" borderId="31" xfId="0" applyFont="1" applyFill="1" applyBorder="1"/>
    <xf numFmtId="0" fontId="115" fillId="0" borderId="31" xfId="0" applyFont="1" applyBorder="1"/>
    <xf numFmtId="0" fontId="66" fillId="0" borderId="54" xfId="0" applyFont="1" applyBorder="1" applyAlignment="1">
      <alignment vertical="center" wrapText="1"/>
    </xf>
    <xf numFmtId="0" fontId="13" fillId="0" borderId="54" xfId="0" applyFont="1" applyBorder="1" applyAlignment="1">
      <alignment vertical="center"/>
    </xf>
    <xf numFmtId="0" fontId="13" fillId="0" borderId="54" xfId="0" applyFont="1" applyBorder="1" applyAlignment="1">
      <alignment horizontal="center" vertical="center" wrapText="1"/>
    </xf>
    <xf numFmtId="9" fontId="112" fillId="0" borderId="54" xfId="3" applyFont="1" applyFill="1" applyBorder="1" applyAlignment="1">
      <alignment vertical="center"/>
    </xf>
    <xf numFmtId="0" fontId="66" fillId="0" borderId="48" xfId="0" applyFont="1" applyBorder="1" applyAlignment="1">
      <alignment vertical="center"/>
    </xf>
    <xf numFmtId="0" fontId="141" fillId="0" borderId="54" xfId="0" applyFont="1" applyBorder="1" applyAlignment="1">
      <alignment vertical="center" wrapText="1"/>
    </xf>
    <xf numFmtId="0" fontId="13" fillId="2" borderId="0" xfId="0" applyFont="1" applyFill="1" applyAlignment="1">
      <alignment horizontal="right" vertical="center"/>
    </xf>
    <xf numFmtId="0" fontId="102"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indent="1"/>
    </xf>
    <xf numFmtId="0" fontId="8" fillId="4" borderId="0" xfId="0" applyFont="1" applyFill="1" applyAlignment="1">
      <alignment horizontal="left" indent="1"/>
    </xf>
    <xf numFmtId="0" fontId="66" fillId="4" borderId="51" xfId="0" applyFont="1" applyFill="1" applyBorder="1" applyAlignment="1">
      <alignment vertical="center"/>
    </xf>
    <xf numFmtId="0" fontId="66" fillId="4" borderId="44" xfId="0" applyFont="1" applyFill="1" applyBorder="1" applyAlignment="1">
      <alignment vertical="center"/>
    </xf>
    <xf numFmtId="0" fontId="83" fillId="8" borderId="31" xfId="0" applyFont="1" applyFill="1" applyBorder="1" applyAlignment="1">
      <alignment vertical="center"/>
    </xf>
    <xf numFmtId="9" fontId="87" fillId="4" borderId="31" xfId="0" applyNumberFormat="1" applyFont="1" applyFill="1" applyBorder="1" applyAlignment="1">
      <alignment horizontal="right" vertical="center"/>
    </xf>
    <xf numFmtId="9" fontId="87" fillId="2" borderId="0" xfId="0" applyNumberFormat="1" applyFont="1" applyFill="1" applyAlignment="1">
      <alignment horizontal="right" vertical="center"/>
    </xf>
    <xf numFmtId="166" fontId="86" fillId="4" borderId="31" xfId="0" applyNumberFormat="1" applyFont="1" applyFill="1" applyBorder="1" applyAlignment="1">
      <alignment horizontal="right" vertical="center"/>
    </xf>
    <xf numFmtId="9" fontId="10" fillId="2" borderId="0" xfId="3" applyFont="1" applyFill="1" applyAlignment="1">
      <alignment horizontal="right" vertical="center"/>
    </xf>
    <xf numFmtId="0" fontId="30" fillId="5" borderId="0" xfId="0" applyFont="1" applyFill="1" applyAlignment="1">
      <alignment horizontal="right" vertical="center"/>
    </xf>
    <xf numFmtId="164" fontId="114" fillId="4" borderId="31" xfId="3" applyNumberFormat="1" applyFont="1" applyFill="1" applyBorder="1" applyAlignment="1">
      <alignment horizontal="right" vertical="center"/>
    </xf>
    <xf numFmtId="3" fontId="115" fillId="0" borderId="31" xfId="0" applyNumberFormat="1" applyFont="1" applyBorder="1" applyAlignment="1">
      <alignment horizontal="right" vertical="center"/>
    </xf>
    <xf numFmtId="164" fontId="87" fillId="4" borderId="31" xfId="3" applyNumberFormat="1" applyFont="1" applyFill="1" applyBorder="1" applyAlignment="1">
      <alignment horizontal="right" vertical="center"/>
    </xf>
    <xf numFmtId="3" fontId="114" fillId="0" borderId="31" xfId="0" applyNumberFormat="1" applyFont="1" applyBorder="1" applyAlignment="1">
      <alignment horizontal="right" vertical="center"/>
    </xf>
    <xf numFmtId="0" fontId="114" fillId="2" borderId="0" xfId="0" applyFont="1" applyFill="1" applyAlignment="1">
      <alignment horizontal="right" vertical="center"/>
    </xf>
    <xf numFmtId="164" fontId="114" fillId="2" borderId="0" xfId="3" applyNumberFormat="1" applyFont="1" applyFill="1" applyBorder="1" applyAlignment="1">
      <alignment horizontal="right" vertical="center"/>
    </xf>
    <xf numFmtId="2" fontId="114" fillId="2" borderId="0" xfId="0" applyNumberFormat="1" applyFont="1" applyFill="1" applyAlignment="1">
      <alignment horizontal="right" vertical="center"/>
    </xf>
    <xf numFmtId="2" fontId="114" fillId="2" borderId="0" xfId="3" applyNumberFormat="1" applyFont="1" applyFill="1" applyBorder="1" applyAlignment="1">
      <alignment horizontal="right" vertical="center"/>
    </xf>
    <xf numFmtId="0" fontId="118" fillId="0" borderId="31" xfId="0" applyFont="1" applyBorder="1" applyAlignment="1">
      <alignment horizontal="right" vertical="center"/>
    </xf>
    <xf numFmtId="2" fontId="114" fillId="2" borderId="0" xfId="3" applyNumberFormat="1" applyFont="1" applyFill="1" applyAlignment="1">
      <alignment horizontal="right" vertical="center"/>
    </xf>
    <xf numFmtId="9" fontId="118" fillId="0" borderId="31" xfId="3" applyFont="1" applyBorder="1" applyAlignment="1">
      <alignment horizontal="right" vertical="center"/>
    </xf>
    <xf numFmtId="164" fontId="114" fillId="2" borderId="0" xfId="3" applyNumberFormat="1" applyFont="1" applyFill="1" applyAlignment="1">
      <alignment horizontal="right" vertical="center"/>
    </xf>
    <xf numFmtId="9" fontId="118" fillId="2" borderId="0" xfId="3" applyFont="1" applyFill="1" applyBorder="1" applyAlignment="1">
      <alignment horizontal="right" vertical="center"/>
    </xf>
    <xf numFmtId="0" fontId="114" fillId="4" borderId="31" xfId="0" applyFont="1" applyFill="1" applyBorder="1" applyAlignment="1">
      <alignment horizontal="right" vertical="center"/>
    </xf>
    <xf numFmtId="0" fontId="8" fillId="2" borderId="0" xfId="0" applyFont="1" applyFill="1" applyAlignment="1">
      <alignment horizontal="right" vertical="center"/>
    </xf>
    <xf numFmtId="9" fontId="114" fillId="4" borderId="31" xfId="3" applyFont="1" applyFill="1" applyBorder="1" applyAlignment="1">
      <alignment horizontal="right" vertical="center"/>
    </xf>
    <xf numFmtId="164" fontId="87" fillId="2" borderId="0" xfId="3" applyNumberFormat="1" applyFont="1" applyFill="1" applyBorder="1" applyAlignment="1">
      <alignment horizontal="right" vertical="center"/>
    </xf>
    <xf numFmtId="166" fontId="114" fillId="2" borderId="31" xfId="0" applyNumberFormat="1" applyFont="1" applyFill="1" applyBorder="1" applyAlignment="1">
      <alignment horizontal="right" vertical="center"/>
    </xf>
    <xf numFmtId="170" fontId="115" fillId="0" borderId="31" xfId="0" applyNumberFormat="1" applyFont="1" applyBorder="1" applyAlignment="1">
      <alignment horizontal="right" vertical="center"/>
    </xf>
    <xf numFmtId="9" fontId="7" fillId="2" borderId="0" xfId="3" applyFont="1" applyFill="1" applyAlignment="1">
      <alignment horizontal="right" vertical="center"/>
    </xf>
    <xf numFmtId="0" fontId="7" fillId="2" borderId="0" xfId="0" applyFont="1" applyFill="1" applyAlignment="1">
      <alignment horizontal="right" vertical="center"/>
    </xf>
    <xf numFmtId="164" fontId="8" fillId="2" borderId="0" xfId="3" applyNumberFormat="1" applyFont="1" applyFill="1" applyBorder="1" applyAlignment="1">
      <alignment horizontal="right" vertical="center"/>
    </xf>
    <xf numFmtId="0" fontId="35" fillId="5" borderId="0" xfId="0" applyFont="1" applyFill="1" applyAlignment="1">
      <alignment horizontal="right" vertical="center" wrapText="1"/>
    </xf>
    <xf numFmtId="10" fontId="7" fillId="2" borderId="0" xfId="0" applyNumberFormat="1" applyFont="1" applyFill="1" applyAlignment="1">
      <alignment horizontal="right" vertical="center"/>
    </xf>
    <xf numFmtId="168" fontId="110" fillId="5" borderId="0" xfId="0" applyNumberFormat="1" applyFont="1" applyFill="1" applyAlignment="1">
      <alignment horizontal="right" vertical="center"/>
    </xf>
    <xf numFmtId="3" fontId="10" fillId="4" borderId="31" xfId="0" applyNumberFormat="1" applyFont="1" applyFill="1" applyBorder="1" applyAlignment="1">
      <alignment horizontal="right" vertical="center"/>
    </xf>
    <xf numFmtId="3" fontId="7" fillId="0" borderId="31" xfId="0" applyNumberFormat="1" applyFont="1" applyBorder="1" applyAlignment="1">
      <alignment horizontal="right" vertical="center"/>
    </xf>
    <xf numFmtId="170" fontId="7" fillId="0" borderId="31" xfId="0" applyNumberFormat="1" applyFont="1" applyBorder="1" applyAlignment="1">
      <alignment horizontal="right" vertical="center"/>
    </xf>
    <xf numFmtId="164" fontId="8" fillId="4" borderId="31" xfId="3" applyNumberFormat="1" applyFont="1" applyFill="1" applyBorder="1" applyAlignment="1">
      <alignment horizontal="right" vertical="center"/>
    </xf>
    <xf numFmtId="0" fontId="8" fillId="2" borderId="31" xfId="0" applyFont="1" applyFill="1" applyBorder="1" applyAlignment="1">
      <alignment horizontal="right" vertical="center"/>
    </xf>
    <xf numFmtId="0" fontId="8" fillId="4" borderId="31" xfId="0" applyFont="1" applyFill="1" applyBorder="1" applyAlignment="1">
      <alignment horizontal="right" vertical="center"/>
    </xf>
    <xf numFmtId="3" fontId="121" fillId="4" borderId="31" xfId="0" applyNumberFormat="1" applyFont="1" applyFill="1" applyBorder="1" applyAlignment="1">
      <alignment horizontal="right" vertical="center"/>
    </xf>
    <xf numFmtId="3" fontId="52" fillId="4" borderId="31" xfId="0" applyNumberFormat="1" applyFont="1" applyFill="1" applyBorder="1" applyAlignment="1">
      <alignment horizontal="right" vertical="center"/>
    </xf>
    <xf numFmtId="0" fontId="81" fillId="10" borderId="31" xfId="0" applyFont="1" applyFill="1" applyBorder="1" applyAlignment="1">
      <alignment horizontal="right" vertical="center" wrapText="1"/>
    </xf>
    <xf numFmtId="3" fontId="7" fillId="0" borderId="31" xfId="0" applyNumberFormat="1" applyFont="1" applyBorder="1" applyAlignment="1">
      <alignment horizontal="right" vertical="center" wrapText="1"/>
    </xf>
    <xf numFmtId="171" fontId="114" fillId="5" borderId="31" xfId="0" applyNumberFormat="1" applyFont="1" applyFill="1" applyBorder="1" applyAlignment="1">
      <alignment horizontal="right" vertical="center"/>
    </xf>
    <xf numFmtId="0" fontId="52" fillId="10" borderId="31" xfId="0" applyFont="1" applyFill="1" applyBorder="1" applyAlignment="1">
      <alignment horizontal="left" vertical="center" wrapText="1"/>
    </xf>
    <xf numFmtId="0" fontId="115" fillId="5" borderId="31" xfId="0" applyFont="1" applyFill="1" applyBorder="1" applyAlignment="1">
      <alignment horizontal="left" vertical="center" wrapText="1"/>
    </xf>
    <xf numFmtId="0" fontId="121" fillId="5" borderId="31"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45" fillId="2" borderId="0" xfId="0" applyFont="1" applyFill="1" applyAlignment="1">
      <alignment horizontal="left" vertical="center"/>
    </xf>
    <xf numFmtId="0" fontId="120" fillId="0" borderId="31" xfId="0" applyFont="1" applyBorder="1" applyAlignment="1">
      <alignment horizontal="left" vertical="center" wrapText="1"/>
    </xf>
    <xf numFmtId="0" fontId="30" fillId="5" borderId="0" xfId="0" applyFont="1" applyFill="1" applyAlignment="1">
      <alignment horizontal="left" vertical="center"/>
    </xf>
    <xf numFmtId="0" fontId="22" fillId="0" borderId="31" xfId="0" applyFont="1" applyBorder="1" applyAlignment="1">
      <alignment horizontal="left" vertical="center" wrapText="1"/>
    </xf>
    <xf numFmtId="0" fontId="30" fillId="5" borderId="0" xfId="0" applyFont="1" applyFill="1" applyAlignment="1">
      <alignment horizontal="left" vertical="center" wrapText="1"/>
    </xf>
    <xf numFmtId="0" fontId="52" fillId="8" borderId="31" xfId="0" applyFont="1" applyFill="1" applyBorder="1" applyAlignment="1">
      <alignment horizontal="left" vertical="center"/>
    </xf>
    <xf numFmtId="0" fontId="119" fillId="5" borderId="31" xfId="0" applyFont="1" applyFill="1" applyBorder="1" applyAlignment="1">
      <alignment horizontal="left" vertical="center"/>
    </xf>
    <xf numFmtId="0" fontId="119" fillId="0" borderId="31" xfId="0" applyFont="1" applyBorder="1" applyAlignment="1">
      <alignment horizontal="left" vertical="center"/>
    </xf>
    <xf numFmtId="0" fontId="8" fillId="2" borderId="31" xfId="0" applyFont="1" applyFill="1" applyBorder="1" applyAlignment="1">
      <alignment horizontal="left" vertical="center"/>
    </xf>
    <xf numFmtId="0" fontId="7" fillId="2" borderId="1" xfId="0" applyFont="1" applyFill="1" applyBorder="1" applyAlignment="1">
      <alignment horizontal="left" vertical="center" wrapText="1"/>
    </xf>
    <xf numFmtId="0" fontId="21" fillId="4" borderId="31" xfId="0" applyFont="1" applyFill="1" applyBorder="1" applyAlignment="1">
      <alignment horizontal="left" vertical="center"/>
    </xf>
    <xf numFmtId="0" fontId="21" fillId="2" borderId="31" xfId="0" applyFont="1" applyFill="1" applyBorder="1" applyAlignment="1">
      <alignment horizontal="left" vertical="center"/>
    </xf>
    <xf numFmtId="0" fontId="21" fillId="2" borderId="0" xfId="0" applyFont="1" applyFill="1" applyAlignment="1">
      <alignment horizontal="left" vertical="center"/>
    </xf>
    <xf numFmtId="0" fontId="21" fillId="0" borderId="31" xfId="0" applyFont="1" applyBorder="1" applyAlignment="1">
      <alignment horizontal="left" vertical="center"/>
    </xf>
    <xf numFmtId="0" fontId="10" fillId="0" borderId="31" xfId="0" applyFont="1" applyBorder="1" applyAlignment="1">
      <alignment horizontal="left" vertical="center"/>
    </xf>
    <xf numFmtId="0" fontId="10" fillId="2" borderId="0" xfId="0" applyFont="1" applyFill="1" applyAlignment="1">
      <alignment horizontal="left" vertical="center" wrapText="1"/>
    </xf>
    <xf numFmtId="0" fontId="10" fillId="4" borderId="31" xfId="0" applyFont="1" applyFill="1" applyBorder="1" applyAlignment="1">
      <alignment horizontal="left" vertical="center"/>
    </xf>
    <xf numFmtId="0" fontId="52" fillId="2" borderId="0" xfId="0" applyFont="1" applyFill="1" applyAlignment="1">
      <alignment horizontal="left" vertical="center" wrapText="1"/>
    </xf>
    <xf numFmtId="0" fontId="54" fillId="2" borderId="0" xfId="0" applyFont="1" applyFill="1" applyAlignment="1">
      <alignment horizontal="left" vertical="center"/>
    </xf>
    <xf numFmtId="6" fontId="119" fillId="0" borderId="31" xfId="0" applyNumberFormat="1" applyFont="1" applyBorder="1" applyAlignment="1">
      <alignment horizontal="left" wrapText="1"/>
    </xf>
    <xf numFmtId="6" fontId="120" fillId="0" borderId="31" xfId="0" applyNumberFormat="1" applyFont="1" applyBorder="1" applyAlignment="1">
      <alignment horizontal="left" wrapText="1"/>
    </xf>
    <xf numFmtId="166" fontId="114" fillId="2" borderId="0" xfId="2" applyNumberFormat="1" applyFont="1" applyFill="1" applyBorder="1" applyAlignment="1">
      <alignment horizontal="left"/>
    </xf>
    <xf numFmtId="0" fontId="143" fillId="0" borderId="31" xfId="0" applyFont="1" applyBorder="1" applyAlignment="1">
      <alignment horizontal="left" wrapText="1"/>
    </xf>
    <xf numFmtId="0" fontId="144" fillId="2" borderId="31" xfId="0" applyFont="1" applyFill="1" applyBorder="1" applyAlignment="1">
      <alignment horizontal="left"/>
    </xf>
    <xf numFmtId="166" fontId="145" fillId="2" borderId="0" xfId="2" applyNumberFormat="1" applyFont="1" applyFill="1" applyBorder="1" applyAlignment="1">
      <alignment horizontal="left"/>
    </xf>
    <xf numFmtId="0" fontId="114" fillId="0" borderId="31" xfId="0" applyFont="1" applyBorder="1" applyAlignment="1">
      <alignment wrapText="1"/>
    </xf>
    <xf numFmtId="0" fontId="114" fillId="0" borderId="31" xfId="0" applyFont="1" applyBorder="1" applyAlignment="1">
      <alignment vertical="top" wrapText="1"/>
    </xf>
    <xf numFmtId="0" fontId="114" fillId="0" borderId="31" xfId="0" applyFont="1" applyBorder="1" applyAlignment="1">
      <alignment horizontal="left" vertical="top" wrapText="1"/>
    </xf>
    <xf numFmtId="166" fontId="114" fillId="2" borderId="0" xfId="2" applyNumberFormat="1" applyFont="1" applyFill="1" applyBorder="1" applyAlignment="1"/>
    <xf numFmtId="3" fontId="121" fillId="0" borderId="31" xfId="0" applyNumberFormat="1" applyFont="1" applyBorder="1" applyAlignment="1">
      <alignment wrapText="1"/>
    </xf>
    <xf numFmtId="0" fontId="115" fillId="2" borderId="0" xfId="0" applyFont="1" applyFill="1"/>
    <xf numFmtId="3" fontId="115" fillId="0" borderId="31" xfId="0" applyNumberFormat="1" applyFont="1" applyBorder="1"/>
    <xf numFmtId="164" fontId="37" fillId="4" borderId="31" xfId="3" applyNumberFormat="1" applyFont="1" applyFill="1" applyBorder="1" applyAlignment="1">
      <alignment horizontal="right" vertical="center"/>
    </xf>
    <xf numFmtId="164" fontId="67" fillId="4" borderId="31" xfId="3" applyNumberFormat="1" applyFont="1" applyFill="1" applyBorder="1" applyAlignment="1">
      <alignment horizontal="right" vertical="center"/>
    </xf>
    <xf numFmtId="164" fontId="46" fillId="4" borderId="31" xfId="3" applyNumberFormat="1" applyFont="1" applyFill="1" applyBorder="1" applyAlignment="1">
      <alignment horizontal="right" vertical="center"/>
    </xf>
    <xf numFmtId="0" fontId="46" fillId="2" borderId="0" xfId="0" applyFont="1" applyFill="1" applyAlignment="1">
      <alignment vertical="center"/>
    </xf>
    <xf numFmtId="0" fontId="118" fillId="12" borderId="53" xfId="0" applyFont="1" applyFill="1" applyBorder="1" applyAlignment="1">
      <alignment horizontal="left" vertical="center" wrapText="1"/>
    </xf>
    <xf numFmtId="0" fontId="13" fillId="0" borderId="53" xfId="0" applyFont="1" applyBorder="1" applyAlignment="1">
      <alignment vertical="center" wrapText="1"/>
    </xf>
    <xf numFmtId="0" fontId="12" fillId="0" borderId="53" xfId="0" applyFont="1" applyBorder="1" applyAlignment="1">
      <alignment vertical="center"/>
    </xf>
    <xf numFmtId="0" fontId="12" fillId="0" borderId="53" xfId="0" applyFont="1" applyBorder="1" applyAlignment="1">
      <alignment vertical="center" wrapText="1"/>
    </xf>
    <xf numFmtId="0" fontId="12" fillId="0" borderId="53" xfId="0" applyFont="1" applyBorder="1" applyAlignment="1">
      <alignment horizontal="right" vertical="center" wrapText="1"/>
    </xf>
    <xf numFmtId="0" fontId="13" fillId="0" borderId="53" xfId="0" applyFont="1" applyBorder="1" applyAlignment="1">
      <alignment horizontal="left" vertical="center" wrapText="1"/>
    </xf>
    <xf numFmtId="0" fontId="66" fillId="14" borderId="52" xfId="0" applyFont="1" applyFill="1" applyBorder="1" applyAlignment="1">
      <alignment vertical="center" wrapText="1"/>
    </xf>
    <xf numFmtId="0" fontId="66" fillId="14" borderId="52" xfId="0" applyFont="1" applyFill="1" applyBorder="1" applyAlignment="1">
      <alignment horizontal="right" vertical="center" wrapText="1"/>
    </xf>
    <xf numFmtId="0" fontId="12" fillId="0" borderId="53" xfId="0" applyFont="1" applyBorder="1" applyAlignment="1">
      <alignment horizontal="right" vertical="center"/>
    </xf>
    <xf numFmtId="0" fontId="12" fillId="0" borderId="53" xfId="0" applyFont="1" applyBorder="1" applyAlignment="1">
      <alignment horizontal="left" vertical="center" wrapText="1"/>
    </xf>
    <xf numFmtId="0" fontId="13" fillId="19" borderId="32" xfId="0" applyFont="1" applyFill="1" applyBorder="1" applyAlignment="1">
      <alignment vertical="center" wrapText="1"/>
    </xf>
    <xf numFmtId="0" fontId="12" fillId="19" borderId="32" xfId="0" applyFont="1" applyFill="1" applyBorder="1" applyAlignment="1">
      <alignment vertical="center"/>
    </xf>
    <xf numFmtId="0" fontId="12" fillId="29" borderId="53" xfId="0" applyFont="1" applyFill="1" applyBorder="1" applyAlignment="1">
      <alignment vertical="center"/>
    </xf>
    <xf numFmtId="0" fontId="135" fillId="13" borderId="38" xfId="0" applyFont="1" applyFill="1" applyBorder="1" applyAlignment="1">
      <alignment vertical="center"/>
    </xf>
    <xf numFmtId="0" fontId="80" fillId="32" borderId="55" xfId="0" applyFont="1" applyFill="1" applyBorder="1" applyAlignment="1">
      <alignment horizontal="left" vertical="center" wrapText="1"/>
    </xf>
    <xf numFmtId="0" fontId="65" fillId="0" borderId="52" xfId="0" applyFont="1" applyBorder="1" applyAlignment="1">
      <alignment vertical="center" wrapText="1"/>
    </xf>
    <xf numFmtId="0" fontId="80" fillId="32" borderId="57" xfId="0" applyFont="1" applyFill="1" applyBorder="1" applyAlignment="1">
      <alignment horizontal="left" vertical="center" wrapText="1"/>
    </xf>
    <xf numFmtId="0" fontId="65" fillId="0" borderId="53" xfId="0" applyFont="1" applyBorder="1" applyAlignment="1">
      <alignment vertical="center"/>
    </xf>
    <xf numFmtId="0" fontId="135" fillId="13" borderId="42" xfId="0" applyFont="1" applyFill="1" applyBorder="1" applyAlignment="1">
      <alignment vertical="center"/>
    </xf>
    <xf numFmtId="0" fontId="136" fillId="13" borderId="0" xfId="0" applyFont="1" applyFill="1" applyAlignment="1">
      <alignment vertical="center"/>
    </xf>
    <xf numFmtId="0" fontId="19" fillId="13" borderId="0" xfId="0" applyFont="1" applyFill="1" applyAlignment="1">
      <alignment vertical="center"/>
    </xf>
    <xf numFmtId="0" fontId="19" fillId="13" borderId="43" xfId="0" applyFont="1" applyFill="1" applyBorder="1" applyAlignment="1">
      <alignment vertical="center"/>
    </xf>
    <xf numFmtId="0" fontId="13" fillId="0" borderId="52" xfId="0" applyFont="1" applyBorder="1" applyAlignment="1">
      <alignment vertical="center" wrapText="1"/>
    </xf>
    <xf numFmtId="0" fontId="65" fillId="0" borderId="53" xfId="0" applyFont="1" applyBorder="1" applyAlignment="1">
      <alignment vertical="center" wrapText="1"/>
    </xf>
    <xf numFmtId="0" fontId="148" fillId="2" borderId="0" xfId="0" applyFont="1" applyFill="1"/>
    <xf numFmtId="0" fontId="13" fillId="36" borderId="0" xfId="0" applyFont="1" applyFill="1"/>
    <xf numFmtId="0" fontId="13" fillId="36" borderId="0" xfId="0" applyFont="1" applyFill="1" applyAlignment="1">
      <alignment horizontal="left" indent="1"/>
    </xf>
    <xf numFmtId="0" fontId="13" fillId="36" borderId="0" xfId="0" applyFont="1" applyFill="1" applyAlignment="1">
      <alignment wrapText="1"/>
    </xf>
    <xf numFmtId="0" fontId="8" fillId="36" borderId="0" xfId="0" applyFont="1" applyFill="1"/>
    <xf numFmtId="0" fontId="149" fillId="23" borderId="0" xfId="0" applyFont="1" applyFill="1" applyAlignment="1">
      <alignment horizontal="left" vertical="center" indent="1"/>
    </xf>
    <xf numFmtId="0" fontId="150" fillId="4" borderId="0" xfId="1" applyFont="1" applyFill="1" applyAlignment="1">
      <alignment horizontal="left" indent="1"/>
    </xf>
    <xf numFmtId="0" fontId="151" fillId="4" borderId="0" xfId="0" applyFont="1" applyFill="1"/>
    <xf numFmtId="0" fontId="150" fillId="4" borderId="0" xfId="1" applyFont="1" applyFill="1" applyBorder="1" applyAlignment="1">
      <alignment horizontal="left" indent="1"/>
    </xf>
    <xf numFmtId="0" fontId="149" fillId="5" borderId="0" xfId="0" applyFont="1" applyFill="1" applyAlignment="1">
      <alignment horizontal="left" vertical="center"/>
    </xf>
    <xf numFmtId="0" fontId="151" fillId="2" borderId="0" xfId="0" applyFont="1" applyFill="1"/>
    <xf numFmtId="0" fontId="19" fillId="36" borderId="32" xfId="0" applyFont="1" applyFill="1" applyBorder="1" applyAlignment="1">
      <alignment vertical="center" wrapText="1"/>
    </xf>
    <xf numFmtId="0" fontId="25" fillId="36" borderId="8" xfId="0" applyFont="1" applyFill="1" applyBorder="1" applyAlignment="1">
      <alignment horizontal="left" vertical="center"/>
    </xf>
    <xf numFmtId="0" fontId="25" fillId="36" borderId="8" xfId="0" applyFont="1" applyFill="1" applyBorder="1" applyAlignment="1">
      <alignment vertical="center"/>
    </xf>
    <xf numFmtId="0" fontId="25" fillId="36" borderId="8" xfId="0" applyFont="1" applyFill="1" applyBorder="1" applyAlignment="1">
      <alignment horizontal="right" vertical="center"/>
    </xf>
    <xf numFmtId="0" fontId="152" fillId="2" borderId="0" xfId="0" applyFont="1" applyFill="1" applyAlignment="1">
      <alignment horizontal="left" vertical="center"/>
    </xf>
    <xf numFmtId="0" fontId="154" fillId="2" borderId="49" xfId="0" applyFont="1" applyFill="1" applyBorder="1" applyAlignment="1">
      <alignment horizontal="right" vertical="center" wrapText="1"/>
    </xf>
    <xf numFmtId="0" fontId="156" fillId="2" borderId="0" xfId="0" applyFont="1" applyFill="1" applyAlignment="1">
      <alignment horizontal="left" vertical="center"/>
    </xf>
    <xf numFmtId="0" fontId="154" fillId="4" borderId="45" xfId="0" applyFont="1" applyFill="1" applyBorder="1" applyAlignment="1">
      <alignment horizontal="right" vertical="center"/>
    </xf>
    <xf numFmtId="0" fontId="154" fillId="4" borderId="46" xfId="0" applyFont="1" applyFill="1" applyBorder="1" applyAlignment="1">
      <alignment horizontal="right" vertical="center" wrapText="1"/>
    </xf>
    <xf numFmtId="0" fontId="104" fillId="36" borderId="32" xfId="0" applyFont="1" applyFill="1" applyBorder="1" applyAlignment="1">
      <alignment vertical="center"/>
    </xf>
    <xf numFmtId="0" fontId="104" fillId="36" borderId="32" xfId="0" applyFont="1" applyFill="1" applyBorder="1" applyAlignment="1">
      <alignment horizontal="right" vertical="center"/>
    </xf>
    <xf numFmtId="3" fontId="153" fillId="4" borderId="31" xfId="0" applyNumberFormat="1" applyFont="1" applyFill="1" applyBorder="1" applyAlignment="1">
      <alignment horizontal="right"/>
    </xf>
    <xf numFmtId="0" fontId="153" fillId="4" borderId="31" xfId="0" applyFont="1" applyFill="1" applyBorder="1" applyAlignment="1">
      <alignment horizontal="right"/>
    </xf>
    <xf numFmtId="9" fontId="153" fillId="4" borderId="31" xfId="3" applyFont="1" applyFill="1" applyBorder="1" applyAlignment="1">
      <alignment horizontal="right"/>
    </xf>
    <xf numFmtId="9" fontId="153" fillId="4" borderId="31" xfId="0" applyNumberFormat="1" applyFont="1" applyFill="1" applyBorder="1" applyAlignment="1">
      <alignment horizontal="right"/>
    </xf>
    <xf numFmtId="1" fontId="153" fillId="4" borderId="31" xfId="0" applyNumberFormat="1" applyFont="1" applyFill="1" applyBorder="1" applyAlignment="1">
      <alignment horizontal="right"/>
    </xf>
    <xf numFmtId="2" fontId="153" fillId="4" borderId="31" xfId="0" applyNumberFormat="1" applyFont="1" applyFill="1" applyBorder="1" applyAlignment="1">
      <alignment horizontal="right"/>
    </xf>
    <xf numFmtId="0" fontId="16" fillId="36" borderId="31" xfId="0" applyFont="1" applyFill="1" applyBorder="1" applyAlignment="1">
      <alignment horizontal="right" vertical="center" wrapText="1"/>
    </xf>
    <xf numFmtId="0" fontId="104" fillId="36" borderId="14" xfId="0" applyFont="1" applyFill="1" applyBorder="1" applyAlignment="1">
      <alignment vertical="center" wrapText="1"/>
    </xf>
    <xf numFmtId="0" fontId="104" fillId="36" borderId="14" xfId="0" applyFont="1" applyFill="1" applyBorder="1" applyAlignment="1">
      <alignment horizontal="center" vertical="center" wrapText="1"/>
    </xf>
    <xf numFmtId="0" fontId="149" fillId="5" borderId="0" xfId="0" applyFont="1" applyFill="1" applyAlignment="1">
      <alignment vertical="center"/>
    </xf>
    <xf numFmtId="0" fontId="137" fillId="38" borderId="0" xfId="0" applyFont="1" applyFill="1" applyAlignment="1">
      <alignment horizontal="left" vertical="center"/>
    </xf>
    <xf numFmtId="0" fontId="41" fillId="38" borderId="0" xfId="0" applyFont="1" applyFill="1" applyAlignment="1">
      <alignment horizontal="left" vertical="center" wrapText="1"/>
    </xf>
    <xf numFmtId="0" fontId="42" fillId="38" borderId="0" xfId="0" applyFont="1" applyFill="1" applyAlignment="1">
      <alignment horizontal="right" vertical="center"/>
    </xf>
    <xf numFmtId="0" fontId="152" fillId="10" borderId="31" xfId="0" applyFont="1" applyFill="1" applyBorder="1" applyAlignment="1">
      <alignment horizontal="right" vertical="center" wrapText="1"/>
    </xf>
    <xf numFmtId="3" fontId="153" fillId="4" borderId="31" xfId="0" applyNumberFormat="1" applyFont="1" applyFill="1" applyBorder="1" applyAlignment="1">
      <alignment horizontal="right" vertical="center"/>
    </xf>
    <xf numFmtId="0" fontId="151" fillId="10" borderId="31" xfId="0" applyFont="1" applyFill="1" applyBorder="1" applyAlignment="1">
      <alignment horizontal="right" vertical="center" wrapText="1"/>
    </xf>
    <xf numFmtId="0" fontId="151" fillId="10" borderId="31" xfId="0" applyFont="1" applyFill="1" applyBorder="1" applyAlignment="1">
      <alignment horizontal="right" vertical="center"/>
    </xf>
    <xf numFmtId="164" fontId="155" fillId="4" borderId="31" xfId="3" applyNumberFormat="1" applyFont="1" applyFill="1" applyBorder="1" applyAlignment="1">
      <alignment horizontal="right" vertical="center"/>
    </xf>
    <xf numFmtId="0" fontId="7" fillId="10" borderId="31" xfId="0" applyFont="1" applyFill="1" applyBorder="1" applyAlignment="1">
      <alignment horizontal="right" vertical="center"/>
    </xf>
    <xf numFmtId="0" fontId="7" fillId="8" borderId="31" xfId="0" applyFont="1" applyFill="1" applyBorder="1" applyAlignment="1">
      <alignment horizontal="right" vertical="center" wrapText="1"/>
    </xf>
    <xf numFmtId="0" fontId="7" fillId="8" borderId="31" xfId="0" applyFont="1" applyFill="1" applyBorder="1" applyAlignment="1">
      <alignment horizontal="right" vertical="center"/>
    </xf>
    <xf numFmtId="0" fontId="7" fillId="8" borderId="31" xfId="2" applyNumberFormat="1" applyFont="1" applyFill="1" applyBorder="1" applyAlignment="1">
      <alignment horizontal="right" vertical="center"/>
    </xf>
    <xf numFmtId="0" fontId="138" fillId="38" borderId="0" xfId="0" applyFont="1" applyFill="1" applyAlignment="1">
      <alignment horizontal="left" vertical="center"/>
    </xf>
    <xf numFmtId="0" fontId="43" fillId="38" borderId="0" xfId="0" applyFont="1" applyFill="1" applyAlignment="1">
      <alignment vertical="center"/>
    </xf>
    <xf numFmtId="0" fontId="157" fillId="10" borderId="31" xfId="0" applyFont="1" applyFill="1" applyBorder="1" applyAlignment="1">
      <alignment horizontal="left" vertical="center" wrapText="1"/>
    </xf>
    <xf numFmtId="0" fontId="157" fillId="8" borderId="31" xfId="0" applyFont="1" applyFill="1" applyBorder="1" applyAlignment="1">
      <alignment vertical="center"/>
    </xf>
    <xf numFmtId="166" fontId="155" fillId="4" borderId="31" xfId="2" applyNumberFormat="1" applyFont="1" applyFill="1" applyBorder="1" applyAlignment="1">
      <alignment horizontal="right" vertical="center"/>
    </xf>
    <xf numFmtId="166" fontId="153" fillId="4" borderId="31" xfId="2" applyNumberFormat="1" applyFont="1" applyFill="1" applyBorder="1" applyAlignment="1">
      <alignment horizontal="right" vertical="center"/>
    </xf>
    <xf numFmtId="0" fontId="153" fillId="2" borderId="0" xfId="0" applyFont="1" applyFill="1" applyAlignment="1">
      <alignment horizontal="right" vertical="center"/>
    </xf>
    <xf numFmtId="0" fontId="58" fillId="36" borderId="31" xfId="0" applyFont="1" applyFill="1" applyBorder="1" applyAlignment="1">
      <alignment horizontal="left" vertical="center" wrapText="1"/>
    </xf>
    <xf numFmtId="0" fontId="25" fillId="36" borderId="31" xfId="0" applyFont="1" applyFill="1" applyBorder="1" applyAlignment="1">
      <alignment horizontal="right" vertical="center" wrapText="1"/>
    </xf>
    <xf numFmtId="0" fontId="58" fillId="36" borderId="31" xfId="0" applyFont="1" applyFill="1" applyBorder="1" applyAlignment="1">
      <alignment vertical="center" wrapText="1"/>
    </xf>
    <xf numFmtId="0" fontId="25" fillId="36" borderId="31" xfId="0" applyFont="1" applyFill="1" applyBorder="1" applyAlignment="1">
      <alignment horizontal="center" vertical="center" wrapText="1"/>
    </xf>
    <xf numFmtId="0" fontId="58" fillId="36" borderId="31" xfId="0" applyFont="1" applyFill="1" applyBorder="1" applyAlignment="1">
      <alignment vertical="center"/>
    </xf>
    <xf numFmtId="0" fontId="97" fillId="36" borderId="31" xfId="0" applyFont="1" applyFill="1" applyBorder="1" applyAlignment="1">
      <alignment horizontal="center" vertical="center" wrapText="1"/>
    </xf>
    <xf numFmtId="0" fontId="16" fillId="36" borderId="31" xfId="0" applyFont="1" applyFill="1" applyBorder="1" applyAlignment="1">
      <alignment horizontal="right" vertical="center"/>
    </xf>
    <xf numFmtId="169" fontId="104" fillId="36" borderId="31" xfId="0" applyNumberFormat="1" applyFont="1" applyFill="1" applyBorder="1" applyAlignment="1">
      <alignment horizontal="left" vertical="center"/>
    </xf>
    <xf numFmtId="0" fontId="104" fillId="36" borderId="31" xfId="0" applyFont="1" applyFill="1" applyBorder="1" applyAlignment="1">
      <alignment horizontal="right" vertical="center" wrapText="1"/>
    </xf>
    <xf numFmtId="0" fontId="105" fillId="36" borderId="31" xfId="0" applyFont="1" applyFill="1" applyBorder="1" applyAlignment="1">
      <alignment horizontal="right" vertical="center" wrapText="1"/>
    </xf>
    <xf numFmtId="0" fontId="104" fillId="36" borderId="31" xfId="0" applyFont="1" applyFill="1" applyBorder="1" applyAlignment="1">
      <alignment horizontal="left" vertical="center" wrapText="1"/>
    </xf>
    <xf numFmtId="0" fontId="104" fillId="38" borderId="31" xfId="0" applyFont="1" applyFill="1" applyBorder="1" applyAlignment="1">
      <alignment horizontal="right" vertical="center" wrapText="1"/>
    </xf>
    <xf numFmtId="0" fontId="16" fillId="36" borderId="31" xfId="0" applyFont="1" applyFill="1" applyBorder="1" applyAlignment="1">
      <alignment horizontal="left" vertical="center"/>
    </xf>
    <xf numFmtId="0" fontId="16" fillId="36" borderId="31" xfId="0" applyFont="1" applyFill="1" applyBorder="1" applyAlignment="1">
      <alignment horizontal="left" vertical="center" wrapText="1"/>
    </xf>
    <xf numFmtId="166" fontId="12" fillId="0" borderId="54" xfId="2" applyNumberFormat="1" applyFont="1" applyFill="1" applyBorder="1" applyAlignment="1">
      <alignment vertical="center"/>
    </xf>
    <xf numFmtId="166" fontId="13" fillId="0" borderId="54" xfId="2" applyNumberFormat="1" applyFont="1" applyFill="1" applyBorder="1" applyAlignment="1">
      <alignment vertical="center"/>
    </xf>
    <xf numFmtId="0" fontId="147" fillId="34" borderId="0" xfId="0" applyFont="1" applyFill="1" applyAlignment="1">
      <alignment horizontal="left" vertical="center"/>
    </xf>
    <xf numFmtId="0" fontId="114" fillId="34" borderId="0" xfId="0" applyFont="1" applyFill="1" applyAlignment="1">
      <alignment horizontal="left" vertical="center"/>
    </xf>
    <xf numFmtId="0" fontId="8" fillId="34" borderId="0" xfId="0" applyFont="1" applyFill="1" applyAlignment="1">
      <alignment vertical="center"/>
    </xf>
    <xf numFmtId="0" fontId="146" fillId="25" borderId="63" xfId="0" applyFont="1" applyFill="1" applyBorder="1" applyAlignment="1">
      <alignment horizontal="left" vertical="center"/>
    </xf>
    <xf numFmtId="0" fontId="114" fillId="25" borderId="63" xfId="0" applyFont="1" applyFill="1" applyBorder="1" applyAlignment="1">
      <alignment horizontal="left" vertical="center"/>
    </xf>
    <xf numFmtId="0" fontId="8" fillId="25" borderId="63" xfId="0" applyFont="1" applyFill="1" applyBorder="1" applyAlignment="1">
      <alignment vertical="center"/>
    </xf>
    <xf numFmtId="0" fontId="8" fillId="25" borderId="64" xfId="0" applyFont="1" applyFill="1" applyBorder="1" applyAlignment="1">
      <alignment vertical="center"/>
    </xf>
    <xf numFmtId="0" fontId="146" fillId="25" borderId="0" xfId="0" applyFont="1" applyFill="1" applyAlignment="1">
      <alignment horizontal="left" vertical="center"/>
    </xf>
    <xf numFmtId="0" fontId="114" fillId="25" borderId="0" xfId="0" applyFont="1" applyFill="1" applyAlignment="1">
      <alignment horizontal="left" vertical="center"/>
    </xf>
    <xf numFmtId="0" fontId="8" fillId="25" borderId="0" xfId="0" applyFont="1" applyFill="1" applyAlignment="1">
      <alignment vertical="center"/>
    </xf>
    <xf numFmtId="0" fontId="8" fillId="25" borderId="65" xfId="0" applyFont="1" applyFill="1" applyBorder="1" applyAlignment="1">
      <alignment vertical="center"/>
    </xf>
    <xf numFmtId="0" fontId="146" fillId="25" borderId="66" xfId="0" applyFont="1" applyFill="1" applyBorder="1" applyAlignment="1">
      <alignment horizontal="left" vertical="center"/>
    </xf>
    <xf numFmtId="0" fontId="114" fillId="25" borderId="66" xfId="0" applyFont="1" applyFill="1" applyBorder="1" applyAlignment="1">
      <alignment horizontal="left" vertical="center"/>
    </xf>
    <xf numFmtId="0" fontId="8" fillId="25" borderId="66" xfId="0" applyFont="1" applyFill="1" applyBorder="1" applyAlignment="1">
      <alignment vertical="center"/>
    </xf>
    <xf numFmtId="0" fontId="8" fillId="25" borderId="67" xfId="0" applyFont="1" applyFill="1" applyBorder="1" applyAlignment="1">
      <alignment vertical="center"/>
    </xf>
    <xf numFmtId="0" fontId="147" fillId="34" borderId="63" xfId="0" applyFont="1" applyFill="1" applyBorder="1" applyAlignment="1">
      <alignment horizontal="left" vertical="center"/>
    </xf>
    <xf numFmtId="0" fontId="114" fillId="34" borderId="63" xfId="0" applyFont="1" applyFill="1" applyBorder="1" applyAlignment="1">
      <alignment horizontal="left" vertical="center"/>
    </xf>
    <xf numFmtId="0" fontId="8" fillId="34" borderId="63" xfId="0" applyFont="1" applyFill="1" applyBorder="1" applyAlignment="1">
      <alignment vertical="center"/>
    </xf>
    <xf numFmtId="0" fontId="8" fillId="34" borderId="64" xfId="0" applyFont="1" applyFill="1" applyBorder="1" applyAlignment="1">
      <alignment vertical="center"/>
    </xf>
    <xf numFmtId="0" fontId="8" fillId="34" borderId="65" xfId="0" applyFont="1" applyFill="1" applyBorder="1" applyAlignment="1">
      <alignment vertical="center"/>
    </xf>
    <xf numFmtId="0" fontId="147" fillId="34" borderId="66" xfId="0" applyFont="1" applyFill="1" applyBorder="1" applyAlignment="1">
      <alignment horizontal="left" vertical="center"/>
    </xf>
    <xf numFmtId="0" fontId="114" fillId="34" borderId="66" xfId="0" applyFont="1" applyFill="1" applyBorder="1" applyAlignment="1">
      <alignment horizontal="left" vertical="center"/>
    </xf>
    <xf numFmtId="0" fontId="8" fillId="34" borderId="66" xfId="0" applyFont="1" applyFill="1" applyBorder="1" applyAlignment="1">
      <alignment vertical="center"/>
    </xf>
    <xf numFmtId="0" fontId="8" fillId="34" borderId="67" xfId="0" applyFont="1" applyFill="1" applyBorder="1" applyAlignment="1">
      <alignment vertical="center"/>
    </xf>
    <xf numFmtId="0" fontId="142" fillId="32" borderId="69" xfId="0" applyFont="1" applyFill="1" applyBorder="1" applyAlignment="1">
      <alignment vertical="center"/>
    </xf>
    <xf numFmtId="0" fontId="8" fillId="32" borderId="69" xfId="0" applyFont="1" applyFill="1" applyBorder="1"/>
    <xf numFmtId="0" fontId="8" fillId="32" borderId="70" xfId="0" applyFont="1" applyFill="1" applyBorder="1"/>
    <xf numFmtId="0" fontId="146" fillId="25" borderId="71" xfId="0" applyFont="1" applyFill="1" applyBorder="1" applyAlignment="1">
      <alignment horizontal="left" vertical="center"/>
    </xf>
    <xf numFmtId="0" fontId="146" fillId="25" borderId="72" xfId="0" applyFont="1" applyFill="1" applyBorder="1" applyAlignment="1">
      <alignment horizontal="left" vertical="center"/>
    </xf>
    <xf numFmtId="0" fontId="146" fillId="25" borderId="73" xfId="0" applyFont="1" applyFill="1" applyBorder="1" applyAlignment="1">
      <alignment horizontal="left" vertical="center"/>
    </xf>
    <xf numFmtId="0" fontId="147" fillId="34" borderId="71" xfId="0" applyFont="1" applyFill="1" applyBorder="1" applyAlignment="1">
      <alignment horizontal="left" vertical="center"/>
    </xf>
    <xf numFmtId="0" fontId="147" fillId="34" borderId="72" xfId="0" applyFont="1" applyFill="1" applyBorder="1" applyAlignment="1">
      <alignment horizontal="left" vertical="center"/>
    </xf>
    <xf numFmtId="0" fontId="147" fillId="34" borderId="73" xfId="0" applyFont="1" applyFill="1" applyBorder="1" applyAlignment="1">
      <alignment horizontal="left" vertical="center"/>
    </xf>
    <xf numFmtId="0" fontId="114" fillId="2" borderId="31" xfId="0" applyFont="1" applyFill="1" applyBorder="1" applyAlignment="1">
      <alignment horizontal="left" vertical="center" indent="2"/>
    </xf>
    <xf numFmtId="43" fontId="8" fillId="2" borderId="0" xfId="0" applyNumberFormat="1" applyFont="1" applyFill="1"/>
    <xf numFmtId="164" fontId="81" fillId="2" borderId="0" xfId="3" applyNumberFormat="1" applyFont="1" applyFill="1" applyAlignment="1">
      <alignment horizontal="left" vertical="center" wrapText="1"/>
    </xf>
    <xf numFmtId="0" fontId="16" fillId="36" borderId="31" xfId="0" applyFont="1" applyFill="1" applyBorder="1" applyAlignment="1">
      <alignment horizontal="center" vertical="center" wrapText="1"/>
    </xf>
    <xf numFmtId="166" fontId="115" fillId="0" borderId="31" xfId="2" applyNumberFormat="1" applyFont="1" applyFill="1" applyBorder="1" applyAlignment="1">
      <alignment vertical="center"/>
    </xf>
    <xf numFmtId="166" fontId="115" fillId="2" borderId="31" xfId="2" applyNumberFormat="1" applyFont="1" applyFill="1" applyBorder="1" applyAlignment="1">
      <alignment horizontal="right" vertical="top" wrapText="1"/>
    </xf>
    <xf numFmtId="9" fontId="121" fillId="2" borderId="31" xfId="3" applyFont="1" applyFill="1" applyBorder="1" applyAlignment="1">
      <alignment horizontal="right" vertical="center" wrapText="1"/>
    </xf>
    <xf numFmtId="166" fontId="115" fillId="2" borderId="31" xfId="2" applyNumberFormat="1" applyFont="1" applyFill="1" applyBorder="1" applyAlignment="1">
      <alignment horizontal="right" wrapText="1"/>
    </xf>
    <xf numFmtId="166" fontId="115" fillId="2" borderId="31" xfId="0" applyNumberFormat="1" applyFont="1" applyFill="1" applyBorder="1" applyAlignment="1">
      <alignment horizontal="right" vertical="center" wrapText="1"/>
    </xf>
    <xf numFmtId="9" fontId="115" fillId="2" borderId="31" xfId="3" applyFont="1" applyFill="1" applyBorder="1" applyAlignment="1">
      <alignment horizontal="right" vertical="center" wrapText="1"/>
    </xf>
    <xf numFmtId="3" fontId="87" fillId="20" borderId="31" xfId="0" applyNumberFormat="1" applyFont="1" applyFill="1" applyBorder="1" applyAlignment="1">
      <alignment vertical="center" wrapText="1"/>
    </xf>
    <xf numFmtId="166" fontId="86" fillId="20" borderId="31" xfId="0" applyNumberFormat="1" applyFont="1" applyFill="1" applyBorder="1" applyAlignment="1">
      <alignment vertical="center"/>
    </xf>
    <xf numFmtId="166" fontId="86" fillId="20" borderId="31" xfId="2" applyNumberFormat="1" applyFont="1" applyFill="1" applyBorder="1" applyAlignment="1">
      <alignment vertical="center"/>
    </xf>
    <xf numFmtId="0" fontId="114" fillId="20" borderId="31" xfId="0" applyFont="1" applyFill="1" applyBorder="1"/>
    <xf numFmtId="166" fontId="86" fillId="20" borderId="31" xfId="2" applyNumberFormat="1" applyFont="1" applyFill="1" applyBorder="1" applyAlignment="1">
      <alignment horizontal="right" vertical="center" wrapText="1"/>
    </xf>
    <xf numFmtId="166" fontId="87" fillId="20" borderId="31" xfId="2" applyNumberFormat="1" applyFont="1" applyFill="1" applyBorder="1" applyAlignment="1">
      <alignment horizontal="right" vertical="center" wrapText="1"/>
    </xf>
    <xf numFmtId="0" fontId="114" fillId="20" borderId="31" xfId="0" applyFont="1" applyFill="1" applyBorder="1" applyAlignment="1">
      <alignment horizontal="right" wrapText="1"/>
    </xf>
    <xf numFmtId="166" fontId="86" fillId="20" borderId="31" xfId="0" applyNumberFormat="1" applyFont="1" applyFill="1" applyBorder="1" applyAlignment="1">
      <alignment horizontal="right" wrapText="1"/>
    </xf>
    <xf numFmtId="166" fontId="86" fillId="20" borderId="31" xfId="2" applyNumberFormat="1" applyFont="1" applyFill="1" applyBorder="1" applyAlignment="1">
      <alignment horizontal="right" vertical="center"/>
    </xf>
    <xf numFmtId="9" fontId="87" fillId="20" borderId="31" xfId="3" applyFont="1" applyFill="1" applyBorder="1" applyAlignment="1">
      <alignment horizontal="right" wrapText="1"/>
    </xf>
    <xf numFmtId="166" fontId="86" fillId="20" borderId="31" xfId="2" applyNumberFormat="1" applyFont="1" applyFill="1" applyBorder="1" applyAlignment="1">
      <alignment horizontal="right" wrapText="1"/>
    </xf>
    <xf numFmtId="9" fontId="82" fillId="39" borderId="31" xfId="3" applyFont="1" applyFill="1" applyBorder="1" applyAlignment="1">
      <alignment vertical="center" wrapText="1"/>
    </xf>
    <xf numFmtId="9" fontId="86" fillId="39" borderId="31" xfId="3" applyFont="1" applyFill="1" applyBorder="1" applyAlignment="1">
      <alignment vertical="center" wrapText="1"/>
    </xf>
    <xf numFmtId="9" fontId="87" fillId="39" borderId="31" xfId="3" applyFont="1" applyFill="1" applyBorder="1" applyAlignment="1">
      <alignment vertical="center" wrapText="1"/>
    </xf>
    <xf numFmtId="0" fontId="114" fillId="20" borderId="31" xfId="0" applyFont="1" applyFill="1" applyBorder="1" applyAlignment="1">
      <alignment horizontal="left" vertical="center" wrapText="1"/>
    </xf>
    <xf numFmtId="166" fontId="115" fillId="2" borderId="31" xfId="0" applyNumberFormat="1" applyFont="1" applyFill="1" applyBorder="1" applyAlignment="1">
      <alignment horizontal="right" wrapText="1"/>
    </xf>
    <xf numFmtId="9" fontId="121" fillId="2" borderId="31" xfId="3" applyFont="1" applyFill="1" applyBorder="1" applyAlignment="1">
      <alignment horizontal="right" wrapText="1"/>
    </xf>
    <xf numFmtId="0" fontId="104" fillId="36" borderId="31" xfId="0" applyFont="1" applyFill="1" applyBorder="1" applyAlignment="1">
      <alignment horizontal="center" vertical="center"/>
    </xf>
    <xf numFmtId="0" fontId="104" fillId="36" borderId="31" xfId="0" applyFont="1" applyFill="1" applyBorder="1" applyAlignment="1">
      <alignment horizontal="center" vertical="center" wrapText="1"/>
    </xf>
    <xf numFmtId="0" fontId="105" fillId="36" borderId="31" xfId="0" applyFont="1" applyFill="1" applyBorder="1" applyAlignment="1">
      <alignment horizontal="center" vertical="center"/>
    </xf>
    <xf numFmtId="0" fontId="105" fillId="36" borderId="31" xfId="0" applyFont="1" applyFill="1" applyBorder="1" applyAlignment="1">
      <alignment horizontal="center" vertical="center" wrapText="1"/>
    </xf>
    <xf numFmtId="0" fontId="153" fillId="20" borderId="31" xfId="0" applyFont="1" applyFill="1" applyBorder="1" applyAlignment="1">
      <alignment horizontal="center" vertical="center" wrapText="1"/>
    </xf>
    <xf numFmtId="0" fontId="115" fillId="2" borderId="31" xfId="0" applyFont="1" applyFill="1" applyBorder="1" applyAlignment="1">
      <alignment horizontal="center" vertical="center" wrapText="1"/>
    </xf>
    <xf numFmtId="2" fontId="115" fillId="0" borderId="31" xfId="0" applyNumberFormat="1" applyFont="1" applyBorder="1" applyAlignment="1">
      <alignment horizontal="center" vertical="center" wrapText="1"/>
    </xf>
    <xf numFmtId="0" fontId="115" fillId="0" borderId="31" xfId="0" applyFont="1" applyBorder="1" applyAlignment="1">
      <alignment horizontal="center" vertical="center" wrapText="1"/>
    </xf>
    <xf numFmtId="0" fontId="153" fillId="20" borderId="31" xfId="0" applyFont="1" applyFill="1" applyBorder="1" applyAlignment="1">
      <alignment horizontal="right" vertical="center" wrapText="1"/>
    </xf>
    <xf numFmtId="2" fontId="153" fillId="20" borderId="31" xfId="0" applyNumberFormat="1" applyFont="1" applyFill="1" applyBorder="1" applyAlignment="1">
      <alignment vertical="center"/>
    </xf>
    <xf numFmtId="1" fontId="153" fillId="20" borderId="31" xfId="0" applyNumberFormat="1" applyFont="1" applyFill="1" applyBorder="1" applyAlignment="1">
      <alignment vertical="center"/>
    </xf>
    <xf numFmtId="2" fontId="153" fillId="20" borderId="31" xfId="0" applyNumberFormat="1" applyFont="1" applyFill="1" applyBorder="1" applyAlignment="1">
      <alignment horizontal="right" vertical="center"/>
    </xf>
    <xf numFmtId="165" fontId="153" fillId="20" borderId="31" xfId="0" applyNumberFormat="1" applyFont="1" applyFill="1" applyBorder="1" applyAlignment="1">
      <alignment horizontal="right" vertical="center"/>
    </xf>
    <xf numFmtId="0" fontId="153" fillId="20" borderId="31" xfId="0" applyFont="1" applyFill="1" applyBorder="1" applyAlignment="1">
      <alignment horizontal="right" vertical="center"/>
    </xf>
    <xf numFmtId="0" fontId="87" fillId="20" borderId="31" xfId="0" applyFont="1" applyFill="1" applyBorder="1" applyAlignment="1">
      <alignment vertical="center"/>
    </xf>
    <xf numFmtId="0" fontId="153" fillId="20" borderId="31" xfId="0" applyFont="1" applyFill="1" applyBorder="1" applyAlignment="1">
      <alignment vertical="center"/>
    </xf>
    <xf numFmtId="9" fontId="153" fillId="20" borderId="31" xfId="3" applyFont="1" applyFill="1" applyBorder="1" applyAlignment="1">
      <alignment vertical="center"/>
    </xf>
    <xf numFmtId="0" fontId="115" fillId="2" borderId="6" xfId="0" applyFont="1" applyFill="1" applyBorder="1" applyAlignment="1">
      <alignment horizontal="center" vertical="center" wrapText="1"/>
    </xf>
    <xf numFmtId="0" fontId="121" fillId="2" borderId="6" xfId="0" applyFont="1" applyFill="1" applyBorder="1" applyAlignment="1">
      <alignment horizontal="center" vertical="center" wrapText="1"/>
    </xf>
    <xf numFmtId="0" fontId="115" fillId="2" borderId="6" xfId="0" applyFont="1" applyFill="1" applyBorder="1" applyAlignment="1">
      <alignment horizontal="center"/>
    </xf>
    <xf numFmtId="0" fontId="155" fillId="20" borderId="6" xfId="0" applyFont="1" applyFill="1" applyBorder="1" applyAlignment="1">
      <alignment horizontal="center" vertical="center" wrapText="1"/>
    </xf>
    <xf numFmtId="0" fontId="153" fillId="20" borderId="6" xfId="0" applyFont="1" applyFill="1" applyBorder="1" applyAlignment="1">
      <alignment horizontal="center" vertical="center" wrapText="1"/>
    </xf>
    <xf numFmtId="0" fontId="119" fillId="0" borderId="31" xfId="0" applyFont="1" applyBorder="1" applyAlignment="1">
      <alignment wrapText="1"/>
    </xf>
    <xf numFmtId="3" fontId="114" fillId="0" borderId="31" xfId="0" applyNumberFormat="1" applyFont="1" applyBorder="1" applyAlignment="1">
      <alignment wrapText="1"/>
    </xf>
    <xf numFmtId="1" fontId="115" fillId="0" borderId="31" xfId="0" applyNumberFormat="1" applyFont="1" applyBorder="1" applyAlignment="1">
      <alignment wrapText="1"/>
    </xf>
    <xf numFmtId="166" fontId="115" fillId="0" borderId="0" xfId="2" applyNumberFormat="1" applyFont="1" applyFill="1" applyBorder="1" applyAlignment="1"/>
    <xf numFmtId="3" fontId="115" fillId="0" borderId="31" xfId="0" applyNumberFormat="1" applyFont="1" applyBorder="1" applyAlignment="1">
      <alignment wrapText="1"/>
    </xf>
    <xf numFmtId="0" fontId="86" fillId="20" borderId="31" xfId="0" applyFont="1" applyFill="1" applyBorder="1"/>
    <xf numFmtId="1" fontId="86" fillId="20" borderId="31" xfId="0" applyNumberFormat="1" applyFont="1" applyFill="1" applyBorder="1" applyAlignment="1">
      <alignment wrapText="1"/>
    </xf>
    <xf numFmtId="3" fontId="87" fillId="20" borderId="31" xfId="0" applyNumberFormat="1" applyFont="1" applyFill="1" applyBorder="1" applyAlignment="1">
      <alignment wrapText="1"/>
    </xf>
    <xf numFmtId="9" fontId="86" fillId="20" borderId="31" xfId="3" applyFont="1" applyFill="1" applyBorder="1" applyAlignment="1">
      <alignment horizontal="right"/>
    </xf>
    <xf numFmtId="9" fontId="87" fillId="20" borderId="31" xfId="3" applyFont="1" applyFill="1" applyBorder="1" applyAlignment="1">
      <alignment horizontal="right"/>
    </xf>
    <xf numFmtId="9" fontId="86" fillId="20" borderId="31" xfId="3" applyFont="1" applyFill="1" applyBorder="1"/>
    <xf numFmtId="9" fontId="119" fillId="0" borderId="31" xfId="0" applyNumberFormat="1" applyFont="1" applyBorder="1" applyAlignment="1">
      <alignment horizontal="center" wrapText="1"/>
    </xf>
    <xf numFmtId="164" fontId="119" fillId="0" borderId="31" xfId="0" applyNumberFormat="1" applyFont="1" applyBorder="1" applyAlignment="1">
      <alignment horizontal="center" wrapText="1"/>
    </xf>
    <xf numFmtId="0" fontId="114" fillId="2" borderId="0" xfId="0" applyFont="1" applyFill="1" applyAlignment="1">
      <alignment horizontal="center"/>
    </xf>
    <xf numFmtId="1" fontId="119" fillId="0" borderId="31" xfId="0" applyNumberFormat="1" applyFont="1" applyBorder="1" applyAlignment="1">
      <alignment horizontal="center" wrapText="1"/>
    </xf>
    <xf numFmtId="173" fontId="114" fillId="2" borderId="31" xfId="3" applyNumberFormat="1" applyFont="1" applyFill="1" applyBorder="1" applyAlignment="1">
      <alignment horizontal="right"/>
    </xf>
    <xf numFmtId="9" fontId="6" fillId="2" borderId="0" xfId="0" applyNumberFormat="1" applyFont="1" applyFill="1" applyAlignment="1">
      <alignment wrapText="1"/>
    </xf>
    <xf numFmtId="0" fontId="65" fillId="2" borderId="0" xfId="0" applyFont="1" applyFill="1" applyAlignment="1">
      <alignment vertical="top"/>
    </xf>
    <xf numFmtId="0" fontId="149" fillId="0" borderId="0" xfId="0" applyFont="1" applyAlignment="1">
      <alignment vertical="center"/>
    </xf>
    <xf numFmtId="0" fontId="120" fillId="2" borderId="31" xfId="0" applyFont="1" applyFill="1" applyBorder="1" applyAlignment="1">
      <alignment vertical="center" wrapText="1"/>
    </xf>
    <xf numFmtId="0" fontId="114" fillId="2" borderId="0" xfId="0" applyFont="1" applyFill="1" applyAlignment="1">
      <alignment wrapText="1"/>
    </xf>
    <xf numFmtId="0" fontId="114" fillId="2" borderId="31" xfId="0" applyFont="1" applyFill="1" applyBorder="1" applyAlignment="1">
      <alignment horizontal="right" vertical="center"/>
    </xf>
    <xf numFmtId="0" fontId="121" fillId="40" borderId="78" xfId="0" applyFont="1" applyFill="1" applyBorder="1" applyAlignment="1">
      <alignment wrapText="1"/>
    </xf>
    <xf numFmtId="0" fontId="121" fillId="40" borderId="79" xfId="0" applyFont="1" applyFill="1" applyBorder="1"/>
    <xf numFmtId="0" fontId="119" fillId="0" borderId="13" xfId="0" applyFont="1" applyBorder="1"/>
    <xf numFmtId="0" fontId="119" fillId="0" borderId="75" xfId="0" applyFont="1" applyBorder="1"/>
    <xf numFmtId="0" fontId="119" fillId="0" borderId="22" xfId="0" applyFont="1" applyBorder="1"/>
    <xf numFmtId="0" fontId="119" fillId="0" borderId="80" xfId="0" applyFont="1" applyBorder="1"/>
    <xf numFmtId="1" fontId="119" fillId="20" borderId="31" xfId="0" applyNumberFormat="1" applyFont="1" applyFill="1" applyBorder="1" applyAlignment="1">
      <alignment horizontal="center" wrapText="1"/>
    </xf>
    <xf numFmtId="9" fontId="119" fillId="20" borderId="31" xfId="0" applyNumberFormat="1" applyFont="1" applyFill="1" applyBorder="1" applyAlignment="1">
      <alignment horizontal="center" wrapText="1"/>
    </xf>
    <xf numFmtId="2" fontId="13" fillId="2" borderId="0" xfId="0" applyNumberFormat="1" applyFont="1" applyFill="1"/>
    <xf numFmtId="9" fontId="7" fillId="2" borderId="0" xfId="3" applyFont="1" applyFill="1" applyBorder="1" applyAlignment="1">
      <alignment horizontal="center" vertical="center" wrapText="1"/>
    </xf>
    <xf numFmtId="0" fontId="115" fillId="0" borderId="0" xfId="0" applyFont="1" applyAlignment="1">
      <alignment vertical="center" wrapText="1"/>
    </xf>
    <xf numFmtId="171" fontId="114" fillId="5" borderId="0" xfId="0" applyNumberFormat="1" applyFont="1" applyFill="1" applyAlignment="1">
      <alignment horizontal="right" vertical="center"/>
    </xf>
    <xf numFmtId="164" fontId="37" fillId="4" borderId="0" xfId="3" applyNumberFormat="1" applyFont="1" applyFill="1" applyBorder="1" applyAlignment="1">
      <alignment horizontal="right" vertical="center"/>
    </xf>
    <xf numFmtId="171" fontId="153" fillId="4" borderId="31" xfId="0" applyNumberFormat="1" applyFont="1" applyFill="1" applyBorder="1" applyAlignment="1">
      <alignment horizontal="right" vertical="center"/>
    </xf>
    <xf numFmtId="171" fontId="121" fillId="5" borderId="31" xfId="0" applyNumberFormat="1" applyFont="1" applyFill="1" applyBorder="1" applyAlignment="1">
      <alignment horizontal="right" vertical="center"/>
    </xf>
    <xf numFmtId="1" fontId="87" fillId="4" borderId="31" xfId="2" applyNumberFormat="1" applyFont="1" applyFill="1" applyBorder="1" applyAlignment="1">
      <alignment horizontal="right" vertical="center"/>
    </xf>
    <xf numFmtId="1" fontId="86" fillId="4" borderId="31" xfId="0" applyNumberFormat="1" applyFont="1" applyFill="1" applyBorder="1" applyAlignment="1">
      <alignment horizontal="right" vertical="center"/>
    </xf>
    <xf numFmtId="3" fontId="8" fillId="2" borderId="0" xfId="0" applyNumberFormat="1" applyFont="1" applyFill="1" applyAlignment="1">
      <alignment vertical="center"/>
    </xf>
    <xf numFmtId="3" fontId="115" fillId="2" borderId="31" xfId="0" applyNumberFormat="1" applyFont="1" applyFill="1" applyBorder="1" applyAlignment="1">
      <alignment horizontal="right" vertical="center" wrapText="1"/>
    </xf>
    <xf numFmtId="3" fontId="115" fillId="41" borderId="31" xfId="0" applyNumberFormat="1" applyFont="1" applyFill="1" applyBorder="1" applyAlignment="1">
      <alignment horizontal="right" vertical="center" wrapText="1"/>
    </xf>
    <xf numFmtId="166" fontId="115" fillId="42" borderId="31" xfId="2" applyNumberFormat="1" applyFont="1" applyFill="1" applyBorder="1" applyAlignment="1">
      <alignment horizontal="right" vertical="center" wrapText="1"/>
    </xf>
    <xf numFmtId="166" fontId="122" fillId="42" borderId="31" xfId="2" applyNumberFormat="1" applyFont="1" applyFill="1" applyBorder="1" applyAlignment="1">
      <alignment horizontal="right" vertical="center" wrapText="1"/>
    </xf>
    <xf numFmtId="166" fontId="121" fillId="42" borderId="31" xfId="2" applyNumberFormat="1" applyFont="1" applyFill="1" applyBorder="1" applyAlignment="1">
      <alignment horizontal="right" vertical="center" wrapText="1"/>
    </xf>
    <xf numFmtId="166" fontId="24" fillId="2" borderId="0" xfId="0" applyNumberFormat="1" applyFont="1" applyFill="1" applyAlignment="1">
      <alignment horizontal="right" vertical="center" wrapText="1"/>
    </xf>
    <xf numFmtId="166" fontId="86" fillId="20" borderId="31" xfId="0" applyNumberFormat="1" applyFont="1" applyFill="1" applyBorder="1" applyAlignment="1">
      <alignment horizontal="right" vertical="center" wrapText="1"/>
    </xf>
    <xf numFmtId="9" fontId="86" fillId="20" borderId="31" xfId="0" applyNumberFormat="1" applyFont="1" applyFill="1" applyBorder="1" applyAlignment="1">
      <alignment horizontal="right" vertical="center" wrapText="1"/>
    </xf>
    <xf numFmtId="43" fontId="30" fillId="5" borderId="0" xfId="0" applyNumberFormat="1" applyFont="1" applyFill="1" applyAlignment="1">
      <alignment horizontal="right" vertical="center"/>
    </xf>
    <xf numFmtId="166" fontId="114" fillId="42" borderId="31" xfId="0" applyNumberFormat="1" applyFont="1" applyFill="1" applyBorder="1" applyAlignment="1">
      <alignment vertical="center"/>
    </xf>
    <xf numFmtId="166" fontId="115" fillId="42" borderId="31" xfId="2" applyNumberFormat="1" applyFont="1" applyFill="1" applyBorder="1" applyAlignment="1">
      <alignment vertical="center"/>
    </xf>
    <xf numFmtId="9" fontId="114" fillId="42" borderId="31" xfId="3" applyFont="1" applyFill="1" applyBorder="1" applyAlignment="1">
      <alignment horizontal="right"/>
    </xf>
    <xf numFmtId="168" fontId="86" fillId="20" borderId="31" xfId="2" applyNumberFormat="1" applyFont="1" applyFill="1" applyBorder="1" applyAlignment="1">
      <alignment horizontal="right" vertical="center" wrapText="1"/>
    </xf>
    <xf numFmtId="171" fontId="115" fillId="5" borderId="31" xfId="0" applyNumberFormat="1" applyFont="1" applyFill="1" applyBorder="1" applyAlignment="1">
      <alignment horizontal="right" vertical="center"/>
    </xf>
    <xf numFmtId="3" fontId="115" fillId="2" borderId="31" xfId="0"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0" fontId="97" fillId="26" borderId="31" xfId="0" applyFont="1" applyFill="1" applyBorder="1" applyAlignment="1">
      <alignment horizontal="center" vertical="center" wrapText="1"/>
    </xf>
    <xf numFmtId="0" fontId="114" fillId="2" borderId="35" xfId="0" applyFont="1" applyFill="1" applyBorder="1" applyAlignment="1">
      <alignment horizontal="left" vertical="center" wrapText="1"/>
    </xf>
    <xf numFmtId="9" fontId="154" fillId="4" borderId="31" xfId="3" applyFont="1" applyFill="1" applyBorder="1" applyAlignment="1">
      <alignment horizontal="right" vertical="center" wrapText="1"/>
    </xf>
    <xf numFmtId="3" fontId="108" fillId="4" borderId="31" xfId="0" applyNumberFormat="1" applyFont="1" applyFill="1" applyBorder="1" applyAlignment="1">
      <alignment horizontal="right" vertical="center"/>
    </xf>
    <xf numFmtId="0" fontId="108" fillId="4" borderId="31" xfId="0" applyFont="1" applyFill="1" applyBorder="1" applyAlignment="1">
      <alignment horizontal="right" vertical="center" wrapText="1"/>
    </xf>
    <xf numFmtId="0" fontId="108" fillId="4" borderId="51" xfId="0" applyFont="1" applyFill="1" applyBorder="1" applyAlignment="1">
      <alignment horizontal="right" vertical="center" wrapText="1"/>
    </xf>
    <xf numFmtId="0" fontId="108" fillId="4" borderId="44" xfId="0" applyFont="1" applyFill="1" applyBorder="1" applyAlignment="1">
      <alignment horizontal="right" vertical="center" wrapText="1"/>
    </xf>
    <xf numFmtId="2" fontId="45" fillId="2" borderId="0" xfId="0" applyNumberFormat="1" applyFont="1" applyFill="1" applyAlignment="1">
      <alignment horizontal="right" vertical="center"/>
    </xf>
    <xf numFmtId="1" fontId="153" fillId="4" borderId="31" xfId="0" applyNumberFormat="1" applyFont="1" applyFill="1" applyBorder="1"/>
    <xf numFmtId="0" fontId="159" fillId="36" borderId="31" xfId="0" applyFont="1" applyFill="1" applyBorder="1" applyAlignment="1">
      <alignment horizontal="left" vertical="center"/>
    </xf>
    <xf numFmtId="0" fontId="159" fillId="36" borderId="31" xfId="0" applyFont="1" applyFill="1" applyBorder="1" applyAlignment="1">
      <alignment horizontal="left" vertical="center" wrapText="1"/>
    </xf>
    <xf numFmtId="0" fontId="63" fillId="36" borderId="31" xfId="0" applyFont="1" applyFill="1" applyBorder="1" applyAlignment="1">
      <alignment horizontal="right" vertical="center" wrapText="1"/>
    </xf>
    <xf numFmtId="0" fontId="67" fillId="7" borderId="0" xfId="0" applyFont="1" applyFill="1" applyAlignment="1">
      <alignment horizontal="left"/>
    </xf>
    <xf numFmtId="0" fontId="114" fillId="19" borderId="0" xfId="0" applyFont="1" applyFill="1"/>
    <xf numFmtId="0" fontId="13" fillId="3" borderId="0" xfId="0" applyFont="1" applyFill="1" applyAlignment="1">
      <alignment horizontal="center"/>
    </xf>
    <xf numFmtId="0" fontId="115" fillId="3" borderId="31" xfId="0" applyFont="1" applyFill="1" applyBorder="1"/>
    <xf numFmtId="166" fontId="122" fillId="3" borderId="31" xfId="2" applyNumberFormat="1" applyFont="1" applyFill="1" applyBorder="1"/>
    <xf numFmtId="0" fontId="102" fillId="43" borderId="0" xfId="0" applyFont="1" applyFill="1" applyAlignment="1">
      <alignment horizontal="left"/>
    </xf>
    <xf numFmtId="166" fontId="105" fillId="3" borderId="0" xfId="2" applyNumberFormat="1" applyFont="1" applyFill="1" applyBorder="1"/>
    <xf numFmtId="3" fontId="105" fillId="3" borderId="0" xfId="0" applyNumberFormat="1" applyFont="1" applyFill="1" applyAlignment="1">
      <alignment vertical="center"/>
    </xf>
    <xf numFmtId="0" fontId="13" fillId="3" borderId="0" xfId="0" applyFont="1" applyFill="1"/>
    <xf numFmtId="0" fontId="114" fillId="3" borderId="31" xfId="0" applyFont="1" applyFill="1" applyBorder="1"/>
    <xf numFmtId="3" fontId="153" fillId="3" borderId="31" xfId="0" applyNumberFormat="1" applyFont="1" applyFill="1" applyBorder="1" applyAlignment="1">
      <alignment horizontal="right"/>
    </xf>
    <xf numFmtId="3" fontId="105" fillId="3" borderId="0" xfId="0" applyNumberFormat="1" applyFont="1" applyFill="1"/>
    <xf numFmtId="0" fontId="12" fillId="5" borderId="0" xfId="0" applyFont="1" applyFill="1"/>
    <xf numFmtId="0" fontId="25" fillId="2" borderId="0" xfId="0" applyFont="1" applyFill="1"/>
    <xf numFmtId="0" fontId="8" fillId="0" borderId="31" xfId="0" applyFont="1" applyBorder="1" applyAlignment="1">
      <alignment horizontal="left" vertical="center"/>
    </xf>
    <xf numFmtId="0" fontId="11" fillId="0" borderId="54" xfId="0" applyFont="1" applyBorder="1" applyAlignment="1">
      <alignment horizontal="center" vertical="center" wrapText="1"/>
    </xf>
    <xf numFmtId="168" fontId="13" fillId="0" borderId="54" xfId="2" applyNumberFormat="1" applyFont="1" applyFill="1" applyBorder="1" applyAlignment="1">
      <alignment vertical="center"/>
    </xf>
    <xf numFmtId="43" fontId="13" fillId="0" borderId="54" xfId="2" applyFont="1" applyFill="1" applyBorder="1" applyAlignment="1">
      <alignment vertical="center"/>
    </xf>
    <xf numFmtId="9" fontId="13" fillId="0" borderId="54" xfId="3" applyFont="1" applyFill="1" applyBorder="1" applyAlignment="1">
      <alignment vertical="center"/>
    </xf>
    <xf numFmtId="3" fontId="35" fillId="5" borderId="0" xfId="0" applyNumberFormat="1" applyFont="1" applyFill="1" applyAlignment="1">
      <alignment vertical="center" wrapText="1"/>
    </xf>
    <xf numFmtId="164" fontId="45" fillId="5" borderId="0" xfId="3" applyNumberFormat="1" applyFont="1" applyFill="1" applyAlignment="1">
      <alignment horizontal="right" vertical="center"/>
    </xf>
    <xf numFmtId="166" fontId="87" fillId="4" borderId="31" xfId="0" applyNumberFormat="1" applyFont="1" applyFill="1" applyBorder="1" applyAlignment="1">
      <alignment horizontal="right" vertical="center"/>
    </xf>
    <xf numFmtId="166" fontId="118" fillId="2" borderId="31" xfId="0" applyNumberFormat="1" applyFont="1" applyFill="1" applyBorder="1" applyAlignment="1">
      <alignment horizontal="right" vertical="center"/>
    </xf>
    <xf numFmtId="0" fontId="114" fillId="0" borderId="7" xfId="0" applyFont="1" applyBorder="1" applyAlignment="1">
      <alignment vertical="center" wrapText="1"/>
    </xf>
    <xf numFmtId="0" fontId="115" fillId="0" borderId="7" xfId="0" applyFont="1" applyBorder="1" applyAlignment="1">
      <alignment horizontal="left" vertical="center"/>
    </xf>
    <xf numFmtId="166" fontId="115" fillId="4" borderId="7" xfId="2" applyNumberFormat="1" applyFont="1" applyFill="1" applyBorder="1" applyAlignment="1">
      <alignment horizontal="right" vertical="center"/>
    </xf>
    <xf numFmtId="166" fontId="115" fillId="0" borderId="7" xfId="2" applyNumberFormat="1" applyFont="1" applyBorder="1" applyAlignment="1">
      <alignment horizontal="right" vertical="center"/>
    </xf>
    <xf numFmtId="10" fontId="114" fillId="2" borderId="0" xfId="0" applyNumberFormat="1" applyFont="1" applyFill="1" applyAlignment="1">
      <alignment horizontal="right" vertical="center"/>
    </xf>
    <xf numFmtId="0" fontId="87" fillId="0" borderId="7" xfId="0" applyFont="1" applyBorder="1" applyAlignment="1">
      <alignment vertical="center" wrapText="1"/>
    </xf>
    <xf numFmtId="0" fontId="121" fillId="0" borderId="7" xfId="0" applyFont="1" applyBorder="1" applyAlignment="1">
      <alignment horizontal="left" vertical="center"/>
    </xf>
    <xf numFmtId="166" fontId="121" fillId="4" borderId="7" xfId="2" applyNumberFormat="1" applyFont="1" applyFill="1" applyBorder="1" applyAlignment="1">
      <alignment horizontal="right" vertical="center"/>
    </xf>
    <xf numFmtId="166" fontId="121" fillId="0" borderId="7" xfId="2" applyNumberFormat="1" applyFont="1" applyBorder="1" applyAlignment="1">
      <alignment horizontal="right" vertical="center"/>
    </xf>
    <xf numFmtId="166" fontId="114" fillId="2" borderId="0" xfId="0" applyNumberFormat="1" applyFont="1" applyFill="1" applyAlignment="1">
      <alignment vertical="center"/>
    </xf>
    <xf numFmtId="0" fontId="114" fillId="0" borderId="7" xfId="0" applyFont="1" applyBorder="1" applyAlignment="1">
      <alignment vertical="center"/>
    </xf>
    <xf numFmtId="166" fontId="119" fillId="4" borderId="7" xfId="2" applyNumberFormat="1" applyFont="1" applyFill="1" applyBorder="1" applyAlignment="1">
      <alignment horizontal="right" vertical="center"/>
    </xf>
    <xf numFmtId="166" fontId="119" fillId="0" borderId="7" xfId="2" applyNumberFormat="1" applyFont="1" applyBorder="1" applyAlignment="1">
      <alignment horizontal="right" vertical="center"/>
    </xf>
    <xf numFmtId="0" fontId="87" fillId="0" borderId="7" xfId="0" applyFont="1" applyBorder="1" applyAlignment="1">
      <alignment vertical="center"/>
    </xf>
    <xf numFmtId="166" fontId="114" fillId="2" borderId="0" xfId="0" applyNumberFormat="1" applyFont="1" applyFill="1" applyAlignment="1">
      <alignment horizontal="right" vertical="center"/>
    </xf>
    <xf numFmtId="164" fontId="115" fillId="4" borderId="7" xfId="2" applyNumberFormat="1" applyFont="1" applyFill="1" applyBorder="1" applyAlignment="1">
      <alignment horizontal="right" vertical="center"/>
    </xf>
    <xf numFmtId="164" fontId="115" fillId="0" borderId="7" xfId="2" applyNumberFormat="1" applyFont="1" applyBorder="1" applyAlignment="1">
      <alignment horizontal="right" vertical="center"/>
    </xf>
    <xf numFmtId="0" fontId="114" fillId="2" borderId="7" xfId="0" applyFont="1" applyFill="1" applyBorder="1" applyAlignment="1">
      <alignment vertical="center"/>
    </xf>
    <xf numFmtId="0" fontId="115" fillId="2" borderId="7" xfId="0" applyFont="1" applyFill="1" applyBorder="1" applyAlignment="1">
      <alignment horizontal="left" vertical="center"/>
    </xf>
    <xf numFmtId="0" fontId="119" fillId="0" borderId="7" xfId="0" applyFont="1" applyBorder="1" applyAlignment="1">
      <alignment vertical="center"/>
    </xf>
    <xf numFmtId="166" fontId="115" fillId="0" borderId="7" xfId="2" applyNumberFormat="1" applyFont="1" applyFill="1" applyBorder="1" applyAlignment="1">
      <alignment horizontal="right" vertical="center"/>
    </xf>
    <xf numFmtId="1" fontId="119" fillId="4" borderId="7" xfId="2" applyNumberFormat="1" applyFont="1" applyFill="1" applyBorder="1" applyAlignment="1">
      <alignment horizontal="right" vertical="center"/>
    </xf>
    <xf numFmtId="1" fontId="119" fillId="0" borderId="7" xfId="2" applyNumberFormat="1" applyFont="1" applyFill="1" applyBorder="1" applyAlignment="1">
      <alignment horizontal="right" vertical="center"/>
    </xf>
    <xf numFmtId="1" fontId="115" fillId="0" borderId="7" xfId="2" applyNumberFormat="1" applyFont="1" applyFill="1" applyBorder="1" applyAlignment="1">
      <alignment horizontal="right" vertical="center"/>
    </xf>
    <xf numFmtId="0" fontId="120" fillId="0" borderId="7" xfId="0" applyFont="1" applyBorder="1" applyAlignment="1">
      <alignment vertical="center"/>
    </xf>
    <xf numFmtId="166" fontId="121" fillId="0" borderId="7" xfId="2" applyNumberFormat="1" applyFont="1" applyFill="1" applyBorder="1" applyAlignment="1">
      <alignment horizontal="right" vertical="center"/>
    </xf>
    <xf numFmtId="164" fontId="13" fillId="2" borderId="0" xfId="3" applyNumberFormat="1" applyFont="1" applyFill="1"/>
    <xf numFmtId="43" fontId="13" fillId="2" borderId="0" xfId="0" applyNumberFormat="1" applyFont="1" applyFill="1"/>
    <xf numFmtId="0" fontId="161" fillId="0" borderId="0" xfId="1" applyFont="1"/>
    <xf numFmtId="3" fontId="102" fillId="43" borderId="0" xfId="0" applyNumberFormat="1" applyFont="1" applyFill="1" applyAlignment="1">
      <alignment horizontal="left"/>
    </xf>
    <xf numFmtId="9" fontId="115" fillId="0" borderId="31" xfId="0" applyNumberFormat="1" applyFont="1" applyBorder="1" applyAlignment="1">
      <alignment horizontal="right" vertical="center"/>
    </xf>
    <xf numFmtId="1" fontId="87" fillId="4" borderId="31" xfId="0" applyNumberFormat="1" applyFont="1" applyFill="1" applyBorder="1" applyAlignment="1">
      <alignment horizontal="right" vertical="center"/>
    </xf>
    <xf numFmtId="0" fontId="154" fillId="0" borderId="81" xfId="0" applyFont="1" applyBorder="1" applyAlignment="1">
      <alignment horizontal="right" vertical="center" wrapText="1"/>
    </xf>
    <xf numFmtId="0" fontId="154" fillId="2" borderId="82" xfId="0" applyFont="1" applyFill="1" applyBorder="1" applyAlignment="1">
      <alignment horizontal="right" vertical="center" wrapText="1"/>
    </xf>
    <xf numFmtId="0" fontId="154" fillId="2" borderId="81" xfId="0" applyFont="1" applyFill="1" applyBorder="1" applyAlignment="1">
      <alignment horizontal="right" vertical="center" wrapText="1"/>
    </xf>
    <xf numFmtId="0" fontId="154" fillId="2" borderId="83" xfId="0" applyFont="1" applyFill="1" applyBorder="1" applyAlignment="1">
      <alignment horizontal="right" vertical="center" wrapText="1"/>
    </xf>
    <xf numFmtId="0" fontId="154" fillId="2" borderId="10" xfId="0" applyFont="1" applyFill="1" applyBorder="1" applyAlignment="1">
      <alignment horizontal="right" vertical="center" wrapText="1"/>
    </xf>
    <xf numFmtId="0" fontId="154" fillId="0" borderId="82" xfId="0" applyFont="1" applyBorder="1" applyAlignment="1">
      <alignment horizontal="right" vertical="center" wrapText="1"/>
    </xf>
    <xf numFmtId="0" fontId="8" fillId="2" borderId="13" xfId="0" applyFont="1" applyFill="1" applyBorder="1" applyAlignment="1">
      <alignment vertical="center"/>
    </xf>
    <xf numFmtId="0" fontId="8" fillId="0" borderId="13" xfId="0" applyFont="1" applyBorder="1" applyAlignment="1">
      <alignment vertical="center"/>
    </xf>
    <xf numFmtId="0" fontId="115" fillId="2" borderId="49" xfId="0" applyFont="1" applyFill="1" applyBorder="1" applyAlignment="1">
      <alignment horizontal="right" vertical="center"/>
    </xf>
    <xf numFmtId="0" fontId="106" fillId="2" borderId="0" xfId="0" applyFont="1" applyFill="1" applyAlignment="1">
      <alignment vertical="center"/>
    </xf>
    <xf numFmtId="0" fontId="115" fillId="2" borderId="49" xfId="0" applyFont="1" applyFill="1" applyBorder="1" applyAlignment="1">
      <alignment horizontal="center" vertical="center"/>
    </xf>
    <xf numFmtId="0" fontId="115" fillId="2" borderId="50" xfId="0" applyFont="1" applyFill="1" applyBorder="1" applyAlignment="1">
      <alignment horizontal="center" vertical="center"/>
    </xf>
    <xf numFmtId="0" fontId="115" fillId="2" borderId="7" xfId="0" applyFont="1" applyFill="1" applyBorder="1" applyAlignment="1">
      <alignment horizontal="center" vertical="center"/>
    </xf>
    <xf numFmtId="2" fontId="115" fillId="2" borderId="31" xfId="0" applyNumberFormat="1" applyFont="1" applyFill="1" applyBorder="1" applyAlignment="1">
      <alignment horizontal="center" vertical="center" wrapText="1"/>
    </xf>
    <xf numFmtId="2" fontId="153" fillId="20" borderId="31" xfId="0" applyNumberFormat="1" applyFont="1" applyFill="1" applyBorder="1" applyAlignment="1">
      <alignment horizontal="center" vertical="center" wrapText="1"/>
    </xf>
    <xf numFmtId="1" fontId="153" fillId="20" borderId="31" xfId="0" applyNumberFormat="1" applyFont="1" applyFill="1" applyBorder="1" applyAlignment="1">
      <alignment horizontal="center" vertical="center" wrapText="1"/>
    </xf>
    <xf numFmtId="0" fontId="87" fillId="4" borderId="31" xfId="0" applyFont="1" applyFill="1" applyBorder="1" applyAlignment="1">
      <alignment horizontal="right"/>
    </xf>
    <xf numFmtId="9" fontId="87" fillId="4" borderId="31" xfId="3" applyFont="1" applyFill="1" applyBorder="1" applyAlignment="1">
      <alignment horizontal="right"/>
    </xf>
    <xf numFmtId="3" fontId="13" fillId="2" borderId="0" xfId="0" applyNumberFormat="1" applyFont="1" applyFill="1"/>
    <xf numFmtId="9" fontId="119" fillId="20" borderId="31" xfId="3" applyFont="1" applyFill="1" applyBorder="1" applyAlignment="1">
      <alignment horizontal="center" wrapText="1"/>
    </xf>
    <xf numFmtId="0" fontId="115" fillId="2" borderId="0" xfId="0" applyFont="1" applyFill="1" applyAlignment="1">
      <alignment horizontal="left" vertical="center" wrapText="1"/>
    </xf>
    <xf numFmtId="166" fontId="115" fillId="2" borderId="0" xfId="2" applyNumberFormat="1" applyFont="1" applyFill="1" applyBorder="1" applyAlignment="1">
      <alignment horizontal="right" vertical="center" wrapText="1"/>
    </xf>
    <xf numFmtId="166" fontId="86" fillId="2" borderId="0" xfId="2" applyNumberFormat="1" applyFont="1" applyFill="1" applyBorder="1" applyAlignment="1">
      <alignment horizontal="right" vertical="center" wrapText="1"/>
    </xf>
    <xf numFmtId="9" fontId="86" fillId="2" borderId="0" xfId="3" applyFont="1" applyFill="1" applyBorder="1" applyAlignment="1">
      <alignment vertical="center" wrapText="1"/>
    </xf>
    <xf numFmtId="0" fontId="121" fillId="21" borderId="31" xfId="0" applyFont="1" applyFill="1" applyBorder="1" applyAlignment="1">
      <alignment horizontal="left" vertical="center" wrapText="1"/>
    </xf>
    <xf numFmtId="0" fontId="114" fillId="2" borderId="31" xfId="0" applyFont="1" applyFill="1" applyBorder="1" applyAlignment="1">
      <alignment horizontal="right" vertical="center" wrapText="1"/>
    </xf>
    <xf numFmtId="0" fontId="115" fillId="2" borderId="31" xfId="0" applyFont="1" applyFill="1" applyBorder="1" applyAlignment="1">
      <alignment horizontal="right" vertical="center" wrapText="1"/>
    </xf>
    <xf numFmtId="0" fontId="86" fillId="20" borderId="31" xfId="0" applyFont="1" applyFill="1" applyBorder="1" applyAlignment="1">
      <alignment horizontal="right" vertical="center" wrapText="1"/>
    </xf>
    <xf numFmtId="0" fontId="115" fillId="2" borderId="31" xfId="2" applyNumberFormat="1" applyFont="1" applyFill="1" applyBorder="1" applyAlignment="1">
      <alignment horizontal="right" vertical="center" wrapText="1"/>
    </xf>
    <xf numFmtId="9" fontId="35" fillId="5" borderId="0" xfId="3" applyFont="1" applyFill="1" applyAlignment="1">
      <alignment horizontal="center" vertical="center" wrapText="1"/>
    </xf>
    <xf numFmtId="0" fontId="115" fillId="2" borderId="32" xfId="0" applyFont="1" applyFill="1" applyBorder="1" applyAlignment="1">
      <alignment horizontal="left" vertical="center" wrapText="1"/>
    </xf>
    <xf numFmtId="166" fontId="86" fillId="20" borderId="32" xfId="2" applyNumberFormat="1" applyFont="1" applyFill="1" applyBorder="1" applyAlignment="1">
      <alignment horizontal="right" vertical="center" wrapText="1"/>
    </xf>
    <xf numFmtId="166" fontId="115" fillId="2" borderId="32" xfId="2" applyNumberFormat="1" applyFont="1" applyFill="1" applyBorder="1" applyAlignment="1">
      <alignment horizontal="right" vertical="center" wrapText="1"/>
    </xf>
    <xf numFmtId="0" fontId="121" fillId="0" borderId="31" xfId="0" applyFont="1" applyBorder="1" applyAlignment="1">
      <alignment horizontal="right" vertical="center"/>
    </xf>
    <xf numFmtId="166" fontId="121" fillId="0" borderId="31" xfId="2" applyNumberFormat="1" applyFont="1" applyFill="1" applyBorder="1" applyAlignment="1">
      <alignment horizontal="right" vertical="center" wrapText="1"/>
    </xf>
    <xf numFmtId="0" fontId="121" fillId="0" borderId="31" xfId="0" applyFont="1" applyBorder="1" applyAlignment="1">
      <alignment horizontal="right" vertical="center" wrapText="1"/>
    </xf>
    <xf numFmtId="9" fontId="155" fillId="4" borderId="31" xfId="3" applyFont="1" applyFill="1" applyBorder="1" applyAlignment="1">
      <alignment horizontal="right" vertical="center"/>
    </xf>
    <xf numFmtId="9" fontId="115" fillId="2" borderId="0" xfId="3" applyFont="1" applyFill="1" applyBorder="1" applyAlignment="1">
      <alignment horizontal="right" vertical="center" wrapText="1"/>
    </xf>
    <xf numFmtId="164" fontId="115" fillId="2" borderId="0" xfId="3" applyNumberFormat="1" applyFont="1" applyFill="1" applyBorder="1" applyAlignment="1">
      <alignment horizontal="right" vertical="center" wrapText="1"/>
    </xf>
    <xf numFmtId="0" fontId="121" fillId="2" borderId="31" xfId="0" applyFont="1" applyFill="1" applyBorder="1" applyAlignment="1">
      <alignment horizontal="right" vertical="center" wrapText="1"/>
    </xf>
    <xf numFmtId="0" fontId="137" fillId="2" borderId="0" xfId="0" applyFont="1" applyFill="1" applyAlignment="1">
      <alignment horizontal="left" vertical="center"/>
    </xf>
    <xf numFmtId="0" fontId="41" fillId="2" borderId="0" xfId="0" applyFont="1" applyFill="1" applyAlignment="1">
      <alignment horizontal="left" vertical="center" wrapText="1"/>
    </xf>
    <xf numFmtId="0" fontId="42" fillId="2" borderId="0" xfId="0" applyFont="1" applyFill="1" applyAlignment="1">
      <alignment horizontal="right" vertical="center"/>
    </xf>
    <xf numFmtId="0" fontId="43" fillId="2" borderId="0" xfId="0" applyFont="1" applyFill="1" applyAlignment="1">
      <alignment horizontal="center" vertical="center"/>
    </xf>
    <xf numFmtId="0" fontId="37" fillId="2" borderId="0" xfId="0" applyFont="1" applyFill="1" applyAlignment="1">
      <alignment vertical="center" wrapText="1"/>
    </xf>
    <xf numFmtId="0" fontId="49" fillId="2" borderId="0" xfId="0" applyFont="1" applyFill="1" applyAlignment="1">
      <alignment horizontal="right" vertical="center" wrapText="1"/>
    </xf>
    <xf numFmtId="0" fontId="49" fillId="2" borderId="0" xfId="0" applyFont="1" applyFill="1" applyAlignment="1">
      <alignment horizontal="right" vertical="center"/>
    </xf>
    <xf numFmtId="0" fontId="118" fillId="12" borderId="31" xfId="0" applyFont="1" applyFill="1" applyBorder="1" applyAlignment="1">
      <alignment horizontal="left" vertical="center" wrapText="1"/>
    </xf>
    <xf numFmtId="164" fontId="8" fillId="2" borderId="0" xfId="0" applyNumberFormat="1" applyFont="1" applyFill="1" applyAlignment="1">
      <alignment vertical="center"/>
    </xf>
    <xf numFmtId="0" fontId="163" fillId="2" borderId="0" xfId="0" applyFont="1" applyFill="1" applyAlignment="1">
      <alignment vertical="center"/>
    </xf>
    <xf numFmtId="0" fontId="13" fillId="0" borderId="0" xfId="0" applyFont="1" applyAlignment="1">
      <alignment horizontal="right" vertical="center" wrapText="1"/>
    </xf>
    <xf numFmtId="0" fontId="8" fillId="21" borderId="31" xfId="0" applyFont="1" applyFill="1" applyBorder="1" applyAlignment="1">
      <alignment horizontal="center" vertical="center" wrapText="1"/>
    </xf>
    <xf numFmtId="0" fontId="7" fillId="0" borderId="28" xfId="0" applyFont="1" applyBorder="1" applyAlignment="1">
      <alignment horizontal="right" vertical="center" wrapText="1"/>
    </xf>
    <xf numFmtId="0" fontId="118" fillId="19" borderId="36" xfId="0" applyFont="1" applyFill="1" applyBorder="1" applyAlignment="1">
      <alignment vertical="center" wrapText="1"/>
    </xf>
    <xf numFmtId="0" fontId="118" fillId="19" borderId="36" xfId="0" applyFont="1" applyFill="1" applyBorder="1" applyAlignment="1">
      <alignment horizontal="left" vertical="center" wrapText="1"/>
    </xf>
    <xf numFmtId="0" fontId="118" fillId="19" borderId="40" xfId="0" applyFont="1" applyFill="1" applyBorder="1" applyAlignment="1">
      <alignment horizontal="left" vertical="center" wrapText="1"/>
    </xf>
    <xf numFmtId="0" fontId="118" fillId="12" borderId="36" xfId="0" applyFont="1" applyFill="1" applyBorder="1" applyAlignment="1">
      <alignment vertical="center" wrapText="1"/>
    </xf>
    <xf numFmtId="0" fontId="164" fillId="0" borderId="31" xfId="0" applyFont="1" applyBorder="1" applyAlignment="1">
      <alignment horizontal="left" vertical="center" wrapText="1"/>
    </xf>
    <xf numFmtId="0" fontId="165" fillId="0" borderId="31" xfId="1" applyFont="1" applyFill="1" applyBorder="1" applyAlignment="1">
      <alignment horizontal="left" vertical="center" wrapText="1"/>
    </xf>
    <xf numFmtId="0" fontId="12" fillId="0" borderId="32" xfId="0" applyFont="1" applyBorder="1" applyAlignment="1">
      <alignment vertical="center" wrapText="1"/>
    </xf>
    <xf numFmtId="0" fontId="165" fillId="0" borderId="32" xfId="1" applyFont="1" applyFill="1" applyBorder="1" applyAlignment="1">
      <alignment horizontal="left" vertical="center" wrapText="1"/>
    </xf>
    <xf numFmtId="0" fontId="12" fillId="44" borderId="31" xfId="0" applyFont="1" applyFill="1" applyBorder="1" applyAlignment="1">
      <alignment vertical="center" wrapText="1"/>
    </xf>
    <xf numFmtId="3" fontId="86" fillId="20" borderId="31" xfId="0" applyNumberFormat="1" applyFont="1" applyFill="1" applyBorder="1" applyAlignment="1">
      <alignment wrapText="1"/>
    </xf>
    <xf numFmtId="3" fontId="10" fillId="0" borderId="31" xfId="0" applyNumberFormat="1" applyFont="1" applyBorder="1" applyAlignment="1">
      <alignment horizontal="right" vertical="center" wrapText="1"/>
    </xf>
    <xf numFmtId="3" fontId="7" fillId="0" borderId="31" xfId="0" applyNumberFormat="1" applyFont="1" applyBorder="1" applyAlignment="1">
      <alignment vertical="center" wrapText="1"/>
    </xf>
    <xf numFmtId="3" fontId="7" fillId="4" borderId="31" xfId="0" applyNumberFormat="1" applyFont="1" applyFill="1" applyBorder="1" applyAlignment="1">
      <alignment horizontal="right" vertical="center" wrapText="1"/>
    </xf>
    <xf numFmtId="0" fontId="115" fillId="0" borderId="0" xfId="0" applyFont="1" applyAlignment="1">
      <alignment horizontal="left" vertical="center" wrapText="1"/>
    </xf>
    <xf numFmtId="165" fontId="87" fillId="0" borderId="0" xfId="0" applyNumberFormat="1" applyFont="1" applyAlignment="1">
      <alignment horizontal="right" vertical="center" wrapText="1"/>
    </xf>
    <xf numFmtId="171" fontId="114" fillId="0" borderId="0" xfId="0" applyNumberFormat="1" applyFont="1" applyAlignment="1">
      <alignment horizontal="right" vertical="center"/>
    </xf>
    <xf numFmtId="171" fontId="87" fillId="4" borderId="31" xfId="0" applyNumberFormat="1" applyFont="1" applyFill="1" applyBorder="1" applyAlignment="1">
      <alignment horizontal="right"/>
    </xf>
    <xf numFmtId="0" fontId="166" fillId="0" borderId="0" xfId="0" applyFont="1" applyAlignment="1">
      <alignment vertical="center"/>
    </xf>
    <xf numFmtId="0" fontId="11" fillId="19" borderId="31" xfId="0" applyFont="1" applyFill="1" applyBorder="1" applyAlignment="1">
      <alignment horizontal="right" vertical="center"/>
    </xf>
    <xf numFmtId="0" fontId="11" fillId="2" borderId="47" xfId="0" applyFont="1" applyFill="1" applyBorder="1" applyAlignment="1">
      <alignment horizontal="right" vertical="center"/>
    </xf>
    <xf numFmtId="0" fontId="11" fillId="2" borderId="46" xfId="0" applyFont="1" applyFill="1" applyBorder="1" applyAlignment="1">
      <alignment horizontal="right" vertical="center"/>
    </xf>
    <xf numFmtId="2" fontId="13" fillId="2" borderId="0" xfId="0" applyNumberFormat="1" applyFont="1" applyFill="1" applyAlignment="1">
      <alignment vertical="center"/>
    </xf>
    <xf numFmtId="164" fontId="13" fillId="2" borderId="0" xfId="3" applyNumberFormat="1" applyFont="1" applyFill="1" applyAlignment="1">
      <alignment vertical="center"/>
    </xf>
    <xf numFmtId="0" fontId="169" fillId="2" borderId="31" xfId="0" applyFont="1" applyFill="1" applyBorder="1" applyAlignment="1">
      <alignment horizontal="right" vertical="center" wrapText="1"/>
    </xf>
    <xf numFmtId="0" fontId="169" fillId="2" borderId="52" xfId="0" applyFont="1" applyFill="1" applyBorder="1" applyAlignment="1">
      <alignment horizontal="right" vertical="center" wrapText="1"/>
    </xf>
    <xf numFmtId="0" fontId="169" fillId="2" borderId="53" xfId="0" applyFont="1" applyFill="1" applyBorder="1" applyAlignment="1">
      <alignment horizontal="right" vertical="center" wrapText="1"/>
    </xf>
    <xf numFmtId="0" fontId="171" fillId="0" borderId="51" xfId="1" applyFont="1" applyBorder="1" applyAlignment="1">
      <alignment horizontal="right" vertical="center" wrapText="1"/>
    </xf>
    <xf numFmtId="0" fontId="108" fillId="2" borderId="44" xfId="0" applyFont="1" applyFill="1" applyBorder="1" applyAlignment="1">
      <alignment horizontal="right" vertical="center" wrapText="1"/>
    </xf>
    <xf numFmtId="0" fontId="172" fillId="2" borderId="33" xfId="1" applyFont="1" applyFill="1" applyBorder="1" applyAlignment="1">
      <alignment horizontal="right" vertical="center" wrapText="1"/>
    </xf>
    <xf numFmtId="0" fontId="108" fillId="2" borderId="34" xfId="0" applyFont="1" applyFill="1" applyBorder="1" applyAlignment="1">
      <alignment horizontal="right" vertical="center" wrapText="1"/>
    </xf>
    <xf numFmtId="0" fontId="108" fillId="2" borderId="33" xfId="0" applyFont="1" applyFill="1" applyBorder="1" applyAlignment="1">
      <alignment horizontal="right" vertical="center" wrapText="1"/>
    </xf>
    <xf numFmtId="0" fontId="108" fillId="0" borderId="84" xfId="0" applyFont="1" applyBorder="1" applyAlignment="1">
      <alignment vertical="center" wrapText="1"/>
    </xf>
    <xf numFmtId="0" fontId="108" fillId="0" borderId="13" xfId="0" applyFont="1" applyBorder="1" applyAlignment="1">
      <alignment horizontal="left" vertical="center" wrapText="1"/>
    </xf>
    <xf numFmtId="0" fontId="12" fillId="0" borderId="48" xfId="0" applyFont="1" applyBorder="1" applyAlignment="1">
      <alignment vertical="center" wrapText="1"/>
    </xf>
    <xf numFmtId="164" fontId="108" fillId="2" borderId="81" xfId="0" applyNumberFormat="1" applyFont="1" applyFill="1" applyBorder="1" applyAlignment="1">
      <alignment horizontal="right" vertical="center" wrapText="1"/>
    </xf>
    <xf numFmtId="0" fontId="12" fillId="0" borderId="49" xfId="0" applyFont="1" applyBorder="1" applyAlignment="1">
      <alignment vertical="center" wrapText="1"/>
    </xf>
    <xf numFmtId="0" fontId="12" fillId="0" borderId="7" xfId="0" applyFont="1" applyBorder="1" applyAlignment="1">
      <alignment vertical="center" wrapText="1"/>
    </xf>
    <xf numFmtId="164" fontId="172" fillId="2" borderId="81" xfId="1" applyNumberFormat="1" applyFont="1" applyFill="1" applyBorder="1" applyAlignment="1">
      <alignment horizontal="right" vertical="center" wrapText="1"/>
    </xf>
    <xf numFmtId="0" fontId="13" fillId="0" borderId="31" xfId="0" applyFont="1" applyBorder="1" applyAlignment="1">
      <alignment horizontal="left" vertical="center" wrapText="1"/>
    </xf>
    <xf numFmtId="0" fontId="87" fillId="20" borderId="31" xfId="0" applyFont="1" applyFill="1" applyBorder="1" applyAlignment="1">
      <alignment horizontal="right" vertical="center" wrapText="1"/>
    </xf>
    <xf numFmtId="166" fontId="156" fillId="0" borderId="54" xfId="2" applyNumberFormat="1" applyFont="1" applyFill="1" applyBorder="1" applyAlignment="1">
      <alignment horizontal="right" vertical="center"/>
    </xf>
    <xf numFmtId="9" fontId="156" fillId="0" borderId="54" xfId="3" applyFont="1" applyFill="1" applyBorder="1" applyAlignment="1">
      <alignment horizontal="right" vertical="center"/>
    </xf>
    <xf numFmtId="0" fontId="156" fillId="0" borderId="54" xfId="0" applyFont="1" applyBorder="1" applyAlignment="1">
      <alignment horizontal="right" vertical="center"/>
    </xf>
    <xf numFmtId="2" fontId="156" fillId="0" borderId="54" xfId="0" applyNumberFormat="1" applyFont="1" applyBorder="1" applyAlignment="1">
      <alignment horizontal="right" vertical="center"/>
    </xf>
    <xf numFmtId="166" fontId="13" fillId="25" borderId="54" xfId="2" applyNumberFormat="1" applyFont="1" applyFill="1" applyBorder="1" applyAlignment="1">
      <alignment horizontal="right" vertical="center"/>
    </xf>
    <xf numFmtId="9" fontId="112" fillId="25" borderId="54" xfId="3" applyFont="1" applyFill="1" applyBorder="1" applyAlignment="1">
      <alignment vertical="center"/>
    </xf>
    <xf numFmtId="9" fontId="13" fillId="25" borderId="54" xfId="3" applyFont="1" applyFill="1" applyBorder="1" applyAlignment="1">
      <alignment horizontal="right" vertical="center"/>
    </xf>
    <xf numFmtId="0" fontId="13" fillId="25" borderId="54" xfId="0" applyFont="1" applyFill="1" applyBorder="1" applyAlignment="1">
      <alignment horizontal="right" vertical="center"/>
    </xf>
    <xf numFmtId="2" fontId="13" fillId="25" borderId="54" xfId="0" applyNumberFormat="1" applyFont="1" applyFill="1" applyBorder="1" applyAlignment="1">
      <alignment horizontal="right" vertical="center"/>
    </xf>
    <xf numFmtId="166" fontId="156" fillId="20" borderId="54" xfId="2" applyNumberFormat="1" applyFont="1" applyFill="1" applyBorder="1" applyAlignment="1">
      <alignment horizontal="right" vertical="center"/>
    </xf>
    <xf numFmtId="9" fontId="112" fillId="20" borderId="54" xfId="3" applyFont="1" applyFill="1" applyBorder="1" applyAlignment="1">
      <alignment vertical="center"/>
    </xf>
    <xf numFmtId="9" fontId="156" fillId="20" borderId="54" xfId="3" applyFont="1" applyFill="1" applyBorder="1" applyAlignment="1">
      <alignment horizontal="right" vertical="center"/>
    </xf>
    <xf numFmtId="164" fontId="112" fillId="20" borderId="54" xfId="3" applyNumberFormat="1" applyFont="1" applyFill="1" applyBorder="1" applyAlignment="1">
      <alignment vertical="center"/>
    </xf>
    <xf numFmtId="0" fontId="156" fillId="20" borderId="54" xfId="0" applyFont="1" applyFill="1" applyBorder="1" applyAlignment="1">
      <alignment horizontal="right" vertical="center"/>
    </xf>
    <xf numFmtId="2" fontId="156" fillId="20" borderId="54" xfId="0" applyNumberFormat="1" applyFont="1" applyFill="1" applyBorder="1" applyAlignment="1">
      <alignment horizontal="right" vertical="center"/>
    </xf>
    <xf numFmtId="0" fontId="12" fillId="0" borderId="52" xfId="0" applyFont="1" applyBorder="1" applyAlignment="1">
      <alignment horizontal="right" vertical="center" wrapText="1"/>
    </xf>
    <xf numFmtId="0" fontId="13" fillId="0" borderId="31" xfId="0" applyFont="1" applyBorder="1" applyAlignment="1">
      <alignment horizontal="right" vertical="center"/>
    </xf>
    <xf numFmtId="0" fontId="13" fillId="0" borderId="53" xfId="0" applyFont="1" applyBorder="1" applyAlignment="1">
      <alignment horizontal="right" vertical="center" wrapText="1"/>
    </xf>
    <xf numFmtId="0" fontId="11" fillId="0" borderId="31" xfId="0" applyFont="1" applyBorder="1" applyAlignment="1">
      <alignment horizontal="right" vertical="center" wrapText="1"/>
    </xf>
    <xf numFmtId="0" fontId="12" fillId="0" borderId="38" xfId="0" applyFont="1" applyBorder="1" applyAlignment="1">
      <alignment horizontal="right" vertical="center" wrapText="1"/>
    </xf>
    <xf numFmtId="0" fontId="12" fillId="0" borderId="35" xfId="0" applyFont="1" applyBorder="1" applyAlignment="1">
      <alignment horizontal="right" vertical="center" wrapText="1"/>
    </xf>
    <xf numFmtId="0" fontId="12" fillId="0" borderId="35" xfId="0" applyFont="1" applyBorder="1" applyAlignment="1">
      <alignment horizontal="right" vertical="center"/>
    </xf>
    <xf numFmtId="0" fontId="12" fillId="0" borderId="56" xfId="0" applyFont="1" applyBorder="1" applyAlignment="1">
      <alignment horizontal="right" vertical="center"/>
    </xf>
    <xf numFmtId="1" fontId="86" fillId="20" borderId="31" xfId="2" applyNumberFormat="1" applyFont="1" applyFill="1" applyBorder="1" applyAlignment="1">
      <alignment horizontal="right" vertical="center" wrapText="1"/>
    </xf>
    <xf numFmtId="1" fontId="86" fillId="20" borderId="32" xfId="2" applyNumberFormat="1" applyFont="1" applyFill="1" applyBorder="1" applyAlignment="1">
      <alignment horizontal="right" vertical="center" wrapText="1"/>
    </xf>
    <xf numFmtId="1" fontId="87" fillId="20" borderId="31" xfId="2" applyNumberFormat="1" applyFont="1" applyFill="1" applyBorder="1" applyAlignment="1">
      <alignment horizontal="right" vertical="center" wrapText="1"/>
    </xf>
    <xf numFmtId="1" fontId="115" fillId="2" borderId="31" xfId="2" applyNumberFormat="1" applyFont="1" applyFill="1" applyBorder="1" applyAlignment="1">
      <alignment horizontal="right" vertical="center" wrapText="1"/>
    </xf>
    <xf numFmtId="1" fontId="115" fillId="2" borderId="32" xfId="2" applyNumberFormat="1" applyFont="1" applyFill="1" applyBorder="1" applyAlignment="1">
      <alignment horizontal="right" vertical="center" wrapText="1"/>
    </xf>
    <xf numFmtId="1" fontId="121" fillId="0" borderId="31" xfId="2" applyNumberFormat="1" applyFont="1" applyFill="1" applyBorder="1" applyAlignment="1">
      <alignment horizontal="right" vertical="center" wrapText="1"/>
    </xf>
    <xf numFmtId="1" fontId="86" fillId="20" borderId="31" xfId="0" applyNumberFormat="1" applyFont="1" applyFill="1" applyBorder="1" applyAlignment="1">
      <alignment horizontal="right" vertical="center" wrapText="1"/>
    </xf>
    <xf numFmtId="1" fontId="114" fillId="2" borderId="31" xfId="0" applyNumberFormat="1" applyFont="1" applyFill="1" applyBorder="1" applyAlignment="1">
      <alignment horizontal="right" vertical="center" wrapText="1"/>
    </xf>
    <xf numFmtId="1" fontId="115" fillId="2" borderId="31" xfId="0" applyNumberFormat="1" applyFont="1" applyFill="1" applyBorder="1" applyAlignment="1">
      <alignment horizontal="right" vertical="center" wrapText="1"/>
    </xf>
    <xf numFmtId="1" fontId="121" fillId="0" borderId="31" xfId="2" applyNumberFormat="1" applyFont="1" applyBorder="1" applyAlignment="1">
      <alignment horizontal="right" vertical="center" wrapText="1"/>
    </xf>
    <xf numFmtId="1" fontId="87" fillId="20" borderId="31" xfId="0" applyNumberFormat="1" applyFont="1" applyFill="1" applyBorder="1" applyAlignment="1">
      <alignment horizontal="right" vertical="center" wrapText="1"/>
    </xf>
    <xf numFmtId="1" fontId="115" fillId="0" borderId="31" xfId="0" applyNumberFormat="1" applyFont="1" applyBorder="1" applyAlignment="1">
      <alignment horizontal="right" vertical="center" wrapText="1"/>
    </xf>
    <xf numFmtId="1" fontId="121" fillId="0" borderId="31" xfId="0" applyNumberFormat="1" applyFont="1" applyBorder="1" applyAlignment="1">
      <alignment horizontal="right" vertical="center" wrapText="1"/>
    </xf>
    <xf numFmtId="9" fontId="87" fillId="20" borderId="31" xfId="3" applyFont="1" applyFill="1" applyBorder="1" applyAlignment="1">
      <alignment horizontal="right" vertical="center" wrapText="1"/>
    </xf>
    <xf numFmtId="9" fontId="86" fillId="20" borderId="31" xfId="2" applyNumberFormat="1" applyFont="1" applyFill="1" applyBorder="1" applyAlignment="1">
      <alignment horizontal="right" vertical="center" wrapText="1"/>
    </xf>
    <xf numFmtId="9" fontId="87" fillId="20" borderId="31" xfId="2" applyNumberFormat="1" applyFont="1" applyFill="1" applyBorder="1" applyAlignment="1">
      <alignment horizontal="right" vertical="center" wrapText="1"/>
    </xf>
    <xf numFmtId="9" fontId="115" fillId="2" borderId="31" xfId="2" applyNumberFormat="1" applyFont="1" applyFill="1" applyBorder="1" applyAlignment="1">
      <alignment horizontal="right" vertical="center" wrapText="1"/>
    </xf>
    <xf numFmtId="9" fontId="121" fillId="2" borderId="31" xfId="2" applyNumberFormat="1" applyFont="1" applyFill="1" applyBorder="1" applyAlignment="1">
      <alignment horizontal="right" vertical="center" wrapText="1"/>
    </xf>
    <xf numFmtId="0" fontId="174" fillId="0" borderId="31" xfId="1" applyFont="1" applyFill="1" applyBorder="1" applyAlignment="1">
      <alignment horizontal="right" vertical="center" wrapText="1"/>
    </xf>
    <xf numFmtId="0" fontId="175" fillId="0" borderId="42" xfId="1" applyFont="1" applyFill="1" applyBorder="1" applyAlignment="1">
      <alignment horizontal="right" vertical="center" wrapText="1"/>
    </xf>
    <xf numFmtId="0" fontId="165" fillId="0" borderId="53" xfId="1" applyFont="1" applyFill="1" applyBorder="1" applyAlignment="1">
      <alignment horizontal="right" vertical="center" wrapText="1"/>
    </xf>
    <xf numFmtId="0" fontId="102"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6" borderId="0" xfId="0" applyFont="1" applyFill="1" applyAlignment="1">
      <alignment horizontal="left" vertical="top" wrapText="1"/>
    </xf>
    <xf numFmtId="0" fontId="50" fillId="36"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69" fillId="4" borderId="0" xfId="0" applyFont="1" applyFill="1" applyAlignment="1">
      <alignment horizontal="left" vertical="top" wrapText="1" indent="1"/>
    </xf>
    <xf numFmtId="0" fontId="12" fillId="4" borderId="0" xfId="0" applyFont="1" applyFill="1" applyAlignment="1">
      <alignment horizontal="left" vertical="top" wrapText="1" indent="4"/>
    </xf>
    <xf numFmtId="0" fontId="11" fillId="4" borderId="0" xfId="0" applyFont="1" applyFill="1" applyAlignment="1">
      <alignment horizontal="left" vertical="top" wrapText="1" indent="4"/>
    </xf>
    <xf numFmtId="0" fontId="151" fillId="2" borderId="0" xfId="0" applyFont="1" applyFill="1" applyAlignment="1">
      <alignment horizontal="left" wrapText="1"/>
    </xf>
    <xf numFmtId="0" fontId="63" fillId="33" borderId="71" xfId="0" applyFont="1" applyFill="1" applyBorder="1" applyAlignment="1">
      <alignment horizontal="center" vertical="center"/>
    </xf>
    <xf numFmtId="0" fontId="63" fillId="33" borderId="72" xfId="0" applyFont="1" applyFill="1" applyBorder="1" applyAlignment="1">
      <alignment horizontal="center" vertical="center"/>
    </xf>
    <xf numFmtId="0" fontId="63" fillId="33" borderId="73" xfId="0" applyFont="1" applyFill="1" applyBorder="1" applyAlignment="1">
      <alignment horizontal="center" vertical="center"/>
    </xf>
    <xf numFmtId="0" fontId="63" fillId="37" borderId="71" xfId="0" applyFont="1" applyFill="1" applyBorder="1" applyAlignment="1">
      <alignment horizontal="center" vertical="center"/>
    </xf>
    <xf numFmtId="0" fontId="63" fillId="37" borderId="72" xfId="0" applyFont="1" applyFill="1" applyBorder="1" applyAlignment="1">
      <alignment horizontal="center" vertical="center"/>
    </xf>
    <xf numFmtId="0" fontId="63" fillId="37" borderId="73" xfId="0" applyFont="1" applyFill="1" applyBorder="1" applyAlignment="1">
      <alignment horizontal="center" vertical="center"/>
    </xf>
    <xf numFmtId="0" fontId="21" fillId="32" borderId="68" xfId="0" applyFont="1" applyFill="1" applyBorder="1" applyAlignment="1">
      <alignment horizontal="left" vertical="center" indent="1"/>
    </xf>
    <xf numFmtId="0" fontId="21" fillId="32" borderId="69" xfId="0" applyFont="1" applyFill="1" applyBorder="1" applyAlignment="1">
      <alignment horizontal="left" vertical="center" indent="1"/>
    </xf>
    <xf numFmtId="0" fontId="118" fillId="33" borderId="52" xfId="0" applyFont="1" applyFill="1" applyBorder="1" applyAlignment="1">
      <alignment horizontal="left" vertical="center" wrapText="1"/>
    </xf>
    <xf numFmtId="0" fontId="118" fillId="12" borderId="31" xfId="0" applyFont="1" applyFill="1" applyBorder="1" applyAlignment="1">
      <alignment horizontal="left" vertical="center" wrapText="1"/>
    </xf>
    <xf numFmtId="0" fontId="12" fillId="0" borderId="35" xfId="0" applyFont="1" applyBorder="1" applyAlignment="1">
      <alignment horizontal="left" vertical="center"/>
    </xf>
    <xf numFmtId="0" fontId="12" fillId="0" borderId="37" xfId="0" applyFont="1" applyBorder="1" applyAlignment="1">
      <alignment horizontal="left" vertical="center"/>
    </xf>
    <xf numFmtId="0" fontId="12" fillId="0" borderId="36" xfId="0" applyFont="1" applyBorder="1" applyAlignment="1">
      <alignment horizontal="left" vertical="center"/>
    </xf>
    <xf numFmtId="0" fontId="12" fillId="19" borderId="35" xfId="0" applyFont="1" applyFill="1" applyBorder="1" applyAlignment="1">
      <alignment horizontal="left" vertical="center" wrapText="1"/>
    </xf>
    <xf numFmtId="0" fontId="12" fillId="19" borderId="37" xfId="0" applyFont="1" applyFill="1" applyBorder="1" applyAlignment="1">
      <alignment horizontal="left" vertical="center" wrapText="1"/>
    </xf>
    <xf numFmtId="0" fontId="12" fillId="19" borderId="36" xfId="0" applyFont="1" applyFill="1" applyBorder="1" applyAlignment="1">
      <alignment horizontal="left" vertical="center" wrapText="1"/>
    </xf>
    <xf numFmtId="0" fontId="115" fillId="0" borderId="74" xfId="0" applyFont="1" applyBorder="1" applyAlignment="1">
      <alignment horizontal="left" vertical="center" wrapText="1"/>
    </xf>
    <xf numFmtId="0" fontId="115" fillId="0" borderId="74" xfId="0" applyFont="1" applyBorder="1" applyAlignment="1">
      <alignment vertical="center"/>
    </xf>
    <xf numFmtId="0" fontId="118" fillId="37" borderId="52" xfId="0" applyFont="1" applyFill="1" applyBorder="1" applyAlignment="1">
      <alignment horizontal="left" vertical="center" wrapText="1"/>
    </xf>
    <xf numFmtId="0" fontId="118" fillId="37" borderId="52" xfId="0" applyFont="1" applyFill="1" applyBorder="1" applyAlignment="1">
      <alignment horizontal="left" vertical="center"/>
    </xf>
    <xf numFmtId="0" fontId="80" fillId="32" borderId="55" xfId="0" applyFont="1" applyFill="1" applyBorder="1" applyAlignment="1">
      <alignment horizontal="center" vertical="center" wrapText="1"/>
    </xf>
    <xf numFmtId="0" fontId="118" fillId="33" borderId="62" xfId="0" applyFont="1" applyFill="1" applyBorder="1" applyAlignment="1">
      <alignment horizontal="left" vertical="center" wrapText="1"/>
    </xf>
    <xf numFmtId="0" fontId="118" fillId="32" borderId="52" xfId="0" applyFont="1" applyFill="1" applyBorder="1" applyAlignment="1">
      <alignment horizontal="left" vertical="center" wrapText="1"/>
    </xf>
    <xf numFmtId="0" fontId="13" fillId="0" borderId="31" xfId="0" applyFont="1" applyBorder="1" applyAlignment="1">
      <alignment horizontal="left" vertical="center" wrapText="1"/>
    </xf>
    <xf numFmtId="0" fontId="118" fillId="12" borderId="32" xfId="0" applyFont="1" applyFill="1" applyBorder="1" applyAlignment="1">
      <alignment horizontal="left" vertical="center" wrapText="1"/>
    </xf>
    <xf numFmtId="0" fontId="66" fillId="14" borderId="52" xfId="0" applyFont="1" applyFill="1" applyBorder="1" applyAlignment="1">
      <alignment horizontal="left" vertical="center" wrapText="1"/>
    </xf>
    <xf numFmtId="0" fontId="104" fillId="36" borderId="32" xfId="0" applyFont="1" applyFill="1" applyBorder="1" applyAlignment="1">
      <alignment horizontal="center" vertical="center" wrapText="1"/>
    </xf>
    <xf numFmtId="0" fontId="118" fillId="33" borderId="52" xfId="0" applyFont="1" applyFill="1" applyBorder="1" applyAlignment="1">
      <alignment horizontal="left" vertical="center"/>
    </xf>
    <xf numFmtId="0" fontId="12" fillId="0" borderId="56"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1" fillId="2" borderId="31" xfId="0" applyFont="1" applyFill="1" applyBorder="1" applyAlignment="1">
      <alignment horizontal="left" vertical="center"/>
    </xf>
    <xf numFmtId="0" fontId="12" fillId="2" borderId="31" xfId="0" applyFont="1" applyFill="1" applyBorder="1" applyAlignment="1">
      <alignment horizontal="right" vertical="center" wrapText="1"/>
    </xf>
    <xf numFmtId="0" fontId="12" fillId="0" borderId="31" xfId="0" applyFont="1" applyBorder="1" applyAlignment="1">
      <alignment horizontal="center" vertical="center"/>
    </xf>
    <xf numFmtId="0" fontId="121" fillId="12" borderId="31" xfId="0" applyFont="1" applyFill="1" applyBorder="1" applyAlignment="1">
      <alignment horizontal="left" vertical="center" wrapText="1"/>
    </xf>
    <xf numFmtId="0" fontId="121" fillId="12" borderId="32" xfId="0" applyFont="1" applyFill="1" applyBorder="1" applyAlignment="1">
      <alignment horizontal="left" vertical="center" wrapText="1"/>
    </xf>
    <xf numFmtId="0" fontId="121" fillId="12" borderId="53" xfId="0" applyFont="1" applyFill="1" applyBorder="1" applyAlignment="1">
      <alignment horizontal="left" vertical="center" wrapText="1"/>
    </xf>
    <xf numFmtId="0" fontId="117" fillId="12" borderId="41" xfId="0" applyFont="1" applyFill="1" applyBorder="1" applyAlignment="1">
      <alignment horizontal="left" vertical="center"/>
    </xf>
    <xf numFmtId="0" fontId="66" fillId="19" borderId="36" xfId="0" applyFont="1" applyFill="1" applyBorder="1" applyAlignment="1">
      <alignment horizontal="left" vertical="center" wrapText="1"/>
    </xf>
    <xf numFmtId="0" fontId="174" fillId="0" borderId="35" xfId="1" applyFont="1" applyFill="1" applyBorder="1" applyAlignment="1">
      <alignment horizontal="left" vertical="center"/>
    </xf>
    <xf numFmtId="0" fontId="174" fillId="0" borderId="37" xfId="1" applyFont="1" applyFill="1" applyBorder="1" applyAlignment="1">
      <alignment horizontal="left" vertical="center"/>
    </xf>
    <xf numFmtId="0" fontId="174" fillId="0" borderId="36" xfId="1" applyFont="1" applyFill="1" applyBorder="1" applyAlignment="1">
      <alignment horizontal="left" vertical="center"/>
    </xf>
    <xf numFmtId="0" fontId="66" fillId="14" borderId="36" xfId="0" applyFont="1" applyFill="1" applyBorder="1" applyAlignment="1">
      <alignment horizontal="left" vertical="center" wrapText="1"/>
    </xf>
    <xf numFmtId="0" fontId="66" fillId="14" borderId="31" xfId="0" applyFont="1" applyFill="1" applyBorder="1" applyAlignment="1">
      <alignment horizontal="left" vertical="center" wrapText="1"/>
    </xf>
    <xf numFmtId="0" fontId="118" fillId="12" borderId="36" xfId="0" applyFont="1" applyFill="1" applyBorder="1" applyAlignment="1">
      <alignment horizontal="left" vertical="center" wrapText="1"/>
    </xf>
    <xf numFmtId="0" fontId="118" fillId="12" borderId="53" xfId="0" applyFont="1" applyFill="1" applyBorder="1" applyAlignment="1">
      <alignment horizontal="left" vertical="center" wrapText="1"/>
    </xf>
    <xf numFmtId="0" fontId="12" fillId="0" borderId="32" xfId="0" applyFont="1" applyBorder="1" applyAlignment="1">
      <alignment horizontal="center" vertical="center"/>
    </xf>
    <xf numFmtId="0" fontId="12" fillId="0" borderId="35"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xf numFmtId="0" fontId="12" fillId="0" borderId="56" xfId="0" applyFont="1" applyBorder="1" applyAlignment="1">
      <alignment horizontal="left" vertical="center"/>
    </xf>
    <xf numFmtId="0" fontId="12" fillId="0" borderId="59" xfId="0" applyFont="1" applyBorder="1" applyAlignment="1">
      <alignment horizontal="left" vertical="center"/>
    </xf>
    <xf numFmtId="0" fontId="12" fillId="0" borderId="60" xfId="0" applyFont="1" applyBorder="1" applyAlignment="1">
      <alignment horizontal="left" vertical="center"/>
    </xf>
    <xf numFmtId="0" fontId="12" fillId="19" borderId="56" xfId="0" applyFont="1" applyFill="1" applyBorder="1" applyAlignment="1">
      <alignment horizontal="left" vertical="center"/>
    </xf>
    <xf numFmtId="0" fontId="12" fillId="19" borderId="59" xfId="0" applyFont="1" applyFill="1" applyBorder="1" applyAlignment="1">
      <alignment horizontal="left" vertical="center"/>
    </xf>
    <xf numFmtId="0" fontId="12" fillId="19" borderId="60" xfId="0" applyFont="1" applyFill="1" applyBorder="1" applyAlignment="1">
      <alignment horizontal="left" vertical="center"/>
    </xf>
    <xf numFmtId="0" fontId="12" fillId="0" borderId="31" xfId="0" applyFont="1" applyBorder="1" applyAlignment="1">
      <alignment horizontal="center" vertical="center" wrapText="1"/>
    </xf>
    <xf numFmtId="0" fontId="63" fillId="36" borderId="74" xfId="0" applyFont="1" applyFill="1" applyBorder="1" applyAlignment="1">
      <alignment horizontal="left" vertical="center" wrapText="1"/>
    </xf>
    <xf numFmtId="0" fontId="63" fillId="36" borderId="74" xfId="0" applyFont="1" applyFill="1" applyBorder="1" applyAlignment="1">
      <alignment horizontal="left" vertical="center"/>
    </xf>
    <xf numFmtId="0" fontId="60" fillId="2" borderId="0" xfId="0" applyFont="1" applyFill="1" applyAlignment="1">
      <alignment horizontal="left" vertical="center"/>
    </xf>
    <xf numFmtId="0" fontId="19" fillId="13" borderId="39" xfId="0" applyFont="1" applyFill="1" applyBorder="1" applyAlignment="1">
      <alignment horizontal="left" vertical="center"/>
    </xf>
    <xf numFmtId="0" fontId="66" fillId="19" borderId="41" xfId="0" applyFont="1" applyFill="1" applyBorder="1" applyAlignment="1">
      <alignment horizontal="left" vertical="center" wrapText="1"/>
    </xf>
    <xf numFmtId="0" fontId="66" fillId="19" borderId="33" xfId="0" applyFont="1" applyFill="1" applyBorder="1" applyAlignment="1">
      <alignment horizontal="left" vertical="center" wrapText="1"/>
    </xf>
    <xf numFmtId="0" fontId="114" fillId="2" borderId="0" xfId="0" applyFont="1" applyFill="1" applyAlignment="1">
      <alignment horizontal="left" vertical="center" wrapText="1"/>
    </xf>
    <xf numFmtId="0" fontId="116" fillId="2" borderId="0" xfId="0" applyFont="1" applyFill="1" applyAlignment="1">
      <alignment horizontal="center" vertical="center" wrapText="1"/>
    </xf>
    <xf numFmtId="0" fontId="116" fillId="2" borderId="0" xfId="0" applyFont="1" applyFill="1" applyAlignment="1">
      <alignment horizontal="left" vertical="center" wrapText="1"/>
    </xf>
    <xf numFmtId="0" fontId="13" fillId="0" borderId="35" xfId="0" applyFont="1" applyBorder="1" applyAlignment="1">
      <alignment horizontal="left" vertical="center" wrapText="1"/>
    </xf>
    <xf numFmtId="0" fontId="19" fillId="36" borderId="31" xfId="0" applyFont="1" applyFill="1" applyBorder="1" applyAlignment="1">
      <alignment horizontal="left" vertical="center" wrapText="1"/>
    </xf>
    <xf numFmtId="0" fontId="118" fillId="12" borderId="55" xfId="0" applyFont="1" applyFill="1" applyBorder="1" applyAlignment="1">
      <alignment horizontal="left" vertical="center" wrapText="1"/>
    </xf>
    <xf numFmtId="0" fontId="19" fillId="36" borderId="31" xfId="0" applyFont="1" applyFill="1" applyBorder="1" applyAlignment="1">
      <alignment horizontal="center" vertical="center" wrapText="1"/>
    </xf>
    <xf numFmtId="0" fontId="13" fillId="15" borderId="31" xfId="0" applyFont="1" applyFill="1" applyBorder="1" applyAlignment="1">
      <alignment horizontal="center" vertical="center"/>
    </xf>
    <xf numFmtId="0" fontId="13" fillId="15" borderId="52" xfId="0" applyFont="1" applyFill="1" applyBorder="1" applyAlignment="1">
      <alignment horizontal="center" vertical="center" wrapText="1"/>
    </xf>
    <xf numFmtId="0" fontId="12" fillId="15" borderId="61" xfId="0" applyFont="1" applyFill="1" applyBorder="1" applyAlignment="1">
      <alignment horizontal="center" vertical="center" wrapText="1"/>
    </xf>
    <xf numFmtId="0" fontId="121" fillId="12" borderId="55" xfId="0" applyFont="1" applyFill="1" applyBorder="1" applyAlignment="1">
      <alignment horizontal="left" vertical="center" wrapText="1"/>
    </xf>
    <xf numFmtId="0" fontId="65" fillId="0" borderId="31" xfId="0" applyFont="1" applyBorder="1" applyAlignment="1">
      <alignment horizontal="left" vertical="center" wrapText="1"/>
    </xf>
    <xf numFmtId="0" fontId="12" fillId="2" borderId="32" xfId="0" applyFont="1" applyFill="1" applyBorder="1" applyAlignment="1">
      <alignment horizontal="right" vertical="center" wrapText="1"/>
    </xf>
    <xf numFmtId="0" fontId="66" fillId="14" borderId="58" xfId="0" applyFont="1" applyFill="1" applyBorder="1" applyAlignment="1">
      <alignment horizontal="left" vertical="center" wrapText="1"/>
    </xf>
    <xf numFmtId="0" fontId="11" fillId="0" borderId="36" xfId="0" applyFont="1" applyBorder="1" applyAlignment="1">
      <alignment horizontal="left" vertical="center"/>
    </xf>
    <xf numFmtId="0" fontId="174" fillId="0" borderId="35" xfId="1" applyFont="1" applyFill="1" applyBorder="1" applyAlignment="1">
      <alignment horizontal="left" vertical="center" wrapText="1"/>
    </xf>
    <xf numFmtId="0" fontId="174" fillId="0" borderId="37" xfId="1" applyFont="1" applyFill="1" applyBorder="1" applyAlignment="1">
      <alignment horizontal="left" vertical="center" wrapText="1"/>
    </xf>
    <xf numFmtId="0" fontId="174" fillId="0" borderId="36" xfId="1" applyFont="1" applyFill="1" applyBorder="1" applyAlignment="1">
      <alignment horizontal="left" vertical="center" wrapText="1"/>
    </xf>
    <xf numFmtId="0" fontId="118" fillId="19" borderId="36" xfId="0" applyFont="1" applyFill="1" applyBorder="1" applyAlignment="1">
      <alignment horizontal="left" vertical="center" wrapText="1"/>
    </xf>
    <xf numFmtId="0" fontId="165" fillId="0" borderId="35" xfId="1" applyFont="1" applyFill="1" applyBorder="1" applyAlignment="1">
      <alignment horizontal="left" vertical="center"/>
    </xf>
    <xf numFmtId="0" fontId="165" fillId="0" borderId="37" xfId="1" applyFont="1" applyFill="1" applyBorder="1" applyAlignment="1">
      <alignment horizontal="left" vertical="center"/>
    </xf>
    <xf numFmtId="0" fontId="165" fillId="0" borderId="36" xfId="1" applyFont="1" applyFill="1" applyBorder="1" applyAlignment="1">
      <alignment horizontal="left" vertical="center"/>
    </xf>
    <xf numFmtId="0" fontId="27" fillId="2" borderId="0" xfId="0" applyFont="1" applyFill="1" applyAlignment="1">
      <alignment horizontal="left" vertical="center" wrapText="1"/>
    </xf>
    <xf numFmtId="0" fontId="66" fillId="0" borderId="49" xfId="0" applyFont="1" applyBorder="1" applyAlignment="1">
      <alignment horizontal="left" vertical="center" wrapText="1"/>
    </xf>
    <xf numFmtId="0" fontId="66" fillId="0" borderId="50" xfId="0" applyFont="1" applyBorder="1" applyAlignment="1">
      <alignment horizontal="left" vertical="center" wrapText="1"/>
    </xf>
    <xf numFmtId="0" fontId="149" fillId="0" borderId="0" xfId="0" applyFont="1" applyAlignment="1">
      <alignment horizontal="left" vertical="center"/>
    </xf>
    <xf numFmtId="0" fontId="66" fillId="2" borderId="49" xfId="0" applyFont="1" applyFill="1" applyBorder="1" applyAlignment="1">
      <alignment horizontal="left" vertical="center" wrapText="1"/>
    </xf>
    <xf numFmtId="0" fontId="66" fillId="2" borderId="50" xfId="0" applyFont="1" applyFill="1" applyBorder="1" applyAlignment="1">
      <alignment horizontal="left" vertical="center" wrapText="1"/>
    </xf>
    <xf numFmtId="0" fontId="66" fillId="0" borderId="7" xfId="0" applyFont="1" applyBorder="1" applyAlignment="1">
      <alignment horizontal="left" vertical="center" wrapText="1"/>
    </xf>
    <xf numFmtId="0" fontId="118" fillId="2" borderId="49" xfId="0" applyFont="1" applyFill="1" applyBorder="1" applyAlignment="1">
      <alignment horizontal="left" vertical="center" wrapText="1"/>
    </xf>
    <xf numFmtId="0" fontId="118" fillId="2" borderId="7" xfId="0" applyFont="1" applyFill="1" applyBorder="1" applyAlignment="1">
      <alignment horizontal="left" vertical="center"/>
    </xf>
    <xf numFmtId="0" fontId="118" fillId="2" borderId="50" xfId="0" applyFont="1" applyFill="1" applyBorder="1" applyAlignment="1">
      <alignment horizontal="left" vertical="center"/>
    </xf>
    <xf numFmtId="0" fontId="156" fillId="0" borderId="0" xfId="0" applyFont="1" applyAlignment="1">
      <alignment horizontal="left" vertical="top" wrapText="1"/>
    </xf>
    <xf numFmtId="0" fontId="66" fillId="4" borderId="52" xfId="0" applyFont="1" applyFill="1" applyBorder="1" applyAlignment="1">
      <alignment horizontal="left" vertical="center"/>
    </xf>
    <xf numFmtId="0" fontId="66" fillId="4" borderId="31" xfId="0" applyFont="1" applyFill="1" applyBorder="1" applyAlignment="1">
      <alignment horizontal="left" vertical="center"/>
    </xf>
    <xf numFmtId="0" fontId="66" fillId="4" borderId="53" xfId="0" applyFont="1" applyFill="1" applyBorder="1" applyAlignment="1">
      <alignment horizontal="left" vertical="center"/>
    </xf>
    <xf numFmtId="0" fontId="13" fillId="19" borderId="52" xfId="0" applyFont="1" applyFill="1" applyBorder="1" applyAlignment="1">
      <alignment horizontal="left" vertical="center" wrapText="1"/>
    </xf>
    <xf numFmtId="0" fontId="13" fillId="19" borderId="31" xfId="0" applyFont="1" applyFill="1" applyBorder="1" applyAlignment="1">
      <alignment horizontal="left" vertical="center" wrapText="1"/>
    </xf>
    <xf numFmtId="0" fontId="66" fillId="4" borderId="45" xfId="0" applyFont="1" applyFill="1" applyBorder="1" applyAlignment="1">
      <alignment horizontal="left" vertical="center" wrapText="1"/>
    </xf>
    <xf numFmtId="0" fontId="66" fillId="4" borderId="31" xfId="0" applyFont="1" applyFill="1" applyBorder="1" applyAlignment="1">
      <alignment horizontal="left" vertical="center" wrapText="1"/>
    </xf>
    <xf numFmtId="0" fontId="66" fillId="4" borderId="46"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54" fillId="4" borderId="36" xfId="0" applyFont="1" applyFill="1" applyBorder="1" applyAlignment="1">
      <alignment horizontal="right" vertical="center" wrapText="1"/>
    </xf>
    <xf numFmtId="0" fontId="13" fillId="2" borderId="52" xfId="0" applyFont="1" applyFill="1" applyBorder="1" applyAlignment="1">
      <alignment horizontal="left" vertical="center"/>
    </xf>
    <xf numFmtId="0" fontId="13" fillId="2" borderId="31" xfId="0" applyFont="1" applyFill="1" applyBorder="1" applyAlignment="1">
      <alignment horizontal="left" vertical="center"/>
    </xf>
    <xf numFmtId="0" fontId="172" fillId="2" borderId="32" xfId="1" applyFont="1" applyFill="1" applyBorder="1" applyAlignment="1">
      <alignment horizontal="right" vertical="center" wrapText="1"/>
    </xf>
    <xf numFmtId="0" fontId="172" fillId="2" borderId="33" xfId="1" applyFont="1" applyFill="1" applyBorder="1" applyAlignment="1">
      <alignment horizontal="right" vertical="center" wrapText="1"/>
    </xf>
    <xf numFmtId="0" fontId="166" fillId="0" borderId="0" xfId="0" applyFont="1" applyAlignment="1">
      <alignment horizontal="left" vertical="center" wrapText="1"/>
    </xf>
    <xf numFmtId="0" fontId="153" fillId="0" borderId="0" xfId="0" applyFont="1" applyAlignment="1">
      <alignment horizontal="left" vertical="center" wrapText="1"/>
    </xf>
    <xf numFmtId="0" fontId="7" fillId="10" borderId="35" xfId="0" applyFont="1" applyFill="1" applyBorder="1" applyAlignment="1">
      <alignment horizontal="center" vertical="center"/>
    </xf>
    <xf numFmtId="0" fontId="7" fillId="10" borderId="37" xfId="0" applyFont="1" applyFill="1" applyBorder="1" applyAlignment="1">
      <alignment horizontal="center" vertical="center"/>
    </xf>
    <xf numFmtId="0" fontId="7" fillId="10" borderId="36" xfId="0" applyFont="1" applyFill="1" applyBorder="1" applyAlignment="1">
      <alignment horizontal="center" vertical="center"/>
    </xf>
    <xf numFmtId="0" fontId="83" fillId="10" borderId="32" xfId="0" applyFont="1" applyFill="1" applyBorder="1" applyAlignment="1">
      <alignment horizontal="left" vertical="center"/>
    </xf>
    <xf numFmtId="0" fontId="83" fillId="10" borderId="33" xfId="0" applyFont="1" applyFill="1" applyBorder="1" applyAlignment="1">
      <alignment horizontal="left" vertical="center"/>
    </xf>
    <xf numFmtId="0" fontId="52" fillId="8" borderId="32" xfId="0" applyFont="1" applyFill="1" applyBorder="1" applyAlignment="1">
      <alignment horizontal="left" vertical="center"/>
    </xf>
    <xf numFmtId="0" fontId="52" fillId="8" borderId="33" xfId="0" applyFont="1" applyFill="1" applyBorder="1" applyAlignment="1">
      <alignment horizontal="left" vertical="center"/>
    </xf>
    <xf numFmtId="0" fontId="152" fillId="10" borderId="35" xfId="0" applyFont="1" applyFill="1" applyBorder="1" applyAlignment="1">
      <alignment horizontal="center" vertical="center" wrapText="1"/>
    </xf>
    <xf numFmtId="0" fontId="152" fillId="10" borderId="37" xfId="0" applyFont="1" applyFill="1" applyBorder="1" applyAlignment="1">
      <alignment horizontal="center" vertical="center" wrapText="1"/>
    </xf>
    <xf numFmtId="0" fontId="152" fillId="10" borderId="36" xfId="0" applyFont="1" applyFill="1" applyBorder="1" applyAlignment="1">
      <alignment horizontal="center" vertical="center" wrapText="1"/>
    </xf>
    <xf numFmtId="0" fontId="83" fillId="10" borderId="31" xfId="0" applyFont="1" applyFill="1" applyBorder="1" applyAlignment="1">
      <alignment horizontal="left" vertical="center"/>
    </xf>
    <xf numFmtId="0" fontId="52" fillId="10" borderId="31" xfId="0" applyFont="1" applyFill="1" applyBorder="1" applyAlignment="1">
      <alignment horizontal="left" vertical="center" wrapText="1"/>
    </xf>
    <xf numFmtId="0" fontId="169" fillId="0" borderId="0" xfId="0" applyFont="1" applyAlignment="1">
      <alignment horizontal="left" wrapText="1"/>
    </xf>
    <xf numFmtId="0" fontId="149" fillId="5" borderId="0" xfId="0" applyFont="1" applyFill="1" applyAlignment="1">
      <alignment horizontal="left"/>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1" fillId="22" borderId="10" xfId="0" applyFont="1" applyFill="1" applyBorder="1" applyAlignment="1">
      <alignment horizontal="center" vertical="center"/>
    </xf>
    <xf numFmtId="0" fontId="81" fillId="22" borderId="11" xfId="0" applyFont="1" applyFill="1" applyBorder="1" applyAlignment="1">
      <alignment horizontal="center" vertical="center"/>
    </xf>
    <xf numFmtId="0" fontId="81" fillId="22" borderId="12" xfId="0" applyFont="1" applyFill="1" applyBorder="1" applyAlignment="1">
      <alignment horizontal="center" vertical="center"/>
    </xf>
    <xf numFmtId="0" fontId="81"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vertical="center"/>
    </xf>
    <xf numFmtId="0" fontId="43" fillId="6" borderId="0" xfId="0" applyFont="1" applyFill="1" applyAlignment="1">
      <alignment horizontal="center"/>
    </xf>
    <xf numFmtId="0" fontId="81"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60" fillId="5" borderId="0" xfId="0" applyFont="1" applyFill="1" applyAlignment="1">
      <alignment horizontal="left" vertical="center"/>
    </xf>
    <xf numFmtId="0" fontId="83"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0" fontId="130" fillId="5" borderId="0" xfId="0" applyFont="1" applyFill="1" applyAlignment="1">
      <alignment horizontal="left" vertical="center" wrapText="1"/>
    </xf>
    <xf numFmtId="0" fontId="43" fillId="38" borderId="0" xfId="0" applyFont="1" applyFill="1" applyAlignment="1">
      <alignment horizontal="center" vertical="center"/>
    </xf>
    <xf numFmtId="166" fontId="115" fillId="2" borderId="31" xfId="2" applyNumberFormat="1" applyFont="1" applyFill="1" applyBorder="1" applyAlignment="1">
      <alignment horizontal="right" vertical="center" wrapText="1"/>
    </xf>
    <xf numFmtId="0" fontId="16" fillId="36" borderId="31" xfId="0" applyFont="1" applyFill="1" applyBorder="1" applyAlignment="1">
      <alignment horizontal="center" vertical="center" wrapText="1"/>
    </xf>
    <xf numFmtId="9" fontId="115" fillId="2" borderId="31" xfId="2" applyNumberFormat="1" applyFont="1" applyFill="1" applyBorder="1" applyAlignment="1">
      <alignment horizontal="center" vertical="center" wrapText="1"/>
    </xf>
    <xf numFmtId="0" fontId="25" fillId="36" borderId="31" xfId="0" applyFont="1" applyFill="1" applyBorder="1" applyAlignment="1">
      <alignment horizontal="center" vertical="center" wrapText="1"/>
    </xf>
    <xf numFmtId="0" fontId="16" fillId="36" borderId="85" xfId="0" applyFont="1" applyFill="1" applyBorder="1" applyAlignment="1">
      <alignment horizontal="center" vertical="center" wrapText="1"/>
    </xf>
    <xf numFmtId="0" fontId="16" fillId="36" borderId="41" xfId="0" applyFont="1" applyFill="1" applyBorder="1" applyAlignment="1">
      <alignment horizontal="center" vertical="center" wrapText="1"/>
    </xf>
    <xf numFmtId="0" fontId="16" fillId="36" borderId="35" xfId="0" applyFont="1" applyFill="1" applyBorder="1" applyAlignment="1">
      <alignment horizontal="center" vertical="center" wrapText="1"/>
    </xf>
    <xf numFmtId="0" fontId="16" fillId="36" borderId="36" xfId="0" applyFont="1" applyFill="1" applyBorder="1" applyAlignment="1">
      <alignment horizontal="center" vertical="center" wrapText="1"/>
    </xf>
    <xf numFmtId="0" fontId="8" fillId="2" borderId="0" xfId="0" applyFont="1" applyFill="1" applyAlignment="1">
      <alignment horizontal="center" wrapText="1"/>
    </xf>
    <xf numFmtId="0" fontId="58" fillId="44" borderId="31" xfId="0" applyFont="1" applyFill="1" applyBorder="1" applyAlignment="1">
      <alignment horizontal="left" vertical="center" wrapText="1"/>
    </xf>
    <xf numFmtId="0" fontId="58" fillId="26" borderId="31" xfId="0" applyFont="1" applyFill="1" applyBorder="1" applyAlignment="1">
      <alignment horizontal="left" vertical="center" wrapText="1"/>
    </xf>
    <xf numFmtId="0" fontId="16" fillId="26" borderId="31" xfId="0" applyFont="1" applyFill="1" applyBorder="1" applyAlignment="1">
      <alignment horizontal="center" vertical="center" wrapText="1"/>
    </xf>
    <xf numFmtId="0" fontId="43" fillId="38" borderId="31" xfId="0" applyFont="1" applyFill="1" applyBorder="1" applyAlignment="1">
      <alignment horizontal="center" vertical="center" wrapText="1"/>
    </xf>
    <xf numFmtId="0" fontId="16" fillId="26" borderId="35" xfId="0" applyFont="1" applyFill="1" applyBorder="1" applyAlignment="1">
      <alignment horizontal="center" vertical="center"/>
    </xf>
    <xf numFmtId="0" fontId="16" fillId="26" borderId="36" xfId="0" applyFont="1" applyFill="1" applyBorder="1" applyAlignment="1">
      <alignment horizontal="center" vertical="center"/>
    </xf>
    <xf numFmtId="0" fontId="86" fillId="39" borderId="31" xfId="0" applyFont="1" applyFill="1" applyBorder="1" applyAlignment="1">
      <alignment horizontal="center" vertical="center" wrapText="1"/>
    </xf>
    <xf numFmtId="9" fontId="121" fillId="2" borderId="31" xfId="2" applyNumberFormat="1" applyFont="1" applyFill="1" applyBorder="1" applyAlignment="1">
      <alignment horizontal="center" vertical="center" wrapText="1"/>
    </xf>
    <xf numFmtId="166" fontId="115" fillId="0" borderId="31" xfId="2" applyNumberFormat="1" applyFont="1" applyBorder="1" applyAlignment="1">
      <alignment horizontal="right" vertical="center" wrapText="1"/>
    </xf>
    <xf numFmtId="166" fontId="114" fillId="0" borderId="31" xfId="2" applyNumberFormat="1" applyFont="1" applyBorder="1" applyAlignment="1">
      <alignment horizontal="center" vertical="center" wrapText="1"/>
    </xf>
    <xf numFmtId="9" fontId="25"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58" fillId="36" borderId="32" xfId="0" applyFont="1" applyFill="1" applyBorder="1" applyAlignment="1">
      <alignment horizontal="left" vertical="center"/>
    </xf>
    <xf numFmtId="0" fontId="58" fillId="36" borderId="33" xfId="0" applyFont="1" applyFill="1" applyBorder="1" applyAlignment="1">
      <alignment horizontal="left" vertical="center"/>
    </xf>
    <xf numFmtId="9" fontId="114" fillId="42" borderId="32" xfId="3" applyFont="1" applyFill="1" applyBorder="1" applyAlignment="1">
      <alignment horizontal="center" vertical="center"/>
    </xf>
    <xf numFmtId="9" fontId="114" fillId="42" borderId="34" xfId="3" applyFont="1" applyFill="1" applyBorder="1" applyAlignment="1">
      <alignment horizontal="center" vertical="center"/>
    </xf>
    <xf numFmtId="9" fontId="114" fillId="42" borderId="33" xfId="3" applyFont="1" applyFill="1" applyBorder="1" applyAlignment="1">
      <alignment horizontal="center" vertical="center"/>
    </xf>
    <xf numFmtId="168" fontId="115" fillId="2" borderId="40" xfId="2" applyNumberFormat="1" applyFont="1" applyFill="1" applyBorder="1" applyAlignment="1">
      <alignment horizontal="center" vertical="center" wrapText="1"/>
    </xf>
    <xf numFmtId="168" fontId="115" fillId="2" borderId="41" xfId="2" applyNumberFormat="1" applyFont="1" applyFill="1" applyBorder="1" applyAlignment="1">
      <alignment horizontal="center" vertical="center" wrapText="1"/>
    </xf>
    <xf numFmtId="0" fontId="13" fillId="2" borderId="0" xfId="0" applyFont="1" applyFill="1" applyAlignment="1">
      <alignment horizontal="left" vertical="top" wrapText="1"/>
    </xf>
    <xf numFmtId="0" fontId="167" fillId="2" borderId="0" xfId="0" applyFont="1" applyFill="1" applyAlignment="1">
      <alignment horizontal="left" vertical="center" wrapText="1"/>
    </xf>
    <xf numFmtId="169" fontId="105" fillId="36" borderId="31" xfId="0" applyNumberFormat="1" applyFont="1" applyFill="1" applyBorder="1" applyAlignment="1">
      <alignment horizontal="center" vertical="center" wrapText="1"/>
    </xf>
    <xf numFmtId="169" fontId="104" fillId="36" borderId="31" xfId="0" applyNumberFormat="1" applyFont="1" applyFill="1" applyBorder="1" applyAlignment="1">
      <alignment horizontal="left" vertical="center"/>
    </xf>
    <xf numFmtId="169" fontId="104" fillId="36" borderId="31" xfId="0" applyNumberFormat="1" applyFont="1" applyFill="1" applyBorder="1" applyAlignment="1">
      <alignment horizontal="center" vertical="center" wrapText="1"/>
    </xf>
    <xf numFmtId="0" fontId="65" fillId="2" borderId="0" xfId="0" applyFont="1" applyFill="1" applyAlignment="1">
      <alignment horizontal="center" vertical="top"/>
    </xf>
    <xf numFmtId="0" fontId="60" fillId="5" borderId="0" xfId="0" applyFont="1" applyFill="1" applyAlignment="1">
      <alignment horizontal="left" vertical="center" wrapText="1"/>
    </xf>
    <xf numFmtId="0" fontId="57" fillId="36" borderId="6" xfId="0" applyFont="1" applyFill="1" applyBorder="1" applyAlignment="1">
      <alignment horizontal="left" vertical="center"/>
    </xf>
    <xf numFmtId="0" fontId="63" fillId="36" borderId="6" xfId="0" applyFont="1" applyFill="1" applyBorder="1" applyAlignment="1">
      <alignment horizontal="left" vertical="center"/>
    </xf>
    <xf numFmtId="0" fontId="81" fillId="2" borderId="0" xfId="0" applyFont="1" applyFill="1" applyAlignment="1">
      <alignment horizontal="left" vertical="center" wrapText="1"/>
    </xf>
    <xf numFmtId="0" fontId="114" fillId="2" borderId="29" xfId="0" applyFont="1" applyFill="1" applyBorder="1" applyAlignment="1">
      <alignment horizontal="left" vertical="center" wrapText="1"/>
    </xf>
    <xf numFmtId="0" fontId="136" fillId="38" borderId="76" xfId="0" applyFont="1" applyFill="1" applyBorder="1"/>
    <xf numFmtId="0" fontId="136" fillId="38" borderId="77" xfId="0" applyFont="1" applyFill="1" applyBorder="1"/>
    <xf numFmtId="0" fontId="60" fillId="5" borderId="0" xfId="0" applyFont="1" applyFill="1" applyAlignment="1">
      <alignment horizontal="left" wrapText="1"/>
    </xf>
    <xf numFmtId="0" fontId="60" fillId="5" borderId="0" xfId="0" applyFont="1" applyFill="1" applyAlignment="1">
      <alignment horizontal="left"/>
    </xf>
    <xf numFmtId="0" fontId="167" fillId="2" borderId="0" xfId="0" applyFont="1" applyFill="1" applyAlignment="1">
      <alignment horizontal="left" vertical="top" wrapText="1"/>
    </xf>
    <xf numFmtId="0" fontId="143" fillId="0" borderId="32" xfId="0" applyFont="1" applyBorder="1" applyAlignment="1">
      <alignment horizontal="center" vertical="center" wrapText="1"/>
    </xf>
    <xf numFmtId="0" fontId="143" fillId="0" borderId="34" xfId="0" applyFont="1" applyBorder="1" applyAlignment="1">
      <alignment horizontal="center" vertical="center" wrapText="1"/>
    </xf>
    <xf numFmtId="0" fontId="143" fillId="0" borderId="33" xfId="0" applyFont="1" applyBorder="1" applyAlignment="1">
      <alignment horizontal="center" vertical="center" wrapText="1"/>
    </xf>
    <xf numFmtId="0" fontId="114" fillId="0" borderId="32" xfId="0" applyFont="1" applyBorder="1" applyAlignment="1">
      <alignment horizontal="left" vertical="center" wrapText="1"/>
    </xf>
    <xf numFmtId="0" fontId="114" fillId="0" borderId="34" xfId="0" applyFont="1" applyBorder="1" applyAlignment="1">
      <alignment horizontal="left" vertical="center" wrapText="1"/>
    </xf>
    <xf numFmtId="0" fontId="114" fillId="0" borderId="33" xfId="0" applyFont="1" applyBorder="1" applyAlignment="1">
      <alignment horizontal="left" vertical="center" wrapText="1"/>
    </xf>
    <xf numFmtId="0" fontId="169" fillId="2" borderId="0" xfId="0" applyFont="1" applyFill="1" applyAlignment="1">
      <alignment horizontal="left" vertical="top" wrapText="1"/>
    </xf>
    <xf numFmtId="0" fontId="89" fillId="5" borderId="0" xfId="0" applyFont="1" applyFill="1" applyAlignment="1">
      <alignment horizontal="left" vertical="center"/>
    </xf>
    <xf numFmtId="0" fontId="86"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9" fillId="0" borderId="16" xfId="0" applyFont="1" applyBorder="1" applyAlignment="1">
      <alignment vertical="center" wrapText="1"/>
    </xf>
    <xf numFmtId="0" fontId="65"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1"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30"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5"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4"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8" fillId="5" borderId="0" xfId="0" applyFont="1" applyFill="1" applyAlignment="1">
      <alignment horizontal="left" vertical="center" wrapText="1"/>
    </xf>
    <xf numFmtId="0" fontId="81"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2" fillId="24" borderId="8" xfId="0" applyFont="1" applyFill="1" applyBorder="1" applyAlignment="1">
      <alignment horizontal="center" vertical="center" wrapText="1"/>
    </xf>
    <xf numFmtId="0" fontId="82" fillId="24" borderId="9" xfId="0" applyFont="1" applyFill="1" applyBorder="1" applyAlignment="1">
      <alignment horizontal="center"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00ACE9"/>
      <color rgb="FF1E22AA"/>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317C-49E5-BA5E-42858FD3B7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17C-49E5-BA5E-42858FD3B7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317C-49E5-BA5E-42858FD3B7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317C-49E5-BA5E-42858FD3B70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317C-49E5-BA5E-42858FD3B707}"/>
              </c:ext>
            </c:extLst>
          </c:dPt>
          <c:dLbls>
            <c:dLbl>
              <c:idx val="0"/>
              <c:layout>
                <c:manualLayout>
                  <c:x val="1.7233096036727168E-3"/>
                  <c:y val="-7.6196385069479296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7C-49E5-BA5E-42858FD3B707}"/>
                </c:ext>
              </c:extLst>
            </c:dLbl>
            <c:dLbl>
              <c:idx val="1"/>
              <c:layout>
                <c:manualLayout>
                  <c:x val="9.0766553763823296E-2"/>
                  <c:y val="-8.82039397450753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7C-49E5-BA5E-42858FD3B707}"/>
                </c:ext>
              </c:extLst>
            </c:dLbl>
            <c:dLbl>
              <c:idx val="2"/>
              <c:layout>
                <c:manualLayout>
                  <c:x val="-9.3761525118602699E-3"/>
                  <c:y val="9.0594063922774422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7C-49E5-BA5E-42858FD3B707}"/>
                </c:ext>
              </c:extLst>
            </c:dLbl>
            <c:dLbl>
              <c:idx val="3"/>
              <c:layout>
                <c:manualLayout>
                  <c:x val="-2.8025477009953326E-2"/>
                  <c:y val="3.168401748159236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7C-49E5-BA5E-42858FD3B707}"/>
                </c:ext>
              </c:extLst>
            </c:dLbl>
            <c:dLbl>
              <c:idx val="4"/>
              <c:layout>
                <c:manualLayout>
                  <c:x val="-0.16503288440065841"/>
                  <c:y val="2.703760924805767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C-49E5-BA5E-42858FD3B70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People!$V$31:$V$35</c:f>
              <c:strCache>
                <c:ptCount val="5"/>
                <c:pt idx="0">
                  <c:v>UK </c:v>
                </c:pt>
                <c:pt idx="1">
                  <c:v>Rest of Europe</c:v>
                </c:pt>
                <c:pt idx="2">
                  <c:v>North America</c:v>
                </c:pt>
                <c:pt idx="3">
                  <c:v>Asia</c:v>
                </c:pt>
                <c:pt idx="4">
                  <c:v>Rest of World</c:v>
                </c:pt>
              </c:strCache>
            </c:strRef>
          </c:cat>
          <c:val>
            <c:numRef>
              <c:f>People!$W$31:$W$35</c:f>
              <c:numCache>
                <c:formatCode>0%</c:formatCode>
                <c:ptCount val="5"/>
                <c:pt idx="0">
                  <c:v>0.33196405648267008</c:v>
                </c:pt>
                <c:pt idx="1">
                  <c:v>0.24612751390671803</c:v>
                </c:pt>
                <c:pt idx="2">
                  <c:v>0.17235772357723578</c:v>
                </c:pt>
                <c:pt idx="3">
                  <c:v>0.19657680787334189</c:v>
                </c:pt>
                <c:pt idx="4">
                  <c:v>5.2973898160034234E-2</c:v>
                </c:pt>
              </c:numCache>
            </c:numRef>
          </c:val>
          <c:extLst>
            <c:ext xmlns:c16="http://schemas.microsoft.com/office/drawing/2014/chart" uri="{C3380CC4-5D6E-409C-BE32-E72D297353CC}">
              <c16:uniqueId val="{00000000-317C-49E5-BA5E-42858FD3B70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Safety'!$N$27</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00ACE9"/>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Safety'!$O$27:$T$27</c:f>
              <c:numCache>
                <c:formatCode>0.00</c:formatCode>
                <c:ptCount val="6"/>
                <c:pt idx="0">
                  <c:v>1.5349999999999999</c:v>
                </c:pt>
                <c:pt idx="1">
                  <c:v>1.1819999999999999</c:v>
                </c:pt>
                <c:pt idx="2">
                  <c:v>0.77</c:v>
                </c:pt>
                <c:pt idx="3">
                  <c:v>1.3220000000000001</c:v>
                </c:pt>
                <c:pt idx="4">
                  <c:v>1.0149999999999999</c:v>
                </c:pt>
                <c:pt idx="5">
                  <c:v>0.877</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Safety'!$N$23</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Safety'!$O$23:$T$23</c:f>
              <c:numCache>
                <c:formatCode>General</c:formatCode>
                <c:ptCount val="6"/>
                <c:pt idx="0">
                  <c:v>0.97</c:v>
                </c:pt>
                <c:pt idx="1">
                  <c:v>0.79</c:v>
                </c:pt>
                <c:pt idx="2">
                  <c:v>0.55000000000000004</c:v>
                </c:pt>
                <c:pt idx="3">
                  <c:v>0.59</c:v>
                </c:pt>
                <c:pt idx="4">
                  <c:v>0.47</c:v>
                </c:pt>
                <c:pt idx="5">
                  <c:v>0.36</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Safety'!$N$20</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00ACE9"/>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Safety'!$O$20:$T$20</c:f>
              <c:numCache>
                <c:formatCode>General</c:formatCode>
                <c:ptCount val="6"/>
                <c:pt idx="0">
                  <c:v>0.56000000000000005</c:v>
                </c:pt>
                <c:pt idx="1">
                  <c:v>0.34</c:v>
                </c:pt>
                <c:pt idx="2">
                  <c:v>0.28000000000000003</c:v>
                </c:pt>
                <c:pt idx="3" formatCode="0.00">
                  <c:v>0.3</c:v>
                </c:pt>
                <c:pt idx="4">
                  <c:v>0.24</c:v>
                </c:pt>
                <c:pt idx="5">
                  <c:v>0.17</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Speak Up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Compliance'!$R$12:$V$12</c:f>
              <c:strCache>
                <c:ptCount val="5"/>
                <c:pt idx="0">
                  <c:v>2023/24</c:v>
                </c:pt>
                <c:pt idx="1">
                  <c:v>2022/23</c:v>
                </c:pt>
                <c:pt idx="2">
                  <c:v>2021/22</c:v>
                </c:pt>
                <c:pt idx="3">
                  <c:v>2020/21</c:v>
                </c:pt>
                <c:pt idx="4">
                  <c:v>2019/20</c:v>
                </c:pt>
              </c:strCache>
            </c:strRef>
          </c:cat>
          <c:val>
            <c:numRef>
              <c:f>'Ethics and Compliance'!$R$13:$V$13</c:f>
              <c:numCache>
                <c:formatCode>General</c:formatCode>
                <c:ptCount val="5"/>
                <c:pt idx="0">
                  <c:v>138</c:v>
                </c:pt>
                <c:pt idx="1">
                  <c:v>153</c:v>
                </c:pt>
                <c:pt idx="2">
                  <c:v>158</c:v>
                </c:pt>
                <c:pt idx="3">
                  <c:v>129</c:v>
                </c:pt>
                <c:pt idx="4">
                  <c:v>123</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image" Target="../media/image4.png"/><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ome!A1"/><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chart" Target="../charts/chart6.xml"/><Relationship Id="rId5" Type="http://schemas.openxmlformats.org/officeDocument/2006/relationships/chart" Target="../charts/chart7.xml"/><Relationship Id="rId4"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hyperlink" Target="#Home!A1"/><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11905</xdr:colOff>
      <xdr:row>0</xdr:row>
      <xdr:rowOff>0</xdr:rowOff>
    </xdr:from>
    <xdr:to>
      <xdr:col>17</xdr:col>
      <xdr:colOff>380706</xdr:colOff>
      <xdr:row>37</xdr:row>
      <xdr:rowOff>133349</xdr:rowOff>
    </xdr:to>
    <xdr:pic>
      <xdr:nvPicPr>
        <xdr:cNvPr id="4" name="Picture 3">
          <a:extLst>
            <a:ext uri="{FF2B5EF4-FFF2-40B4-BE49-F238E27FC236}">
              <a16:creationId xmlns:a16="http://schemas.microsoft.com/office/drawing/2014/main" id="{F3512F3C-8A42-0AF8-FBA9-8146B2E752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5" y="0"/>
          <a:ext cx="10489114" cy="67413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44449</xdr:colOff>
      <xdr:row>1</xdr:row>
      <xdr:rowOff>6349</xdr:rowOff>
    </xdr:from>
    <xdr:to>
      <xdr:col>4</xdr:col>
      <xdr:colOff>11905</xdr:colOff>
      <xdr:row>2</xdr:row>
      <xdr:rowOff>83342</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9748043" y="173037"/>
          <a:ext cx="1836737" cy="374649"/>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487570</xdr:colOff>
      <xdr:row>1</xdr:row>
      <xdr:rowOff>137852</xdr:rowOff>
    </xdr:from>
    <xdr:to>
      <xdr:col>11</xdr:col>
      <xdr:colOff>901246</xdr:colOff>
      <xdr:row>2</xdr:row>
      <xdr:rowOff>95249</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15659534" y="314745"/>
          <a:ext cx="1475033" cy="50168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3</xdr:col>
      <xdr:colOff>1921039</xdr:colOff>
      <xdr:row>2</xdr:row>
      <xdr:rowOff>37118</xdr:rowOff>
    </xdr:from>
    <xdr:to>
      <xdr:col>5</xdr:col>
      <xdr:colOff>400711</xdr:colOff>
      <xdr:row>19</xdr:row>
      <xdr:rowOff>112077</xdr:rowOff>
    </xdr:to>
    <xdr:pic>
      <xdr:nvPicPr>
        <xdr:cNvPr id="22" name="Picture 5">
          <a:extLst>
            <a:ext uri="{FF2B5EF4-FFF2-40B4-BE49-F238E27FC236}">
              <a16:creationId xmlns:a16="http://schemas.microsoft.com/office/drawing/2014/main" id="{CECFFF37-54D0-16DB-DBBF-CB53E4E79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2977" y="751493"/>
          <a:ext cx="3492203" cy="32420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314325</xdr:colOff>
      <xdr:row>1</xdr:row>
      <xdr:rowOff>301626</xdr:rowOff>
    </xdr:from>
    <xdr:to>
      <xdr:col>10</xdr:col>
      <xdr:colOff>15875</xdr:colOff>
      <xdr:row>2</xdr:row>
      <xdr:rowOff>31751</xdr:rowOff>
    </xdr:to>
    <xdr:sp macro="" textlink="">
      <xdr:nvSpPr>
        <xdr:cNvPr id="9" name="Rectangle: Rounded Corners 2">
          <a:hlinkClick xmlns:r="http://schemas.openxmlformats.org/officeDocument/2006/relationships" r:id="rId1"/>
          <a:extLst>
            <a:ext uri="{FF2B5EF4-FFF2-40B4-BE49-F238E27FC236}">
              <a16:creationId xmlns:a16="http://schemas.microsoft.com/office/drawing/2014/main" id="{093B8847-9CDF-4EED-9F94-0DD9DAA73B5E}"/>
            </a:ext>
          </a:extLst>
        </xdr:cNvPr>
        <xdr:cNvSpPr/>
      </xdr:nvSpPr>
      <xdr:spPr>
        <a:xfrm>
          <a:off x="19840575" y="476251"/>
          <a:ext cx="1289050" cy="412750"/>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1198880</xdr:colOff>
      <xdr:row>0</xdr:row>
      <xdr:rowOff>105135</xdr:rowOff>
    </xdr:from>
    <xdr:to>
      <xdr:col>1</xdr:col>
      <xdr:colOff>2363470</xdr:colOff>
      <xdr:row>2</xdr:row>
      <xdr:rowOff>305435</xdr:rowOff>
    </xdr:to>
    <xdr:pic>
      <xdr:nvPicPr>
        <xdr:cNvPr id="2" name="Picture 1">
          <a:extLst>
            <a:ext uri="{FF2B5EF4-FFF2-40B4-BE49-F238E27FC236}">
              <a16:creationId xmlns:a16="http://schemas.microsoft.com/office/drawing/2014/main" id="{E29B2D67-C84F-675B-7635-AE9909896A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005" y="105135"/>
          <a:ext cx="1164590" cy="10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297656</xdr:colOff>
      <xdr:row>1</xdr:row>
      <xdr:rowOff>7027</xdr:rowOff>
    </xdr:from>
    <xdr:to>
      <xdr:col>11</xdr:col>
      <xdr:colOff>979353</xdr:colOff>
      <xdr:row>1</xdr:row>
      <xdr:rowOff>312736</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2F63B64C-E4D2-40C0-BA52-9AAFED5E83BF}"/>
            </a:ext>
          </a:extLst>
        </xdr:cNvPr>
        <xdr:cNvSpPr/>
      </xdr:nvSpPr>
      <xdr:spPr>
        <a:xfrm>
          <a:off x="16883062" y="173715"/>
          <a:ext cx="68169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1308350</xdr:colOff>
      <xdr:row>0</xdr:row>
      <xdr:rowOff>388847</xdr:rowOff>
    </xdr:from>
    <xdr:to>
      <xdr:col>1</xdr:col>
      <xdr:colOff>2448400</xdr:colOff>
      <xdr:row>2</xdr:row>
      <xdr:rowOff>66335</xdr:rowOff>
    </xdr:to>
    <xdr:pic>
      <xdr:nvPicPr>
        <xdr:cNvPr id="2" name="Picture 1">
          <a:extLst>
            <a:ext uri="{FF2B5EF4-FFF2-40B4-BE49-F238E27FC236}">
              <a16:creationId xmlns:a16="http://schemas.microsoft.com/office/drawing/2014/main" id="{CE4D3046-5E37-4196-91B8-36F5C6E01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4279" y="388847"/>
          <a:ext cx="1133700" cy="1051809"/>
        </a:xfrm>
        <a:prstGeom prst="rect">
          <a:avLst/>
        </a:prstGeom>
      </xdr:spPr>
    </xdr:pic>
    <xdr:clientData/>
  </xdr:twoCellAnchor>
  <xdr:twoCellAnchor>
    <xdr:from>
      <xdr:col>15</xdr:col>
      <xdr:colOff>283481</xdr:colOff>
      <xdr:row>12</xdr:row>
      <xdr:rowOff>105169</xdr:rowOff>
    </xdr:from>
    <xdr:to>
      <xdr:col>23</xdr:col>
      <xdr:colOff>360136</xdr:colOff>
      <xdr:row>44</xdr:row>
      <xdr:rowOff>91621</xdr:rowOff>
    </xdr:to>
    <xdr:graphicFrame macro="">
      <xdr:nvGraphicFramePr>
        <xdr:cNvPr id="5" name="Chart 4">
          <a:extLst>
            <a:ext uri="{FF2B5EF4-FFF2-40B4-BE49-F238E27FC236}">
              <a16:creationId xmlns:a16="http://schemas.microsoft.com/office/drawing/2014/main" id="{DA298B5C-A7E4-F844-76BA-36D2D24A4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503238</xdr:colOff>
      <xdr:row>35</xdr:row>
      <xdr:rowOff>0</xdr:rowOff>
    </xdr:from>
    <xdr:to>
      <xdr:col>21</xdr:col>
      <xdr:colOff>258762</xdr:colOff>
      <xdr:row>51</xdr:row>
      <xdr:rowOff>142875</xdr:rowOff>
    </xdr:to>
    <xdr:graphicFrame macro="">
      <xdr:nvGraphicFramePr>
        <xdr:cNvPr id="52"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505279</xdr:colOff>
      <xdr:row>3</xdr:row>
      <xdr:rowOff>59531</xdr:rowOff>
    </xdr:from>
    <xdr:to>
      <xdr:col>21</xdr:col>
      <xdr:colOff>276225</xdr:colOff>
      <xdr:row>19</xdr:row>
      <xdr:rowOff>27441</xdr:rowOff>
    </xdr:to>
    <xdr:graphicFrame macro="">
      <xdr:nvGraphicFramePr>
        <xdr:cNvPr id="50"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493599</xdr:colOff>
      <xdr:row>19</xdr:row>
      <xdr:rowOff>74496</xdr:rowOff>
    </xdr:from>
    <xdr:to>
      <xdr:col>21</xdr:col>
      <xdr:colOff>285749</xdr:colOff>
      <xdr:row>33</xdr:row>
      <xdr:rowOff>152056</xdr:rowOff>
    </xdr:to>
    <xdr:graphicFrame macro="">
      <xdr:nvGraphicFramePr>
        <xdr:cNvPr id="47"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64680</xdr:colOff>
      <xdr:row>1</xdr:row>
      <xdr:rowOff>253002</xdr:rowOff>
    </xdr:from>
    <xdr:to>
      <xdr:col>18</xdr:col>
      <xdr:colOff>771436</xdr:colOff>
      <xdr:row>1</xdr:row>
      <xdr:rowOff>557803</xdr:rowOff>
    </xdr:to>
    <xdr:sp macro="" textlink="">
      <xdr:nvSpPr>
        <xdr:cNvPr id="2"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1670555" y="411752"/>
          <a:ext cx="70675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2796858</xdr:colOff>
      <xdr:row>0</xdr:row>
      <xdr:rowOff>109061</xdr:rowOff>
    </xdr:from>
    <xdr:to>
      <xdr:col>1</xdr:col>
      <xdr:colOff>3936908</xdr:colOff>
      <xdr:row>3</xdr:row>
      <xdr:rowOff>30231</xdr:rowOff>
    </xdr:to>
    <xdr:pic>
      <xdr:nvPicPr>
        <xdr:cNvPr id="3" name="Picture 2">
          <a:extLst>
            <a:ext uri="{FF2B5EF4-FFF2-40B4-BE49-F238E27FC236}">
              <a16:creationId xmlns:a16="http://schemas.microsoft.com/office/drawing/2014/main" id="{61121C86-20A4-4F38-82A3-C1D0578587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3546" y="109061"/>
          <a:ext cx="1133700" cy="10284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2980690</xdr:colOff>
      <xdr:row>1</xdr:row>
      <xdr:rowOff>27940</xdr:rowOff>
    </xdr:from>
    <xdr:to>
      <xdr:col>10</xdr:col>
      <xdr:colOff>3646171</xdr:colOff>
      <xdr:row>1</xdr:row>
      <xdr:rowOff>332741</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21154390" y="199390"/>
          <a:ext cx="66548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3177540</xdr:colOff>
      <xdr:row>0</xdr:row>
      <xdr:rowOff>0</xdr:rowOff>
    </xdr:from>
    <xdr:to>
      <xdr:col>1</xdr:col>
      <xdr:colOff>4229597</xdr:colOff>
      <xdr:row>3</xdr:row>
      <xdr:rowOff>93845</xdr:rowOff>
    </xdr:to>
    <xdr:pic>
      <xdr:nvPicPr>
        <xdr:cNvPr id="2" name="Picture 1">
          <a:extLst>
            <a:ext uri="{FF2B5EF4-FFF2-40B4-BE49-F238E27FC236}">
              <a16:creationId xmlns:a16="http://schemas.microsoft.com/office/drawing/2014/main" id="{C9852A7D-E347-48B8-B993-84495520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31540" y="0"/>
          <a:ext cx="1052057" cy="1062220"/>
        </a:xfrm>
        <a:prstGeom prst="rect">
          <a:avLst/>
        </a:prstGeom>
      </xdr:spPr>
    </xdr:pic>
    <xdr:clientData/>
  </xdr:twoCellAnchor>
  <xdr:twoCellAnchor>
    <xdr:from>
      <xdr:col>7</xdr:col>
      <xdr:colOff>588282</xdr:colOff>
      <xdr:row>28</xdr:row>
      <xdr:rowOff>159657</xdr:rowOff>
    </xdr:from>
    <xdr:to>
      <xdr:col>8</xdr:col>
      <xdr:colOff>1050925</xdr:colOff>
      <xdr:row>44</xdr:row>
      <xdr:rowOff>122010</xdr:rowOff>
    </xdr:to>
    <xdr:graphicFrame macro="">
      <xdr:nvGraphicFramePr>
        <xdr:cNvPr id="3"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10267</xdr:colOff>
      <xdr:row>16</xdr:row>
      <xdr:rowOff>156368</xdr:rowOff>
    </xdr:from>
    <xdr:to>
      <xdr:col>3</xdr:col>
      <xdr:colOff>8732</xdr:colOff>
      <xdr:row>28</xdr:row>
      <xdr:rowOff>87049</xdr:rowOff>
    </xdr:to>
    <xdr:pic>
      <xdr:nvPicPr>
        <xdr:cNvPr id="9"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8861" y="3668712"/>
          <a:ext cx="5534871" cy="1924581"/>
        </a:xfrm>
        <a:prstGeom prst="rect">
          <a:avLst/>
        </a:prstGeom>
      </xdr:spPr>
    </xdr:pic>
    <xdr:clientData/>
  </xdr:twoCellAnchor>
  <xdr:twoCellAnchor>
    <xdr:from>
      <xdr:col>9</xdr:col>
      <xdr:colOff>738188</xdr:colOff>
      <xdr:row>1</xdr:row>
      <xdr:rowOff>132556</xdr:rowOff>
    </xdr:from>
    <xdr:to>
      <xdr:col>9</xdr:col>
      <xdr:colOff>1683545</xdr:colOff>
      <xdr:row>1</xdr:row>
      <xdr:rowOff>437357</xdr:rowOff>
    </xdr:to>
    <xdr:sp macro="" textlink="">
      <xdr:nvSpPr>
        <xdr:cNvPr id="5"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799219" y="299244"/>
          <a:ext cx="945357"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2</xdr:col>
      <xdr:colOff>642936</xdr:colOff>
      <xdr:row>0</xdr:row>
      <xdr:rowOff>83343</xdr:rowOff>
    </xdr:from>
    <xdr:to>
      <xdr:col>2</xdr:col>
      <xdr:colOff>1782986</xdr:colOff>
      <xdr:row>3</xdr:row>
      <xdr:rowOff>10863</xdr:rowOff>
    </xdr:to>
    <xdr:pic>
      <xdr:nvPicPr>
        <xdr:cNvPr id="3" name="Picture 2">
          <a:extLst>
            <a:ext uri="{FF2B5EF4-FFF2-40B4-BE49-F238E27FC236}">
              <a16:creationId xmlns:a16="http://schemas.microsoft.com/office/drawing/2014/main" id="{414B5338-83AE-4C7D-B91D-CA5CC329A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4" y="83343"/>
          <a:ext cx="1140050" cy="102845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2210256" y="315913"/>
          <a:ext cx="6699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6</xdr:col>
      <xdr:colOff>20426</xdr:colOff>
      <xdr:row>7</xdr:row>
      <xdr:rowOff>59530</xdr:rowOff>
    </xdr:from>
    <xdr:to>
      <xdr:col>14</xdr:col>
      <xdr:colOff>153875</xdr:colOff>
      <xdr:row>15</xdr:row>
      <xdr:rowOff>180711</xdr:rowOff>
    </xdr:to>
    <xdr:pic>
      <xdr:nvPicPr>
        <xdr:cNvPr id="2" name="Picture 1">
          <a:extLst>
            <a:ext uri="{FF2B5EF4-FFF2-40B4-BE49-F238E27FC236}">
              <a16:creationId xmlns:a16="http://schemas.microsoft.com/office/drawing/2014/main" id="{06FCF078-B7B3-7B5C-ED9E-DD0677DD6C3B}"/>
            </a:ext>
          </a:extLst>
        </xdr:cNvPr>
        <xdr:cNvPicPr>
          <a:picLocks noChangeAspect="1"/>
        </xdr:cNvPicPr>
      </xdr:nvPicPr>
      <xdr:blipFill>
        <a:blip xmlns:r="http://schemas.openxmlformats.org/officeDocument/2006/relationships" r:embed="rId2"/>
        <a:stretch>
          <a:fillRect/>
        </a:stretch>
      </xdr:blipFill>
      <xdr:spPr>
        <a:xfrm>
          <a:off x="8307176" y="3964780"/>
          <a:ext cx="5086449" cy="3895462"/>
        </a:xfrm>
        <a:prstGeom prst="rect">
          <a:avLst/>
        </a:prstGeom>
      </xdr:spPr>
    </xdr:pic>
    <xdr:clientData/>
  </xdr:twoCellAnchor>
  <xdr:twoCellAnchor editAs="oneCell">
    <xdr:from>
      <xdr:col>1</xdr:col>
      <xdr:colOff>3094355</xdr:colOff>
      <xdr:row>0</xdr:row>
      <xdr:rowOff>59531</xdr:rowOff>
    </xdr:from>
    <xdr:to>
      <xdr:col>2</xdr:col>
      <xdr:colOff>476251</xdr:colOff>
      <xdr:row>2</xdr:row>
      <xdr:rowOff>125411</xdr:rowOff>
    </xdr:to>
    <xdr:pic>
      <xdr:nvPicPr>
        <xdr:cNvPr id="5" name="Picture 4">
          <a:extLst>
            <a:ext uri="{FF2B5EF4-FFF2-40B4-BE49-F238E27FC236}">
              <a16:creationId xmlns:a16="http://schemas.microsoft.com/office/drawing/2014/main" id="{7A49DB5D-ED79-EA4F-EAC1-F8B975208F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1043" y="59531"/>
          <a:ext cx="1406208" cy="11493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121374</xdr:colOff>
      <xdr:row>17</xdr:row>
      <xdr:rowOff>206646</xdr:rowOff>
    </xdr:from>
    <xdr:to>
      <xdr:col>4</xdr:col>
      <xdr:colOff>238125</xdr:colOff>
      <xdr:row>17</xdr:row>
      <xdr:rowOff>492125</xdr:rowOff>
    </xdr:to>
    <xdr:sp macro="" textlink="">
      <xdr:nvSpPr>
        <xdr:cNvPr id="6"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30949" y="6216921"/>
          <a:ext cx="3002826"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207EBE5-920E-0251-561B-AABD75B6C442}"/>
            </a:ext>
          </a:extLst>
        </xdr:cNvPr>
        <xdr:cNvSpPr/>
      </xdr:nvSpPr>
      <xdr:spPr>
        <a:xfrm>
          <a:off x="7778749" y="316229"/>
          <a:ext cx="660401" cy="30924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8</xdr:col>
      <xdr:colOff>352424</xdr:colOff>
      <xdr:row>6</xdr:row>
      <xdr:rowOff>121624</xdr:rowOff>
    </xdr:from>
    <xdr:to>
      <xdr:col>15</xdr:col>
      <xdr:colOff>173066</xdr:colOff>
      <xdr:row>15</xdr:row>
      <xdr:rowOff>278766</xdr:rowOff>
    </xdr:to>
    <xdr:pic>
      <xdr:nvPicPr>
        <xdr:cNvPr id="3" name="Picture 5">
          <a:extLst>
            <a:ext uri="{FF2B5EF4-FFF2-40B4-BE49-F238E27FC236}">
              <a16:creationId xmlns:a16="http://schemas.microsoft.com/office/drawing/2014/main" id="{E20C22E2-A44C-4DDC-93DF-5681E740B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57824" y="1778974"/>
          <a:ext cx="4009737" cy="37550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Gary Machin" id="{FC52F80B-84B8-43F7-A5E0-FE3EB28AFC19}" userId="Gary.Machin@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Graeme Ellis" id="{BFA071F7-F323-481E-9A2F-58466DCEC08F}" userId="Graeme.Ellis@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2.xml><?xml version="1.0" encoding="utf-8"?>
<ThreadedComments xmlns="http://schemas.microsoft.com/office/spreadsheetml/2018/threadedcomments" xmlns:x="http://schemas.openxmlformats.org/spreadsheetml/2006/main">
  <threadedComment ref="R34" dT="2024-04-26T18:52:15.45" personId="{FFB89494-4C8C-4DF8-AB66-EF7261C141A5}" id="{F092CB2E-4203-42F2-BD2F-74C6245C12F3}">
    <text>@Trevor Rouse are you able to carve out China?</text>
    <mentions>
      <mention mentionpersonId="{DB587674-DFC6-40D1-B86F-A160DC484CC7}" mentionId="{3A0A644E-0D52-46C6-8E5C-E8AAA6230E4E}" startIndex="0" length="13"/>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F1" dT="2024-04-24T09:32:30.08" personId="{FFB89494-4C8C-4DF8-AB66-EF7261C141A5}" id="{E4F7E7CA-AF99-4444-B457-44EA0116EAC2}">
    <text>@Graeme Ellis fyi</text>
    <mentions>
      <mention mentionpersonId="{BFA071F7-F323-481E-9A2F-58466DCEC08F}" mentionId="{FBE9DE70-6162-4DF3-AF02-1820E86438B1}" startIndex="0" length="13"/>
    </mentions>
  </threadedComment>
  <threadedComment ref="G1" dT="2024-01-05T11:58:54.60" personId="{FFB89494-4C8C-4DF8-AB66-EF7261C141A5}" id="{4797ADAB-84A8-44DA-BC88-ABF14B481556}">
    <text xml:space="preserve">@Gary Machin hello, please see this working version of the 2024 databook
</text>
    <mentions>
      <mention mentionpersonId="{FC52F80B-84B8-43F7-A5E0-FE3EB28AFC19}" mentionId="{C355CED3-86D3-4BC7-9301-F5CAA9DD1958}" startIndex="0" length="12"/>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atthey.com/en/about-us/partnering-with-us/supplier-code-of-conduct?assetCategoryIds=&amp;sort=ddm__keyword__232257__Date-"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microsoft.com/office/2017/10/relationships/threadedComment" Target="../threadedComments/threadedComment5.xml"/><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tthey.com/nature-statement" TargetMode="External"/><Relationship Id="rId3" Type="http://schemas.openxmlformats.org/officeDocument/2006/relationships/hyperlink" Target="https://matthey.com/documents/161599/481702/2022-06-07+Corporate+EHS+Policy+Statement+FINAL+%28Amended%29.pdf/5dd3eee5-76e0-8d4d-4854-42163d9a7447?t=1654961678367" TargetMode="External"/><Relationship Id="rId7" Type="http://schemas.openxmlformats.org/officeDocument/2006/relationships/hyperlink" Target="https://matthey.com/sustainability/policies-disclosures-and-position-statements/anti-bribery-and-corruption-policy" TargetMode="External"/><Relationship Id="rId2" Type="http://schemas.openxmlformats.org/officeDocument/2006/relationships/hyperlink" Target="https://matthey.com/en/sustainability/sustainability-governance" TargetMode="External"/><Relationship Id="rId1" Type="http://schemas.openxmlformats.org/officeDocument/2006/relationships/hyperlink" Target="https://matthey.com/documents/161599/481702/Global+Conflicts+of+Interest+Policy.pdf/9160e563-c3a0-35ab-d032-9d844c3cb8f5?t=1670344654748" TargetMode="External"/><Relationship Id="rId6" Type="http://schemas.openxmlformats.org/officeDocument/2006/relationships/hyperlink" Target="https://matthey.com/documents/161599/165034/Tax-Strategy-FY21.pdf/7d106cca-7a29-4856-8d18-6c65622c0e5b?t=1650968210554" TargetMode="External"/><Relationship Id="rId5" Type="http://schemas.openxmlformats.org/officeDocument/2006/relationships/hyperlink" Target="https://matthey.com/documents/161599/481702/Global+Tax+Policy.pdf/3fdd4cb2-b62b-e3f3-d170-affb18418399?t=1670345691972" TargetMode="External"/><Relationship Id="rId10" Type="http://schemas.openxmlformats.org/officeDocument/2006/relationships/drawing" Target="../drawings/drawing5.xml"/><Relationship Id="rId4" Type="http://schemas.openxmlformats.org/officeDocument/2006/relationships/hyperlink" Target="https://matthey.com/documents/161599/2096356/JM_Gender+Pay+Gap+Report+2023.pdf/b63fc339-8fb2-d833-3ef5-11b4edb9b310?t=1712141102812"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atthey.com/sustainability/sustainability-governanc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unglobalcompact.org/what-is-gc/participants/149760" TargetMode="External"/><Relationship Id="rId2" Type="http://schemas.openxmlformats.org/officeDocument/2006/relationships/hyperlink" Target="https://matthey.com/documents/161599/2096356/JM_Gender+Pay+Gap+Report+2023.pdf/b63fc339-8fb2-d833-3ef5-11b4edb9b310?t=1712141102812" TargetMode="External"/><Relationship Id="rId1" Type="http://schemas.openxmlformats.org/officeDocument/2006/relationships/hyperlink" Target="https://matthey.com/contact-us?assetCategoryIds=&amp;sort=ddm__keyword__232321__Country"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S13"/>
  <sheetViews>
    <sheetView workbookViewId="0">
      <selection activeCell="R1" sqref="R1"/>
    </sheetView>
  </sheetViews>
  <sheetFormatPr defaultColWidth="8.88671875" defaultRowHeight="14.4"/>
  <cols>
    <col min="1" max="1" width="3.109375" style="1" customWidth="1"/>
    <col min="2" max="16384" width="8.88671875" style="1"/>
  </cols>
  <sheetData>
    <row r="13" spans="19:19">
      <c r="S13" s="886"/>
    </row>
  </sheetData>
  <sheetProtection algorithmName="SHA-512" hashValue="PmMtCh9D66Gpusnol8tIwsC9gqXVbMWoHn20EYXYIUMbl6x67kCSUvIrPGJ8JK/VQgySe5s8HDZfxPnsewOjjQ==" saltValue="nkt47juz4FHCmCLfg/9zzw==" spinCount="100000" sheet="1" objects="1" scenarios="1"/>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pageSetUpPr fitToPage="1"/>
  </sheetPr>
  <dimension ref="A2:J55"/>
  <sheetViews>
    <sheetView zoomScale="80" zoomScaleNormal="80" workbookViewId="0"/>
  </sheetViews>
  <sheetFormatPr defaultColWidth="8.88671875" defaultRowHeight="12.6"/>
  <cols>
    <col min="1" max="1" width="5.109375" style="495" customWidth="1"/>
    <col min="2" max="2" width="103.109375" style="3" customWidth="1"/>
    <col min="3" max="3" width="34.109375" style="3" customWidth="1"/>
    <col min="4" max="4" width="26.6640625" style="3" customWidth="1"/>
    <col min="5" max="5" width="12" style="3" bestFit="1" customWidth="1"/>
    <col min="6" max="6" width="5.88671875" style="3" hidden="1" customWidth="1"/>
    <col min="7" max="7" width="11.5546875" style="3" hidden="1" customWidth="1"/>
    <col min="8" max="8" width="8.44140625" style="3" hidden="1" customWidth="1"/>
    <col min="9" max="9" width="18.33203125" style="3" hidden="1" customWidth="1"/>
    <col min="10" max="10" width="2.5546875" style="3" hidden="1" customWidth="1"/>
    <col min="11" max="16384" width="8.88671875" style="3"/>
  </cols>
  <sheetData>
    <row r="2" spans="1:10" ht="23.1" customHeight="1">
      <c r="B2" s="1430" t="s">
        <v>565</v>
      </c>
      <c r="C2" s="1430"/>
      <c r="D2" s="1430"/>
      <c r="E2" s="652"/>
      <c r="F2" s="652"/>
      <c r="G2" s="652"/>
      <c r="H2" s="652"/>
    </row>
    <row r="3" spans="1:10" ht="14.1" customHeight="1">
      <c r="B3" s="465"/>
      <c r="C3" s="465"/>
      <c r="D3" s="465"/>
      <c r="E3" s="465"/>
      <c r="F3" s="465"/>
      <c r="G3" s="465"/>
      <c r="H3" s="465"/>
    </row>
    <row r="4" spans="1:10" ht="45" customHeight="1">
      <c r="B4" s="1429" t="s">
        <v>566</v>
      </c>
      <c r="C4" s="1429"/>
      <c r="D4" s="1429"/>
      <c r="E4" s="496"/>
      <c r="F4" s="496"/>
      <c r="G4" s="496"/>
      <c r="H4" s="496"/>
    </row>
    <row r="5" spans="1:10" ht="14.4" customHeight="1">
      <c r="B5" s="465"/>
      <c r="C5" s="465"/>
      <c r="D5" s="465"/>
      <c r="E5" s="496"/>
      <c r="F5" s="497"/>
      <c r="G5" s="497"/>
      <c r="H5" s="497"/>
      <c r="I5" s="465"/>
    </row>
    <row r="6" spans="1:10" s="734" customFormat="1" ht="32.4">
      <c r="A6" s="1048"/>
      <c r="B6" s="1100" t="s">
        <v>567</v>
      </c>
      <c r="C6" s="1101" t="s">
        <v>568</v>
      </c>
      <c r="D6" s="1102" t="s">
        <v>569</v>
      </c>
      <c r="E6" s="1103"/>
      <c r="F6" s="1104"/>
      <c r="G6" s="1104"/>
      <c r="H6" s="1104"/>
      <c r="I6" s="1102" t="s">
        <v>569</v>
      </c>
    </row>
    <row r="7" spans="1:10" ht="18.600000000000001">
      <c r="B7" s="696" t="s">
        <v>472</v>
      </c>
      <c r="C7" s="599" t="s">
        <v>570</v>
      </c>
      <c r="D7" s="908">
        <f>Environment!D10</f>
        <v>215429</v>
      </c>
      <c r="E7" s="496"/>
      <c r="F7" s="499">
        <v>233300</v>
      </c>
      <c r="G7" s="500">
        <v>233300</v>
      </c>
      <c r="H7" s="498"/>
      <c r="I7" s="908">
        <v>215429</v>
      </c>
      <c r="J7" s="1176">
        <f t="shared" ref="J7:J54" si="0">D7-I7</f>
        <v>0</v>
      </c>
    </row>
    <row r="8" spans="1:10" ht="18.600000000000001">
      <c r="B8" s="696" t="s">
        <v>475</v>
      </c>
      <c r="C8" s="599" t="s">
        <v>570</v>
      </c>
      <c r="D8" s="908">
        <f>Environment!D11</f>
        <v>66974</v>
      </c>
      <c r="E8" s="496"/>
      <c r="F8" s="499">
        <v>130386</v>
      </c>
      <c r="G8" s="500">
        <v>130386</v>
      </c>
      <c r="H8" s="498"/>
      <c r="I8" s="908">
        <v>66974</v>
      </c>
      <c r="J8" s="1176">
        <f t="shared" si="0"/>
        <v>0</v>
      </c>
    </row>
    <row r="9" spans="1:10" ht="18.600000000000001">
      <c r="B9" s="696" t="s">
        <v>554</v>
      </c>
      <c r="C9" s="599" t="s">
        <v>570</v>
      </c>
      <c r="D9" s="908">
        <f>Environment!D12</f>
        <v>196812</v>
      </c>
      <c r="E9" s="496"/>
      <c r="F9" s="499">
        <v>204848</v>
      </c>
      <c r="G9" s="500">
        <v>204848</v>
      </c>
      <c r="H9" s="498"/>
      <c r="I9" s="908">
        <v>196812</v>
      </c>
      <c r="J9" s="1176">
        <f t="shared" si="0"/>
        <v>0</v>
      </c>
    </row>
    <row r="10" spans="1:10" ht="18.600000000000001">
      <c r="B10" s="696" t="s">
        <v>571</v>
      </c>
      <c r="C10" s="599" t="s">
        <v>570</v>
      </c>
      <c r="D10" s="908">
        <f>Environment!D13</f>
        <v>282403</v>
      </c>
      <c r="E10" s="496"/>
      <c r="F10" s="499">
        <v>363686</v>
      </c>
      <c r="G10" s="500">
        <v>363686</v>
      </c>
      <c r="H10" s="498"/>
      <c r="I10" s="908">
        <v>282403</v>
      </c>
      <c r="J10" s="1176">
        <f t="shared" si="0"/>
        <v>0</v>
      </c>
    </row>
    <row r="11" spans="1:10" ht="18.600000000000001">
      <c r="B11" s="696" t="s">
        <v>558</v>
      </c>
      <c r="C11" s="599" t="s">
        <v>572</v>
      </c>
      <c r="D11" s="1227">
        <f>Environment!D15</f>
        <v>2.62</v>
      </c>
      <c r="E11" s="496"/>
      <c r="F11" s="501">
        <v>3.4</v>
      </c>
      <c r="G11" s="502">
        <v>3.4</v>
      </c>
      <c r="H11" s="498"/>
      <c r="I11" s="1174">
        <v>2.62</v>
      </c>
      <c r="J11" s="1176">
        <f t="shared" si="0"/>
        <v>0</v>
      </c>
    </row>
    <row r="12" spans="1:10" ht="16.2">
      <c r="B12" s="696" t="s">
        <v>573</v>
      </c>
      <c r="C12" s="599" t="s">
        <v>574</v>
      </c>
      <c r="D12" s="1175">
        <f>Environment!I15</f>
        <v>-0.17868338557993727</v>
      </c>
      <c r="E12" s="496"/>
      <c r="F12" s="503">
        <v>-8.1081081081081155E-2</v>
      </c>
      <c r="G12" s="504">
        <v>-0.08</v>
      </c>
      <c r="H12" s="498"/>
      <c r="I12" s="1175">
        <v>-0.17868338557993727</v>
      </c>
      <c r="J12" s="1176">
        <f t="shared" si="0"/>
        <v>0</v>
      </c>
    </row>
    <row r="13" spans="1:10" ht="16.2">
      <c r="B13" s="696" t="s">
        <v>561</v>
      </c>
      <c r="C13" s="599" t="s">
        <v>562</v>
      </c>
      <c r="D13" s="908">
        <f>Environment!D51</f>
        <v>1211683</v>
      </c>
      <c r="E13" s="496"/>
      <c r="F13" s="505">
        <v>1185612.237</v>
      </c>
      <c r="G13" s="500">
        <v>1185612</v>
      </c>
      <c r="H13" s="498"/>
      <c r="I13" s="908">
        <v>1211683</v>
      </c>
      <c r="J13" s="1176">
        <f t="shared" si="0"/>
        <v>0</v>
      </c>
    </row>
    <row r="14" spans="1:10" ht="16.2">
      <c r="B14" s="764" t="s">
        <v>575</v>
      </c>
      <c r="C14" s="764" t="s">
        <v>576</v>
      </c>
      <c r="D14" s="908">
        <f>Environment!D70</f>
        <v>936278140.20000005</v>
      </c>
      <c r="E14" s="496"/>
      <c r="F14" s="499">
        <v>986948044</v>
      </c>
      <c r="G14" s="500">
        <v>986948044</v>
      </c>
      <c r="H14" s="498"/>
      <c r="I14" s="908">
        <v>936278140.20000005</v>
      </c>
      <c r="J14" s="1176">
        <f t="shared" si="0"/>
        <v>0</v>
      </c>
    </row>
    <row r="15" spans="1:10" ht="16.2">
      <c r="B15" s="764" t="s">
        <v>577</v>
      </c>
      <c r="C15" s="764" t="s">
        <v>576</v>
      </c>
      <c r="D15" s="908">
        <f>Environment!D75</f>
        <v>275404458</v>
      </c>
      <c r="E15" s="496"/>
      <c r="F15" s="499">
        <v>198664193</v>
      </c>
      <c r="G15" s="500">
        <v>198664193</v>
      </c>
      <c r="H15" s="498"/>
      <c r="I15" s="908">
        <v>275404458</v>
      </c>
      <c r="J15" s="1176">
        <f t="shared" si="0"/>
        <v>0</v>
      </c>
    </row>
    <row r="16" spans="1:10" ht="16.2">
      <c r="B16" s="696" t="s">
        <v>578</v>
      </c>
      <c r="C16" s="599" t="s">
        <v>574</v>
      </c>
      <c r="D16" s="911">
        <f>Environment!D53</f>
        <v>0.56559999999999999</v>
      </c>
      <c r="E16" s="496"/>
      <c r="F16" s="506">
        <v>0.41015331242742104</v>
      </c>
      <c r="G16" s="504">
        <v>0.41</v>
      </c>
      <c r="H16" s="498"/>
      <c r="I16" s="911">
        <v>0.56559999999999999</v>
      </c>
      <c r="J16" s="1176">
        <f t="shared" si="0"/>
        <v>0</v>
      </c>
    </row>
    <row r="17" spans="1:10" ht="18.600000000000001">
      <c r="B17" s="765" t="s">
        <v>579</v>
      </c>
      <c r="C17" s="764" t="s">
        <v>553</v>
      </c>
      <c r="D17" s="908">
        <f>Environment!D18</f>
        <v>2531576</v>
      </c>
      <c r="E17" s="496"/>
      <c r="F17" s="499">
        <v>2495475</v>
      </c>
      <c r="G17" s="500">
        <v>2495475</v>
      </c>
      <c r="H17" s="498"/>
      <c r="I17" s="908">
        <v>2531576</v>
      </c>
      <c r="J17" s="1176">
        <f t="shared" si="0"/>
        <v>0</v>
      </c>
    </row>
    <row r="18" spans="1:10" ht="18.600000000000001">
      <c r="B18" s="696" t="s">
        <v>580</v>
      </c>
      <c r="C18" s="599" t="s">
        <v>570</v>
      </c>
      <c r="D18" s="908">
        <f>Environment!D20</f>
        <v>38687.160000000003</v>
      </c>
      <c r="E18" s="496"/>
      <c r="F18" s="499">
        <v>41018</v>
      </c>
      <c r="G18" s="500">
        <v>41018</v>
      </c>
      <c r="H18" s="498"/>
      <c r="I18" s="908">
        <v>38687.160000000003</v>
      </c>
      <c r="J18" s="1176">
        <f t="shared" si="0"/>
        <v>0</v>
      </c>
    </row>
    <row r="19" spans="1:10" s="1111" customFormat="1" ht="18.600000000000001" hidden="1">
      <c r="A19" s="1105"/>
      <c r="B19" s="1112" t="s">
        <v>476</v>
      </c>
      <c r="C19" s="1112" t="s">
        <v>570</v>
      </c>
      <c r="D19" s="1113">
        <f>Environment!D33</f>
        <v>3026404.2218367024</v>
      </c>
      <c r="E19" s="1155"/>
      <c r="F19" s="1114"/>
      <c r="G19" s="1110"/>
      <c r="I19" s="1113">
        <v>3026404.2218367024</v>
      </c>
      <c r="J19" s="1176">
        <f t="shared" si="0"/>
        <v>0</v>
      </c>
    </row>
    <row r="20" spans="1:10" ht="17.399999999999999">
      <c r="B20" s="599" t="s">
        <v>581</v>
      </c>
      <c r="C20" s="599" t="s">
        <v>582</v>
      </c>
      <c r="D20" s="908">
        <f>Environment!D86</f>
        <v>1791727</v>
      </c>
      <c r="E20" s="496"/>
      <c r="F20" s="499">
        <v>1800878</v>
      </c>
      <c r="G20" s="500">
        <v>1800878</v>
      </c>
      <c r="H20" s="498"/>
      <c r="I20" s="908">
        <v>1791727</v>
      </c>
      <c r="J20" s="1176">
        <f t="shared" si="0"/>
        <v>0</v>
      </c>
    </row>
    <row r="21" spans="1:10" ht="17.399999999999999">
      <c r="B21" s="696" t="s">
        <v>583</v>
      </c>
      <c r="C21" s="599" t="s">
        <v>582</v>
      </c>
      <c r="D21" s="908">
        <f>Environment!D88</f>
        <v>36477</v>
      </c>
      <c r="E21" s="496"/>
      <c r="F21" s="499">
        <v>48993</v>
      </c>
      <c r="G21" s="500">
        <v>48993</v>
      </c>
      <c r="H21" s="498"/>
      <c r="I21" s="908">
        <v>36477</v>
      </c>
      <c r="J21" s="1176">
        <f t="shared" si="0"/>
        <v>0</v>
      </c>
    </row>
    <row r="22" spans="1:10" ht="17.399999999999999">
      <c r="B22" s="696" t="s">
        <v>584</v>
      </c>
      <c r="C22" s="696" t="s">
        <v>585</v>
      </c>
      <c r="D22" s="908">
        <f>Environment!D97</f>
        <v>1755</v>
      </c>
      <c r="E22" s="496"/>
      <c r="F22" s="499">
        <v>1751.885</v>
      </c>
      <c r="G22" s="500">
        <v>1752</v>
      </c>
      <c r="H22" s="498"/>
      <c r="I22" s="908">
        <v>1755</v>
      </c>
      <c r="J22" s="1176">
        <f t="shared" si="0"/>
        <v>0</v>
      </c>
    </row>
    <row r="23" spans="1:10" ht="17.399999999999999">
      <c r="B23" s="765" t="s">
        <v>586</v>
      </c>
      <c r="C23" s="696" t="s">
        <v>585</v>
      </c>
      <c r="D23" s="912">
        <f>Environment!D98</f>
        <v>402</v>
      </c>
      <c r="E23" s="496"/>
      <c r="F23" s="507">
        <v>399.17399999999998</v>
      </c>
      <c r="G23" s="502">
        <v>399</v>
      </c>
      <c r="H23" s="498"/>
      <c r="I23" s="912">
        <v>402</v>
      </c>
      <c r="J23" s="1176">
        <f t="shared" si="0"/>
        <v>0</v>
      </c>
    </row>
    <row r="24" spans="1:10" ht="16.2">
      <c r="B24" s="599" t="s">
        <v>587</v>
      </c>
      <c r="C24" s="599" t="s">
        <v>588</v>
      </c>
      <c r="D24" s="909">
        <f>Environment!D93</f>
        <v>264</v>
      </c>
      <c r="E24" s="496"/>
      <c r="F24" s="501">
        <v>242</v>
      </c>
      <c r="G24" s="502">
        <v>242</v>
      </c>
      <c r="H24" s="498"/>
      <c r="I24" s="909">
        <v>264</v>
      </c>
      <c r="J24" s="1176">
        <f t="shared" si="0"/>
        <v>0</v>
      </c>
    </row>
    <row r="25" spans="1:10" ht="16.2">
      <c r="B25" s="765" t="s">
        <v>589</v>
      </c>
      <c r="C25" s="765" t="s">
        <v>574</v>
      </c>
      <c r="D25" s="910">
        <f>Environment!D94</f>
        <v>0.9</v>
      </c>
      <c r="E25" s="496"/>
      <c r="F25" s="503">
        <v>0.75</v>
      </c>
      <c r="G25" s="504">
        <v>0.75</v>
      </c>
      <c r="H25" s="498"/>
      <c r="I25" s="910">
        <v>0.9</v>
      </c>
      <c r="J25" s="1176">
        <f t="shared" si="0"/>
        <v>0</v>
      </c>
    </row>
    <row r="26" spans="1:10" ht="16.2">
      <c r="B26" s="764" t="s">
        <v>590</v>
      </c>
      <c r="C26" s="764" t="s">
        <v>591</v>
      </c>
      <c r="D26" s="908">
        <f>Environment!D111+Environment!D112</f>
        <v>37610</v>
      </c>
      <c r="E26" s="496"/>
      <c r="F26" s="505"/>
      <c r="G26" s="500"/>
      <c r="H26" s="498"/>
      <c r="I26" s="908">
        <v>37610</v>
      </c>
      <c r="J26" s="1176">
        <f t="shared" si="0"/>
        <v>0</v>
      </c>
    </row>
    <row r="27" spans="1:10" ht="16.2">
      <c r="B27" s="765" t="s">
        <v>592</v>
      </c>
      <c r="C27" s="765" t="s">
        <v>591</v>
      </c>
      <c r="D27" s="908">
        <f>Environment!D115</f>
        <v>3338</v>
      </c>
      <c r="E27" s="496"/>
      <c r="F27" s="505">
        <v>4347</v>
      </c>
      <c r="G27" s="500">
        <v>4347</v>
      </c>
      <c r="H27" s="498"/>
      <c r="I27" s="908">
        <v>3338</v>
      </c>
      <c r="J27" s="1176">
        <f t="shared" si="0"/>
        <v>0</v>
      </c>
    </row>
    <row r="28" spans="1:10" ht="16.2">
      <c r="B28" s="765" t="s">
        <v>593</v>
      </c>
      <c r="C28" s="765" t="s">
        <v>591</v>
      </c>
      <c r="D28" s="908">
        <f>Environment!D113</f>
        <v>1213</v>
      </c>
      <c r="E28" s="496"/>
      <c r="F28" s="505"/>
      <c r="G28" s="500"/>
      <c r="H28" s="498"/>
      <c r="I28" s="908">
        <v>1213</v>
      </c>
      <c r="J28" s="1176">
        <f t="shared" si="0"/>
        <v>0</v>
      </c>
    </row>
    <row r="29" spans="1:10" ht="16.2">
      <c r="B29" s="765" t="s">
        <v>594</v>
      </c>
      <c r="C29" s="765" t="s">
        <v>591</v>
      </c>
      <c r="D29" s="908">
        <f>Environment!D114</f>
        <v>23064</v>
      </c>
      <c r="E29" s="496"/>
      <c r="F29" s="505"/>
      <c r="G29" s="500"/>
      <c r="H29" s="498"/>
      <c r="I29" s="908">
        <v>23064</v>
      </c>
      <c r="J29" s="1176">
        <f t="shared" si="0"/>
        <v>0</v>
      </c>
    </row>
    <row r="30" spans="1:10" ht="16.2">
      <c r="B30" s="764" t="s">
        <v>595</v>
      </c>
      <c r="C30" s="764" t="s">
        <v>591</v>
      </c>
      <c r="D30" s="908">
        <f>Environment!D108</f>
        <v>65225</v>
      </c>
      <c r="E30" s="496"/>
      <c r="F30" s="505">
        <v>62885.399999999994</v>
      </c>
      <c r="G30" s="500">
        <v>62885</v>
      </c>
      <c r="H30" s="498"/>
      <c r="I30" s="908">
        <v>65225</v>
      </c>
      <c r="J30" s="1176">
        <f t="shared" si="0"/>
        <v>0</v>
      </c>
    </row>
    <row r="31" spans="1:10" ht="16.2">
      <c r="B31" s="765" t="s">
        <v>596</v>
      </c>
      <c r="C31" s="764" t="s">
        <v>591</v>
      </c>
      <c r="D31" s="908">
        <f>Environment!D131+Environment!D133</f>
        <v>25263</v>
      </c>
      <c r="E31" s="496"/>
      <c r="F31" s="505"/>
      <c r="G31" s="500"/>
      <c r="H31" s="498"/>
      <c r="I31" s="908">
        <v>25263</v>
      </c>
      <c r="J31" s="1176">
        <f t="shared" si="0"/>
        <v>0</v>
      </c>
    </row>
    <row r="32" spans="1:10" ht="16.2">
      <c r="B32" s="764" t="s">
        <v>597</v>
      </c>
      <c r="C32" s="764" t="s">
        <v>591</v>
      </c>
      <c r="D32" s="908">
        <f>Environment!D125</f>
        <v>1373</v>
      </c>
      <c r="E32" s="496"/>
      <c r="F32" s="505"/>
      <c r="G32" s="500"/>
      <c r="H32" s="498"/>
      <c r="I32" s="908">
        <v>1373</v>
      </c>
      <c r="J32" s="1176">
        <f t="shared" si="0"/>
        <v>0</v>
      </c>
    </row>
    <row r="33" spans="1:10" ht="16.2">
      <c r="B33" s="764" t="s">
        <v>598</v>
      </c>
      <c r="C33" s="764" t="s">
        <v>591</v>
      </c>
      <c r="D33" s="908">
        <f>Environment!D123</f>
        <v>201</v>
      </c>
      <c r="E33" s="496"/>
      <c r="F33" s="505"/>
      <c r="G33" s="500"/>
      <c r="H33" s="498"/>
      <c r="I33" s="908">
        <v>201</v>
      </c>
      <c r="J33" s="1176">
        <f t="shared" si="0"/>
        <v>0</v>
      </c>
    </row>
    <row r="34" spans="1:10" ht="16.2">
      <c r="B34" s="764" t="s">
        <v>599</v>
      </c>
      <c r="C34" s="764" t="s">
        <v>591</v>
      </c>
      <c r="D34" s="908">
        <f>Environment!D124</f>
        <v>15463</v>
      </c>
      <c r="E34" s="496"/>
      <c r="F34" s="505"/>
      <c r="G34" s="500"/>
      <c r="H34" s="498"/>
      <c r="I34" s="908">
        <v>15463</v>
      </c>
      <c r="J34" s="1176">
        <f t="shared" si="0"/>
        <v>0</v>
      </c>
    </row>
    <row r="35" spans="1:10" ht="16.2">
      <c r="B35" s="765" t="s">
        <v>600</v>
      </c>
      <c r="C35" s="765" t="s">
        <v>591</v>
      </c>
      <c r="D35" s="908">
        <f>Environment!D107</f>
        <v>42300</v>
      </c>
      <c r="E35" s="496"/>
      <c r="F35" s="505">
        <v>41859.699999999997</v>
      </c>
      <c r="G35" s="500">
        <v>41860</v>
      </c>
      <c r="H35" s="498"/>
      <c r="I35" s="908">
        <v>42300</v>
      </c>
      <c r="J35" s="1176">
        <f t="shared" si="0"/>
        <v>0</v>
      </c>
    </row>
    <row r="36" spans="1:10" ht="16.2">
      <c r="B36" s="765" t="s">
        <v>601</v>
      </c>
      <c r="C36" s="765" t="s">
        <v>591</v>
      </c>
      <c r="D36" s="908">
        <f>Environment!D142</f>
        <v>3571</v>
      </c>
      <c r="E36" s="496"/>
      <c r="F36" s="505">
        <v>4369</v>
      </c>
      <c r="G36" s="500">
        <v>4369</v>
      </c>
      <c r="H36" s="498"/>
      <c r="I36" s="908">
        <v>3571</v>
      </c>
      <c r="J36" s="1176">
        <f t="shared" si="0"/>
        <v>0</v>
      </c>
    </row>
    <row r="37" spans="1:10" ht="16.2">
      <c r="B37" s="765" t="s">
        <v>602</v>
      </c>
      <c r="C37" s="765" t="s">
        <v>591</v>
      </c>
      <c r="D37" s="908">
        <f>Environment!D139</f>
        <v>15257</v>
      </c>
      <c r="E37" s="496"/>
      <c r="F37" s="505">
        <v>17307</v>
      </c>
      <c r="G37" s="500">
        <v>17307</v>
      </c>
      <c r="H37" s="498"/>
      <c r="I37" s="908">
        <v>15257</v>
      </c>
      <c r="J37" s="1176">
        <f t="shared" si="0"/>
        <v>0</v>
      </c>
    </row>
    <row r="38" spans="1:10" ht="16.2">
      <c r="B38" s="765" t="s">
        <v>603</v>
      </c>
      <c r="C38" s="765" t="s">
        <v>591</v>
      </c>
      <c r="D38" s="908">
        <f>Environment!D140+Environment!D141</f>
        <v>11687</v>
      </c>
      <c r="E38" s="496"/>
      <c r="F38" s="505">
        <v>12938</v>
      </c>
      <c r="G38" s="500">
        <v>12938</v>
      </c>
      <c r="H38" s="498"/>
      <c r="I38" s="908">
        <v>11687</v>
      </c>
      <c r="J38" s="1176">
        <f t="shared" si="0"/>
        <v>0</v>
      </c>
    </row>
    <row r="39" spans="1:10" s="1111" customFormat="1" ht="16.2" hidden="1">
      <c r="A39" s="1105"/>
      <c r="B39" s="1106" t="s">
        <v>604</v>
      </c>
      <c r="C39" s="1106"/>
      <c r="D39" s="1107"/>
      <c r="E39" s="1108"/>
      <c r="F39" s="1109"/>
      <c r="G39" s="1110"/>
      <c r="I39" s="1107"/>
      <c r="J39" s="1176">
        <f t="shared" si="0"/>
        <v>0</v>
      </c>
    </row>
    <row r="40" spans="1:10" ht="16.2">
      <c r="B40" s="765" t="s">
        <v>605</v>
      </c>
      <c r="C40" s="765" t="s">
        <v>591</v>
      </c>
      <c r="D40" s="1099">
        <f>Environment!D145</f>
        <v>318.29000000000002</v>
      </c>
      <c r="E40" s="496"/>
      <c r="F40" s="505">
        <v>336</v>
      </c>
      <c r="G40" s="502">
        <v>336</v>
      </c>
      <c r="H40" s="498"/>
      <c r="I40" s="1099">
        <v>318.29000000000002</v>
      </c>
      <c r="J40" s="1176">
        <f t="shared" si="0"/>
        <v>0</v>
      </c>
    </row>
    <row r="41" spans="1:10" ht="16.2">
      <c r="B41" s="765" t="s">
        <v>606</v>
      </c>
      <c r="C41" s="765" t="s">
        <v>591</v>
      </c>
      <c r="D41" s="1099">
        <f>Environment!D146</f>
        <v>36.020000000000003</v>
      </c>
      <c r="E41" s="496"/>
      <c r="F41" s="505">
        <v>31</v>
      </c>
      <c r="G41" s="502">
        <v>31</v>
      </c>
      <c r="H41" s="498"/>
      <c r="I41" s="1099">
        <v>36.020000000000003</v>
      </c>
      <c r="J41" s="1176">
        <f t="shared" si="0"/>
        <v>0</v>
      </c>
    </row>
    <row r="42" spans="1:10" ht="16.2">
      <c r="B42" s="765" t="s">
        <v>607</v>
      </c>
      <c r="C42" s="765" t="s">
        <v>591</v>
      </c>
      <c r="D42" s="1099">
        <f>Environment!D147</f>
        <v>44.76</v>
      </c>
      <c r="E42" s="496"/>
      <c r="F42" s="505">
        <v>42</v>
      </c>
      <c r="G42" s="502">
        <v>42</v>
      </c>
      <c r="H42" s="498"/>
      <c r="I42" s="1099">
        <v>44.76</v>
      </c>
      <c r="J42" s="1176">
        <f t="shared" si="0"/>
        <v>0</v>
      </c>
    </row>
    <row r="43" spans="1:10" ht="16.2">
      <c r="B43" s="765" t="s">
        <v>608</v>
      </c>
      <c r="C43" s="765" t="s">
        <v>574</v>
      </c>
      <c r="D43" s="911">
        <f>Environment!D148</f>
        <v>0.875</v>
      </c>
      <c r="E43" s="496"/>
      <c r="F43" s="506">
        <v>0.86</v>
      </c>
      <c r="G43" s="504">
        <v>0.86</v>
      </c>
      <c r="H43" s="498"/>
      <c r="I43" s="911">
        <v>0.875</v>
      </c>
      <c r="J43" s="1176">
        <f t="shared" si="0"/>
        <v>0</v>
      </c>
    </row>
    <row r="44" spans="1:10" ht="16.2">
      <c r="B44" s="765" t="s">
        <v>609</v>
      </c>
      <c r="C44" s="765" t="s">
        <v>574</v>
      </c>
      <c r="D44" s="911">
        <f>Environment!D149</f>
        <v>0.67500000000000004</v>
      </c>
      <c r="E44" s="496"/>
      <c r="F44" s="506">
        <v>0.36</v>
      </c>
      <c r="G44" s="504">
        <v>0.36</v>
      </c>
      <c r="H44" s="498"/>
      <c r="I44" s="911">
        <v>0.67500000000000004</v>
      </c>
      <c r="J44" s="1176">
        <f t="shared" si="0"/>
        <v>0</v>
      </c>
    </row>
    <row r="45" spans="1:10" ht="16.2">
      <c r="B45" s="765" t="s">
        <v>610</v>
      </c>
      <c r="C45" s="765" t="s">
        <v>574</v>
      </c>
      <c r="D45" s="911">
        <f>Environment!D150</f>
        <v>0.8</v>
      </c>
      <c r="E45" s="496"/>
      <c r="F45" s="506">
        <v>0.56999999999999995</v>
      </c>
      <c r="G45" s="504">
        <v>0.56999999999999995</v>
      </c>
      <c r="H45" s="498"/>
      <c r="I45" s="911">
        <v>0.8</v>
      </c>
      <c r="J45" s="1176">
        <f t="shared" si="0"/>
        <v>0</v>
      </c>
    </row>
    <row r="46" spans="1:10" ht="18.600000000000001">
      <c r="B46" s="765" t="s">
        <v>611</v>
      </c>
      <c r="C46" s="599" t="s">
        <v>570</v>
      </c>
      <c r="D46" s="908">
        <f>Environment!D45</f>
        <v>1110057</v>
      </c>
      <c r="E46" s="496"/>
      <c r="F46" s="506"/>
      <c r="G46" s="504"/>
      <c r="H46" s="498"/>
      <c r="I46" s="908">
        <v>1110057</v>
      </c>
      <c r="J46" s="1176">
        <f t="shared" si="0"/>
        <v>0</v>
      </c>
    </row>
    <row r="47" spans="1:10" ht="16.2">
      <c r="B47" s="765" t="s">
        <v>612</v>
      </c>
      <c r="C47" s="765" t="s">
        <v>574</v>
      </c>
      <c r="D47" s="911">
        <v>0.6875</v>
      </c>
      <c r="E47" s="496"/>
      <c r="F47" s="506"/>
      <c r="G47" s="504"/>
      <c r="H47" s="498"/>
      <c r="I47" s="911">
        <v>0.6875</v>
      </c>
      <c r="J47" s="1176">
        <f t="shared" si="0"/>
        <v>0</v>
      </c>
    </row>
    <row r="48" spans="1:10" ht="16.2">
      <c r="B48" s="764" t="s">
        <v>613</v>
      </c>
      <c r="C48" s="764" t="s">
        <v>614</v>
      </c>
      <c r="D48" s="1174">
        <f>'Health and Safety'!D10</f>
        <v>0.84</v>
      </c>
      <c r="E48" s="496"/>
      <c r="F48" s="501">
        <v>1.1599999999999999</v>
      </c>
      <c r="G48" s="502">
        <v>1.1599999999999999</v>
      </c>
      <c r="H48" s="498"/>
      <c r="I48" s="1174">
        <v>0.84</v>
      </c>
      <c r="J48" s="1176">
        <f t="shared" si="0"/>
        <v>0</v>
      </c>
    </row>
    <row r="49" spans="2:10" ht="16.2">
      <c r="B49" s="764" t="s">
        <v>615</v>
      </c>
      <c r="C49" s="764" t="s">
        <v>614</v>
      </c>
      <c r="D49" s="909">
        <f>'Health and Safety'!E10</f>
        <v>0.95</v>
      </c>
      <c r="E49" s="496"/>
      <c r="F49" s="501">
        <v>1.37</v>
      </c>
      <c r="G49" s="502">
        <v>1.37</v>
      </c>
      <c r="H49" s="498"/>
      <c r="I49" s="909">
        <v>0.95</v>
      </c>
      <c r="J49" s="1176">
        <f t="shared" si="0"/>
        <v>0</v>
      </c>
    </row>
    <row r="50" spans="2:10" ht="16.2">
      <c r="B50" s="599" t="s">
        <v>616</v>
      </c>
      <c r="C50" s="599" t="s">
        <v>614</v>
      </c>
      <c r="D50" s="909">
        <f>'Health and Safety'!D12</f>
        <v>0</v>
      </c>
      <c r="E50" s="496"/>
      <c r="F50" s="501">
        <v>0.08</v>
      </c>
      <c r="G50" s="502">
        <v>0.08</v>
      </c>
      <c r="H50" s="498"/>
      <c r="I50" s="909">
        <v>0</v>
      </c>
      <c r="J50" s="1176">
        <f t="shared" si="0"/>
        <v>0</v>
      </c>
    </row>
    <row r="51" spans="2:10" ht="16.2">
      <c r="B51" s="599" t="s">
        <v>617</v>
      </c>
      <c r="C51" s="599" t="s">
        <v>618</v>
      </c>
      <c r="D51" s="913">
        <f>'Health and Safety'!D29</f>
        <v>0.108</v>
      </c>
      <c r="E51" s="496"/>
      <c r="F51" s="508">
        <v>0.29599999999999999</v>
      </c>
      <c r="G51" s="502">
        <v>0.3</v>
      </c>
      <c r="H51" s="498"/>
      <c r="I51" s="913">
        <v>0.108</v>
      </c>
      <c r="J51" s="1176">
        <f t="shared" si="0"/>
        <v>0</v>
      </c>
    </row>
    <row r="52" spans="2:10" ht="16.2">
      <c r="B52" s="599" t="s">
        <v>619</v>
      </c>
      <c r="C52" s="599" t="s">
        <v>620</v>
      </c>
      <c r="D52" s="909">
        <f>'Health and Safety'!D23</f>
        <v>0.36</v>
      </c>
      <c r="E52" s="496"/>
      <c r="F52" s="501">
        <v>0.47</v>
      </c>
      <c r="G52" s="502">
        <v>0.47</v>
      </c>
      <c r="H52" s="498"/>
      <c r="I52" s="909">
        <v>0.36</v>
      </c>
      <c r="J52" s="1176">
        <f t="shared" si="0"/>
        <v>0</v>
      </c>
    </row>
    <row r="53" spans="2:10" ht="16.2">
      <c r="B53" s="765" t="s">
        <v>621</v>
      </c>
      <c r="C53" s="765" t="s">
        <v>622</v>
      </c>
      <c r="D53" s="913">
        <f>'Health and Safety'!D27</f>
        <v>0.877</v>
      </c>
      <c r="E53" s="496"/>
      <c r="F53" s="508">
        <v>1.0149999999999999</v>
      </c>
      <c r="G53" s="502">
        <v>1.02</v>
      </c>
      <c r="H53" s="498"/>
      <c r="I53" s="913">
        <v>0.877</v>
      </c>
      <c r="J53" s="1176">
        <f t="shared" si="0"/>
        <v>0</v>
      </c>
    </row>
    <row r="54" spans="2:10" ht="16.2">
      <c r="B54" s="765" t="s">
        <v>623</v>
      </c>
      <c r="C54" s="765" t="s">
        <v>574</v>
      </c>
      <c r="D54" s="911">
        <f>People!O41</f>
        <v>0.29876252209781967</v>
      </c>
      <c r="E54" s="496"/>
      <c r="F54" s="508" t="e">
        <f>#REF!-#REF!</f>
        <v>#REF!</v>
      </c>
      <c r="G54" s="502"/>
      <c r="H54" s="498"/>
      <c r="I54" s="911">
        <v>0.29876252209781967</v>
      </c>
      <c r="J54" s="1176">
        <f t="shared" si="0"/>
        <v>0</v>
      </c>
    </row>
    <row r="55" spans="2:10">
      <c r="E55" s="496"/>
      <c r="F55" s="498"/>
      <c r="G55" s="498"/>
      <c r="H55" s="498"/>
    </row>
  </sheetData>
  <sheetProtection algorithmName="SHA-512" hashValue="M0+5CSHHqvvjtFSTSH0VI4Ezj5wtDTQYInYq6cXXktWnDCP4Ij3Kke28WAG7kR2lNld5XP1ZX3gZIKbyP+vUHQ==" saltValue="cY0Z1aS0lFDJ1OUF/9us0Q==" spinCount="100000" sheet="1" objects="1" scenarios="1"/>
  <mergeCells count="2">
    <mergeCell ref="B4:D4"/>
    <mergeCell ref="B2:D2"/>
  </mergeCells>
  <pageMargins left="0.23622047244094491" right="0.23622047244094491" top="0.74803149606299213"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tabColor theme="3"/>
    <pageSetUpPr fitToPage="1"/>
  </sheetPr>
  <dimension ref="B2:U35"/>
  <sheetViews>
    <sheetView zoomScale="80" zoomScaleNormal="80" workbookViewId="0"/>
  </sheetViews>
  <sheetFormatPr defaultColWidth="8.88671875" defaultRowHeight="12.6"/>
  <cols>
    <col min="1" max="1" width="6.44140625" style="3" customWidth="1"/>
    <col min="2" max="2" width="36.5546875" style="3" bestFit="1" customWidth="1"/>
    <col min="3" max="3" width="19.5546875" style="3" customWidth="1"/>
    <col min="4" max="4" width="57.109375" style="3" bestFit="1" customWidth="1"/>
    <col min="5" max="5" width="14.6640625" style="3" bestFit="1" customWidth="1"/>
    <col min="6" max="6" width="12.5546875" style="3" bestFit="1" customWidth="1"/>
    <col min="7" max="7" width="14.33203125" style="3" bestFit="1" customWidth="1"/>
    <col min="8" max="8" width="18.44140625" style="3" customWidth="1"/>
    <col min="9" max="12" width="15.109375" style="3" customWidth="1"/>
    <col min="13" max="13" width="12.88671875" style="3" customWidth="1"/>
    <col min="14" max="14" width="24.5546875" style="3" customWidth="1"/>
    <col min="15" max="15" width="25.5546875" style="3" customWidth="1"/>
    <col min="16" max="16" width="14.109375" style="3" customWidth="1"/>
    <col min="17" max="17" width="9.109375" style="3" customWidth="1"/>
    <col min="18" max="16384" width="8.88671875" style="3"/>
  </cols>
  <sheetData>
    <row r="2" spans="2:21" ht="43.35" customHeight="1">
      <c r="B2" s="917" t="s">
        <v>624</v>
      </c>
      <c r="C2" s="509"/>
      <c r="D2" s="509"/>
      <c r="E2" s="509"/>
      <c r="G2" s="509"/>
      <c r="H2" s="509"/>
      <c r="I2" s="509"/>
      <c r="J2" s="509"/>
      <c r="K2" s="509"/>
      <c r="L2" s="509"/>
      <c r="M2" s="509"/>
      <c r="N2" s="509"/>
      <c r="O2" s="509"/>
      <c r="P2" s="509"/>
      <c r="Q2" s="509"/>
      <c r="R2" s="509"/>
      <c r="S2" s="509"/>
      <c r="T2" s="509"/>
      <c r="U2" s="509"/>
    </row>
    <row r="3" spans="2:21" ht="28.35" customHeight="1">
      <c r="G3" s="510"/>
      <c r="H3" s="510"/>
      <c r="I3" s="510"/>
      <c r="J3" s="510"/>
      <c r="K3" s="510"/>
      <c r="L3" s="510"/>
      <c r="M3" s="510"/>
      <c r="N3" s="510"/>
      <c r="O3" s="510"/>
      <c r="P3" s="510"/>
      <c r="Q3" s="510"/>
    </row>
    <row r="4" spans="2:21" ht="18.600000000000001" customHeight="1">
      <c r="F4" s="511"/>
      <c r="G4" s="510"/>
      <c r="H4" s="510"/>
      <c r="I4" s="510"/>
      <c r="J4" s="510"/>
      <c r="K4" s="510"/>
      <c r="L4" s="510"/>
      <c r="M4" s="510"/>
      <c r="N4" s="510"/>
      <c r="O4" s="510"/>
      <c r="P4" s="510"/>
      <c r="Q4" s="510"/>
    </row>
    <row r="5" spans="2:21" ht="18.600000000000001" customHeight="1">
      <c r="F5" s="511"/>
      <c r="G5" s="510"/>
      <c r="H5" s="510"/>
      <c r="I5" s="510"/>
      <c r="J5" s="510"/>
      <c r="K5" s="510"/>
      <c r="L5" s="510"/>
      <c r="M5" s="510"/>
      <c r="N5" s="510"/>
      <c r="O5" s="510"/>
      <c r="P5" s="510"/>
      <c r="Q5" s="510"/>
    </row>
    <row r="20" spans="2:21" ht="39" customHeight="1"/>
    <row r="21" spans="2:21" ht="58.65" customHeight="1">
      <c r="B21" s="915" t="s">
        <v>625</v>
      </c>
      <c r="C21" s="915" t="s">
        <v>626</v>
      </c>
      <c r="D21" s="915" t="s">
        <v>627</v>
      </c>
      <c r="E21" s="916" t="s">
        <v>628</v>
      </c>
      <c r="F21" s="916" t="s">
        <v>629</v>
      </c>
      <c r="G21" s="916" t="s">
        <v>630</v>
      </c>
      <c r="H21" s="916" t="s">
        <v>631</v>
      </c>
      <c r="I21" s="916" t="s">
        <v>632</v>
      </c>
      <c r="J21" s="916" t="s">
        <v>633</v>
      </c>
      <c r="K21" s="916" t="s">
        <v>634</v>
      </c>
      <c r="L21" s="916" t="s">
        <v>635</v>
      </c>
    </row>
    <row r="22" spans="2:21" ht="47.4" customHeight="1">
      <c r="B22" s="766" t="s">
        <v>636</v>
      </c>
      <c r="C22" s="767" t="s">
        <v>637</v>
      </c>
      <c r="D22" s="771" t="s">
        <v>638</v>
      </c>
      <c r="E22" s="768" t="s">
        <v>548</v>
      </c>
      <c r="F22" s="951">
        <f>Environment!G45</f>
        <v>223946</v>
      </c>
      <c r="G22" s="1255">
        <v>50000000</v>
      </c>
      <c r="H22" s="1256">
        <f>(G22-$F22)/$F22</f>
        <v>222.26810927634341</v>
      </c>
      <c r="I22" s="1260">
        <f>Environment!D45</f>
        <v>1110057</v>
      </c>
      <c r="J22" s="1261">
        <f>(I22-$F22)/$F22</f>
        <v>3.9568065515793984</v>
      </c>
      <c r="K22" s="1251">
        <f>Environment!E45</f>
        <v>841721</v>
      </c>
      <c r="L22" s="769">
        <f>(K22-$F22)/$F22</f>
        <v>2.7585891241638612</v>
      </c>
      <c r="P22" s="513"/>
      <c r="Q22" s="513"/>
    </row>
    <row r="23" spans="2:21" ht="35.1" customHeight="1">
      <c r="B23" s="766" t="s">
        <v>639</v>
      </c>
      <c r="C23" s="767" t="s">
        <v>637</v>
      </c>
      <c r="D23" s="771" t="s">
        <v>640</v>
      </c>
      <c r="E23" s="768" t="s">
        <v>549</v>
      </c>
      <c r="F23" s="952">
        <f>Environment!H13</f>
        <v>405770</v>
      </c>
      <c r="G23" s="1255">
        <f>F23*(1-0.44)</f>
        <v>227231.2</v>
      </c>
      <c r="H23" s="1256">
        <f>($F23-G23)/$F23</f>
        <v>0.43999999999999995</v>
      </c>
      <c r="I23" s="1260">
        <f>Environment!D13</f>
        <v>282403</v>
      </c>
      <c r="J23" s="1261">
        <f>($F23-I23)/$F23</f>
        <v>0.30403184069793232</v>
      </c>
      <c r="K23" s="1251">
        <f>Environment!E13</f>
        <v>344910</v>
      </c>
      <c r="L23" s="769">
        <f>($F23-K23)/$F23</f>
        <v>0.14998644552332602</v>
      </c>
      <c r="P23" s="513"/>
      <c r="Q23" s="513"/>
      <c r="S23" s="513"/>
      <c r="T23" s="513"/>
      <c r="U23" s="513"/>
    </row>
    <row r="24" spans="2:21" ht="35.1" customHeight="1">
      <c r="B24" s="766" t="s">
        <v>641</v>
      </c>
      <c r="C24" s="767" t="s">
        <v>637</v>
      </c>
      <c r="D24" s="771" t="s">
        <v>642</v>
      </c>
      <c r="E24" s="768" t="s">
        <v>549</v>
      </c>
      <c r="F24" s="952">
        <f>Environment!H18</f>
        <v>3433660</v>
      </c>
      <c r="G24" s="1255">
        <f>F24*(1-0.42)</f>
        <v>1991522.8000000003</v>
      </c>
      <c r="H24" s="1256">
        <f>($F24-G24)/$F24</f>
        <v>0.41999999999999993</v>
      </c>
      <c r="I24" s="1260">
        <f>Environment!D18</f>
        <v>2531576</v>
      </c>
      <c r="J24" s="1261">
        <f>($F24-I24)/$F24</f>
        <v>0.26271791615943335</v>
      </c>
      <c r="K24" s="1251">
        <f>Environment!E18</f>
        <v>2450529</v>
      </c>
      <c r="L24" s="769">
        <f>($F24-K24)/$F24</f>
        <v>0.2863215927028302</v>
      </c>
      <c r="P24" s="513"/>
      <c r="Q24" s="513"/>
      <c r="S24" s="513"/>
      <c r="T24" s="513"/>
      <c r="U24" s="513"/>
    </row>
    <row r="25" spans="2:21" ht="35.1" customHeight="1">
      <c r="B25" s="766" t="s">
        <v>643</v>
      </c>
      <c r="C25" s="767" t="s">
        <v>574</v>
      </c>
      <c r="D25" s="771" t="s">
        <v>644</v>
      </c>
      <c r="E25" s="768" t="s">
        <v>547</v>
      </c>
      <c r="F25" s="1121">
        <v>0.70099999999999996</v>
      </c>
      <c r="G25" s="1257">
        <v>0.75</v>
      </c>
      <c r="H25" s="1256">
        <f>(G25-$F25)/$F25</f>
        <v>6.9900142653352426E-2</v>
      </c>
      <c r="I25" s="1262">
        <v>0.6875</v>
      </c>
      <c r="J25" s="1261">
        <f>(I25-$F25)/$F25</f>
        <v>-1.9258202567760282E-2</v>
      </c>
      <c r="K25" s="1252">
        <v>0.69199999999999995</v>
      </c>
      <c r="L25" s="769">
        <f>(K25-$F25)/$F25</f>
        <v>-1.283880171184024E-2</v>
      </c>
      <c r="P25" s="513"/>
      <c r="Q25" s="513"/>
      <c r="S25" s="513"/>
      <c r="T25" s="513"/>
      <c r="U25" s="513"/>
    </row>
    <row r="26" spans="2:21" ht="35.1" customHeight="1">
      <c r="B26" s="766" t="s">
        <v>600</v>
      </c>
      <c r="C26" s="767" t="s">
        <v>591</v>
      </c>
      <c r="D26" s="771" t="s">
        <v>645</v>
      </c>
      <c r="E26" s="768" t="s">
        <v>549</v>
      </c>
      <c r="F26" s="952">
        <f>Environment!H107</f>
        <v>42480</v>
      </c>
      <c r="G26" s="1255">
        <f>F26*(1-0.5)</f>
        <v>21240</v>
      </c>
      <c r="H26" s="1256">
        <f>($F26-G26)/$F26</f>
        <v>0.5</v>
      </c>
      <c r="I26" s="1260">
        <f>Environment!D107</f>
        <v>42300</v>
      </c>
      <c r="J26" s="1263">
        <f>($F26-I26)/$F26</f>
        <v>4.2372881355932203E-3</v>
      </c>
      <c r="K26" s="1251">
        <f>Environment!E107</f>
        <v>41854</v>
      </c>
      <c r="L26" s="769">
        <f>($F26-K26)/$F26</f>
        <v>1.4736346516007533E-2</v>
      </c>
      <c r="P26" s="513"/>
      <c r="Q26" s="513"/>
      <c r="S26" s="513"/>
      <c r="T26" s="1152"/>
      <c r="U26" s="513"/>
    </row>
    <row r="27" spans="2:21" ht="35.1" customHeight="1">
      <c r="B27" s="770" t="s">
        <v>584</v>
      </c>
      <c r="C27" s="1117" t="s">
        <v>646</v>
      </c>
      <c r="D27" s="771" t="s">
        <v>647</v>
      </c>
      <c r="E27" s="768" t="s">
        <v>549</v>
      </c>
      <c r="F27" s="952">
        <f>Environment!H97</f>
        <v>1932</v>
      </c>
      <c r="G27" s="1255">
        <f>F27*(1-0.25)</f>
        <v>1449</v>
      </c>
      <c r="H27" s="1256">
        <f>($F27-G27)/$F27</f>
        <v>0.25</v>
      </c>
      <c r="I27" s="1260">
        <f>Environment!D97</f>
        <v>1755</v>
      </c>
      <c r="J27" s="1261">
        <f>($F27-I27)/$F27</f>
        <v>9.1614906832298143E-2</v>
      </c>
      <c r="K27" s="1251">
        <f>Environment!E97</f>
        <v>1826</v>
      </c>
      <c r="L27" s="769">
        <f>($F27-K27)/$F27</f>
        <v>5.4865424430641824E-2</v>
      </c>
      <c r="P27" s="513"/>
      <c r="Q27" s="513"/>
      <c r="S27" s="513"/>
      <c r="T27" s="513"/>
      <c r="U27" s="513"/>
    </row>
    <row r="28" spans="2:21" ht="35.1" customHeight="1">
      <c r="B28" s="766" t="s">
        <v>648</v>
      </c>
      <c r="C28" s="767"/>
      <c r="D28" s="771" t="s">
        <v>649</v>
      </c>
      <c r="E28" s="768" t="s">
        <v>549</v>
      </c>
      <c r="F28" s="1120">
        <f>'Health and Safety'!H23</f>
        <v>0.79</v>
      </c>
      <c r="G28" s="1258">
        <v>0.25</v>
      </c>
      <c r="H28" s="1256">
        <f>($F28-G28)/$F28</f>
        <v>0.68354430379746833</v>
      </c>
      <c r="I28" s="1264">
        <f>'Health and Safety'!D23</f>
        <v>0.36</v>
      </c>
      <c r="J28" s="1261">
        <f>($F28-I28)/$F28</f>
        <v>0.54430379746835444</v>
      </c>
      <c r="K28" s="1253">
        <f>'Health and Safety'!E23</f>
        <v>0.47</v>
      </c>
      <c r="L28" s="769">
        <f>($F28-K28)/$F28</f>
        <v>0.40506329113924056</v>
      </c>
      <c r="P28" s="513"/>
      <c r="Q28" s="513"/>
    </row>
    <row r="29" spans="2:21" ht="35.1" customHeight="1">
      <c r="B29" s="766" t="s">
        <v>650</v>
      </c>
      <c r="C29" s="767" t="s">
        <v>622</v>
      </c>
      <c r="D29" s="771" t="s">
        <v>651</v>
      </c>
      <c r="E29" s="768" t="s">
        <v>549</v>
      </c>
      <c r="F29" s="1120">
        <f>'Health and Safety'!H27</f>
        <v>1.1819999999999999</v>
      </c>
      <c r="G29" s="1259">
        <v>0.4</v>
      </c>
      <c r="H29" s="1256">
        <f>($F29-G29)/$F29</f>
        <v>0.66159052453468692</v>
      </c>
      <c r="I29" s="1265">
        <f>'Health and Safety'!D27</f>
        <v>0.877</v>
      </c>
      <c r="J29" s="1261">
        <f>($F29-I29)/$F29</f>
        <v>0.25803722504230114</v>
      </c>
      <c r="K29" s="1254">
        <f>'Health and Safety'!E27</f>
        <v>1.0149999999999999</v>
      </c>
      <c r="L29" s="769">
        <f>($F29-K29)/$F29</f>
        <v>0.14128595600676822</v>
      </c>
      <c r="P29" s="513"/>
      <c r="Q29" s="513"/>
    </row>
    <row r="30" spans="2:21" ht="35.1" customHeight="1">
      <c r="B30" s="766" t="s">
        <v>652</v>
      </c>
      <c r="C30" s="767"/>
      <c r="D30" s="771" t="s">
        <v>653</v>
      </c>
      <c r="E30" s="1118"/>
      <c r="F30" s="1119">
        <v>6.9</v>
      </c>
      <c r="G30" s="1258">
        <v>8</v>
      </c>
      <c r="H30" s="1256">
        <f>(G30-$F30)/$F30</f>
        <v>0.15942028985507239</v>
      </c>
      <c r="I30" s="1264">
        <v>7.2</v>
      </c>
      <c r="J30" s="1261">
        <f>(I30-$F30)/$F30</f>
        <v>4.3478260869565188E-2</v>
      </c>
      <c r="K30" s="1253">
        <v>6.9</v>
      </c>
      <c r="L30" s="769">
        <f>(K30-$F30)/$F30</f>
        <v>0</v>
      </c>
      <c r="P30" s="513"/>
      <c r="Q30" s="513"/>
    </row>
    <row r="31" spans="2:21" ht="35.1" customHeight="1">
      <c r="B31" s="766" t="s">
        <v>654</v>
      </c>
      <c r="C31" s="767" t="s">
        <v>574</v>
      </c>
      <c r="D31" s="771" t="s">
        <v>655</v>
      </c>
      <c r="E31" s="768" t="s">
        <v>549</v>
      </c>
      <c r="F31" s="1121">
        <v>0.3</v>
      </c>
      <c r="G31" s="1257">
        <v>0.4</v>
      </c>
      <c r="H31" s="1256">
        <f>(G31-$F31)/$F31</f>
        <v>0.33333333333333348</v>
      </c>
      <c r="I31" s="1262">
        <f>People!O41</f>
        <v>0.29876252209781967</v>
      </c>
      <c r="J31" s="1261">
        <f>(I31-$F31)/$F31</f>
        <v>-4.1249263406010579E-3</v>
      </c>
      <c r="K31" s="1252">
        <v>0.28000000000000003</v>
      </c>
      <c r="L31" s="769">
        <f>(K31-$F31)/$F31</f>
        <v>-6.6666666666666541E-2</v>
      </c>
      <c r="P31" s="513"/>
      <c r="Q31" s="513"/>
    </row>
    <row r="34" spans="7:8">
      <c r="G34" s="513"/>
      <c r="H34" s="513"/>
    </row>
    <row r="35" spans="7:8">
      <c r="G35" s="1153"/>
      <c r="H35" s="1153"/>
    </row>
  </sheetData>
  <sheetProtection algorithmName="SHA-512" hashValue="dObZk+a0XTS74rhV6lwu+OjCeO9KcXvfhU6GLBKhjgiKS9wqaJVspcjxZvUiwWF6iFqTCrr9ECcm+yMke6+M3w==" saltValue="4FFSfsmcE1NDWLqq20RoNg==" spinCount="100000" sheet="1" objects="1" scenarios="1"/>
  <phoneticPr fontId="3" type="noConversion"/>
  <conditionalFormatting sqref="H22:H31">
    <cfRule type="dataBar" priority="6">
      <dataBar>
        <cfvo type="num" val="-0.2"/>
        <cfvo type="num" val="1"/>
        <color theme="3"/>
      </dataBar>
      <extLst>
        <ext xmlns:x14="http://schemas.microsoft.com/office/spreadsheetml/2009/9/main" uri="{B025F937-C7B1-47D3-B67F-A62EFF666E3E}">
          <x14:id>{E6E15988-90A6-42D8-BACA-98BF7E2EC095}</x14:id>
        </ext>
      </extLst>
    </cfRule>
  </conditionalFormatting>
  <conditionalFormatting sqref="J22:J31">
    <cfRule type="dataBar" priority="2">
      <dataBar>
        <cfvo type="num" val="-0.2"/>
        <cfvo type="num" val="1"/>
        <color theme="3"/>
      </dataBar>
      <extLst>
        <ext xmlns:x14="http://schemas.microsoft.com/office/spreadsheetml/2009/9/main" uri="{B025F937-C7B1-47D3-B67F-A62EFF666E3E}">
          <x14:id>{AEEF2B8A-4D50-4D71-A40E-A2209E5909EE}</x14:id>
        </ext>
      </extLst>
    </cfRule>
  </conditionalFormatting>
  <conditionalFormatting sqref="L22:L31">
    <cfRule type="dataBar" priority="1">
      <dataBar>
        <cfvo type="num" val="-0.2"/>
        <cfvo type="num" val="1"/>
        <color theme="3"/>
      </dataBar>
      <extLst>
        <ext xmlns:x14="http://schemas.microsoft.com/office/spreadsheetml/2009/9/main" uri="{B025F937-C7B1-47D3-B67F-A62EFF666E3E}">
          <x14:id>{FB893C09-3A3D-41C5-9124-F5CCF1ED86F4}</x14:id>
        </ext>
      </extLst>
    </cfRule>
  </conditionalFormatting>
  <pageMargins left="0.70866141732283472" right="0.70866141732283472" top="0.74803149606299213" bottom="0.74803149606299213" header="0.31496062992125984" footer="0.31496062992125984"/>
  <pageSetup paperSize="9" scale="48" orientation="landscape" r:id="rId1"/>
  <ignoredErrors>
    <ignoredError sqref="I22:I24 I26:I29 I31 K22:K24 K26:K29 L25 J25 H25" formula="1"/>
  </ignoredErrors>
  <drawing r:id="rId2"/>
  <extLst>
    <ext xmlns:x14="http://schemas.microsoft.com/office/spreadsheetml/2009/9/main" uri="{78C0D931-6437-407d-A8EE-F0AAD7539E65}">
      <x14:conditionalFormattings>
        <x14:conditionalFormatting xmlns:xm="http://schemas.microsoft.com/office/excel/2006/main">
          <x14:cfRule type="dataBar" id="{E6E15988-90A6-42D8-BACA-98BF7E2EC09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H22:H31</xm:sqref>
        </x14:conditionalFormatting>
        <x14:conditionalFormatting xmlns:xm="http://schemas.microsoft.com/office/excel/2006/main">
          <x14:cfRule type="dataBar" id="{AEEF2B8A-4D50-4D71-A40E-A2209E5909E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J22:J31</xm:sqref>
        </x14:conditionalFormatting>
        <x14:conditionalFormatting xmlns:xm="http://schemas.microsoft.com/office/excel/2006/main">
          <x14:cfRule type="dataBar" id="{FB893C09-3A3D-41C5-9124-F5CCF1ED86F4}">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L22:L31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88671875" defaultRowHeight="13.8"/>
  <cols>
    <col min="1" max="1" width="14.88671875" style="2" customWidth="1"/>
    <col min="2" max="2" width="88.88671875" style="2" customWidth="1"/>
    <col min="3" max="3" width="97.44140625" style="2" customWidth="1"/>
    <col min="4" max="4" width="24.109375" style="2" customWidth="1"/>
    <col min="5" max="5" width="19.44140625" style="2" customWidth="1"/>
    <col min="6" max="6" width="17.109375" style="2" customWidth="1"/>
    <col min="7" max="7" width="18.5546875" style="2" bestFit="1" customWidth="1"/>
    <col min="8" max="8" width="21.109375" style="2" customWidth="1"/>
    <col min="9" max="9" width="17.88671875" style="2" customWidth="1"/>
    <col min="10" max="10" width="19.109375" style="2" bestFit="1" customWidth="1"/>
    <col min="11" max="12" width="20.109375" style="2" customWidth="1"/>
    <col min="13" max="13" width="22.109375" style="2" customWidth="1"/>
    <col min="14" max="14" width="21.88671875" style="2" customWidth="1"/>
    <col min="15" max="15" width="20.109375" style="2" customWidth="1"/>
    <col min="16" max="16" width="17.5546875" style="2" customWidth="1"/>
    <col min="17" max="16384" width="8.88671875" style="2"/>
  </cols>
  <sheetData>
    <row r="2" spans="1:25" ht="41.4">
      <c r="A2" s="16" t="s">
        <v>656</v>
      </c>
      <c r="B2" s="1444" t="s">
        <v>32</v>
      </c>
      <c r="C2" s="1444"/>
      <c r="D2" s="1444"/>
      <c r="E2" s="1444"/>
      <c r="F2" s="1444"/>
      <c r="G2" s="1444"/>
      <c r="H2" s="1444"/>
      <c r="I2" s="1444"/>
      <c r="J2" s="1444"/>
      <c r="K2" s="1444"/>
      <c r="L2" s="1444"/>
      <c r="M2" s="1444"/>
      <c r="N2" s="1444"/>
      <c r="O2" s="8"/>
      <c r="P2" s="19"/>
      <c r="Q2" s="19"/>
      <c r="R2" s="19"/>
      <c r="S2" s="19"/>
      <c r="T2" s="19"/>
      <c r="U2" s="20"/>
      <c r="V2" s="20"/>
      <c r="W2" s="20"/>
      <c r="X2" s="20"/>
    </row>
    <row r="3" spans="1:25" ht="19.8">
      <c r="B3" s="21"/>
      <c r="C3" s="21"/>
      <c r="D3" s="21"/>
      <c r="E3" s="21"/>
      <c r="F3" s="21"/>
      <c r="G3" s="22"/>
      <c r="H3" s="22"/>
      <c r="I3" s="22"/>
      <c r="J3" s="22"/>
      <c r="K3" s="22"/>
      <c r="L3" s="22"/>
      <c r="M3" s="22"/>
      <c r="N3" s="22"/>
      <c r="O3" s="22"/>
      <c r="P3" s="22"/>
      <c r="Q3" s="22"/>
      <c r="R3" s="22"/>
      <c r="S3" s="22"/>
      <c r="T3" s="22"/>
      <c r="U3" s="20"/>
      <c r="V3" s="20"/>
      <c r="W3" s="20"/>
      <c r="X3" s="20"/>
    </row>
    <row r="4" spans="1:25" ht="184.5" customHeight="1">
      <c r="B4" s="1438" t="s">
        <v>657</v>
      </c>
      <c r="C4" s="1438"/>
      <c r="D4" s="1438"/>
      <c r="E4" s="1438"/>
      <c r="F4" s="1438"/>
      <c r="G4" s="1438"/>
      <c r="H4" s="1438"/>
      <c r="I4" s="1438"/>
      <c r="J4" s="1438"/>
      <c r="K4" s="1438"/>
      <c r="L4" s="1438"/>
      <c r="M4" s="20"/>
      <c r="N4" s="20"/>
      <c r="O4" s="20"/>
      <c r="P4" s="20"/>
      <c r="Q4" s="20"/>
      <c r="R4" s="20"/>
      <c r="S4" s="20"/>
      <c r="T4" s="20"/>
      <c r="U4" s="20"/>
      <c r="V4" s="20"/>
      <c r="W4" s="20"/>
      <c r="X4" s="20"/>
    </row>
    <row r="5" spans="1:25">
      <c r="B5" s="23"/>
      <c r="C5" s="23"/>
      <c r="D5" s="23"/>
      <c r="E5" s="23"/>
      <c r="F5" s="23"/>
      <c r="G5" s="24"/>
      <c r="H5" s="24"/>
      <c r="I5" s="24"/>
      <c r="J5" s="20"/>
      <c r="K5" s="20"/>
      <c r="L5" s="20"/>
      <c r="M5" s="20"/>
      <c r="N5" s="20"/>
      <c r="O5" s="20"/>
      <c r="P5" s="25"/>
      <c r="Q5" s="20"/>
      <c r="R5" s="20"/>
      <c r="S5" s="20"/>
      <c r="T5" s="20"/>
      <c r="U5" s="20"/>
      <c r="V5" s="20"/>
      <c r="W5" s="20"/>
      <c r="X5" s="20"/>
    </row>
    <row r="6" spans="1:25" ht="24.6">
      <c r="B6" s="26" t="s">
        <v>658</v>
      </c>
      <c r="C6" s="27"/>
      <c r="D6" s="28"/>
      <c r="E6" s="28"/>
      <c r="F6" s="28"/>
      <c r="G6" s="1440"/>
      <c r="H6" s="1440"/>
      <c r="I6" s="1440"/>
      <c r="J6" s="29"/>
      <c r="K6" s="29"/>
      <c r="L6" s="29"/>
      <c r="M6" s="29"/>
      <c r="N6" s="29"/>
      <c r="O6" s="20"/>
      <c r="P6" s="20"/>
      <c r="Q6" s="20"/>
      <c r="R6" s="20"/>
      <c r="S6" s="20"/>
      <c r="T6" s="20"/>
      <c r="U6" s="20"/>
      <c r="V6" s="20"/>
      <c r="W6" s="20"/>
      <c r="X6" s="20"/>
    </row>
    <row r="7" spans="1:25">
      <c r="C7" s="30"/>
      <c r="D7" s="31"/>
      <c r="E7" s="31"/>
      <c r="F7" s="31"/>
      <c r="G7" s="32"/>
      <c r="H7" s="32"/>
      <c r="I7" s="32"/>
      <c r="J7" s="32"/>
      <c r="K7" s="32"/>
      <c r="L7" s="32"/>
      <c r="M7" s="33"/>
      <c r="N7" s="33"/>
      <c r="O7" s="20"/>
      <c r="P7" s="33"/>
      <c r="Q7" s="33"/>
      <c r="R7" s="33"/>
      <c r="S7" s="33"/>
      <c r="T7" s="33"/>
      <c r="U7" s="33"/>
      <c r="V7" s="33"/>
      <c r="W7" s="33"/>
      <c r="X7" s="33"/>
    </row>
    <row r="8" spans="1:25" ht="14.25" customHeight="1">
      <c r="B8" s="1445" t="s">
        <v>543</v>
      </c>
      <c r="C8" s="1446" t="s">
        <v>659</v>
      </c>
      <c r="D8" s="1447" t="s">
        <v>544</v>
      </c>
      <c r="E8" s="1439" t="s">
        <v>546</v>
      </c>
      <c r="F8" s="1439"/>
      <c r="G8" s="1439"/>
      <c r="H8" s="1442" t="s">
        <v>547</v>
      </c>
      <c r="I8" s="1442"/>
      <c r="J8" s="1442"/>
      <c r="K8" s="1442" t="s">
        <v>548</v>
      </c>
      <c r="L8" s="1442"/>
      <c r="M8" s="1442"/>
      <c r="N8" s="232" t="s">
        <v>549</v>
      </c>
      <c r="O8" s="20"/>
      <c r="P8" s="20"/>
      <c r="Q8" s="20"/>
      <c r="R8" s="20"/>
      <c r="S8" s="20"/>
      <c r="T8" s="20"/>
      <c r="U8" s="20"/>
      <c r="V8" s="20"/>
      <c r="W8" s="20"/>
      <c r="X8" s="20"/>
      <c r="Y8" s="20"/>
    </row>
    <row r="9" spans="1:25" ht="27.9" customHeight="1">
      <c r="B9" s="1445"/>
      <c r="C9" s="1446"/>
      <c r="D9" s="1448"/>
      <c r="E9" s="231" t="s">
        <v>550</v>
      </c>
      <c r="F9" s="231" t="s">
        <v>660</v>
      </c>
      <c r="G9" s="231" t="s">
        <v>661</v>
      </c>
      <c r="H9" s="232" t="s">
        <v>550</v>
      </c>
      <c r="I9" s="232" t="s">
        <v>660</v>
      </c>
      <c r="J9" s="233" t="s">
        <v>661</v>
      </c>
      <c r="K9" s="232" t="s">
        <v>550</v>
      </c>
      <c r="L9" s="232" t="s">
        <v>660</v>
      </c>
      <c r="M9" s="233" t="s">
        <v>661</v>
      </c>
      <c r="N9" s="232" t="s">
        <v>550</v>
      </c>
      <c r="O9" s="20"/>
      <c r="P9" s="34"/>
      <c r="Q9" s="34"/>
      <c r="R9" s="20"/>
      <c r="S9" s="20"/>
      <c r="T9" s="20"/>
      <c r="U9" s="20"/>
      <c r="V9" s="20"/>
      <c r="W9" s="20"/>
      <c r="X9" s="20"/>
      <c r="Y9" s="20"/>
    </row>
    <row r="10" spans="1:25" ht="126.6">
      <c r="B10" s="154" t="s">
        <v>472</v>
      </c>
      <c r="C10" s="155" t="s">
        <v>662</v>
      </c>
      <c r="D10" s="155" t="s">
        <v>663</v>
      </c>
      <c r="E10" s="243">
        <v>235892</v>
      </c>
      <c r="F10" s="243">
        <v>100466</v>
      </c>
      <c r="G10" s="243">
        <f>E10-F10</f>
        <v>135426</v>
      </c>
      <c r="H10" s="156">
        <v>262233</v>
      </c>
      <c r="I10" s="156">
        <v>108639</v>
      </c>
      <c r="J10" s="156">
        <f>H10-I10</f>
        <v>153594</v>
      </c>
      <c r="K10" s="156">
        <v>255832</v>
      </c>
      <c r="L10" s="156">
        <v>116770</v>
      </c>
      <c r="M10" s="156">
        <f>K10-L10</f>
        <v>139062</v>
      </c>
      <c r="N10" s="156">
        <v>253097</v>
      </c>
      <c r="O10" s="20"/>
      <c r="P10" s="35"/>
      <c r="Q10" s="35"/>
      <c r="R10" s="20"/>
      <c r="S10" s="20"/>
      <c r="T10" s="20"/>
      <c r="U10" s="20"/>
      <c r="V10" s="20"/>
      <c r="W10" s="20"/>
      <c r="X10" s="20"/>
      <c r="Y10" s="20"/>
    </row>
    <row r="11" spans="1:25" ht="82.8">
      <c r="B11" s="154" t="s">
        <v>475</v>
      </c>
      <c r="C11" s="155" t="s">
        <v>664</v>
      </c>
      <c r="D11" s="155" t="s">
        <v>663</v>
      </c>
      <c r="E11" s="243">
        <v>131449</v>
      </c>
      <c r="F11" s="243">
        <v>1024</v>
      </c>
      <c r="G11" s="243">
        <f t="shared" ref="G11:G14" si="0">E11-F11</f>
        <v>130425</v>
      </c>
      <c r="H11" s="156">
        <v>181419</v>
      </c>
      <c r="I11" s="156">
        <v>1482</v>
      </c>
      <c r="J11" s="156">
        <f t="shared" ref="J11:J14" si="1">H11-I11</f>
        <v>179937</v>
      </c>
      <c r="K11" s="156">
        <v>181525</v>
      </c>
      <c r="L11" s="156">
        <v>3969</v>
      </c>
      <c r="M11" s="156">
        <f>K11-L11</f>
        <v>177556</v>
      </c>
      <c r="N11" s="156">
        <v>192333</v>
      </c>
      <c r="O11" s="20"/>
      <c r="P11" s="35"/>
      <c r="Q11" s="35"/>
      <c r="R11" s="20"/>
      <c r="S11" s="20"/>
      <c r="T11" s="20"/>
      <c r="U11" s="20"/>
      <c r="V11" s="20"/>
      <c r="W11" s="20"/>
      <c r="X11" s="20"/>
      <c r="Y11" s="20"/>
    </row>
    <row r="12" spans="1:25" ht="82.8">
      <c r="B12" s="154" t="s">
        <v>554</v>
      </c>
      <c r="C12" s="155" t="s">
        <v>665</v>
      </c>
      <c r="D12" s="155" t="s">
        <v>663</v>
      </c>
      <c r="E12" s="243">
        <v>206357</v>
      </c>
      <c r="F12" s="243">
        <v>21721</v>
      </c>
      <c r="G12" s="243">
        <f t="shared" si="0"/>
        <v>184636</v>
      </c>
      <c r="H12" s="156">
        <v>241531</v>
      </c>
      <c r="I12" s="156">
        <v>29037</v>
      </c>
      <c r="J12" s="156">
        <f t="shared" si="1"/>
        <v>212494</v>
      </c>
      <c r="K12" s="156">
        <v>226283</v>
      </c>
      <c r="L12" s="156">
        <v>33772</v>
      </c>
      <c r="M12" s="156">
        <f t="shared" ref="M12:M14" si="2">K12-L12</f>
        <v>192511</v>
      </c>
      <c r="N12" s="156">
        <v>251569</v>
      </c>
      <c r="O12" s="20"/>
      <c r="P12" s="35"/>
      <c r="Q12" s="35"/>
      <c r="R12" s="20"/>
      <c r="S12" s="20"/>
      <c r="T12" s="20"/>
      <c r="U12" s="20"/>
      <c r="V12" s="20"/>
      <c r="W12" s="20"/>
      <c r="X12" s="20"/>
      <c r="Y12" s="20"/>
    </row>
    <row r="13" spans="1:25" ht="27.6">
      <c r="B13" s="157" t="s">
        <v>555</v>
      </c>
      <c r="C13" s="158" t="s">
        <v>666</v>
      </c>
      <c r="D13" s="158" t="s">
        <v>667</v>
      </c>
      <c r="E13" s="243">
        <v>367341</v>
      </c>
      <c r="F13" s="243">
        <v>101489</v>
      </c>
      <c r="G13" s="243">
        <f t="shared" si="0"/>
        <v>265852</v>
      </c>
      <c r="H13" s="240">
        <f>H10+H11</f>
        <v>443652</v>
      </c>
      <c r="I13" s="240">
        <f t="shared" ref="I13" si="3">I10+I11</f>
        <v>110121</v>
      </c>
      <c r="J13" s="240">
        <f t="shared" si="1"/>
        <v>333531</v>
      </c>
      <c r="K13" s="240">
        <v>437357</v>
      </c>
      <c r="L13" s="240">
        <v>120739</v>
      </c>
      <c r="M13" s="240">
        <f t="shared" si="2"/>
        <v>316618</v>
      </c>
      <c r="N13" s="240">
        <v>445430</v>
      </c>
      <c r="O13" s="20"/>
      <c r="P13" s="73"/>
      <c r="Q13" s="35"/>
      <c r="R13" s="20"/>
      <c r="S13" s="20"/>
      <c r="T13" s="20"/>
      <c r="U13" s="20"/>
      <c r="V13" s="20"/>
      <c r="W13" s="20"/>
      <c r="X13" s="20"/>
      <c r="Y13" s="20"/>
    </row>
    <row r="14" spans="1:25" ht="27.6">
      <c r="B14" s="154" t="s">
        <v>557</v>
      </c>
      <c r="C14" s="155" t="s">
        <v>668</v>
      </c>
      <c r="D14" s="155" t="s">
        <v>663</v>
      </c>
      <c r="E14" s="243">
        <v>442248</v>
      </c>
      <c r="F14" s="243">
        <v>122186</v>
      </c>
      <c r="G14" s="243">
        <f t="shared" si="0"/>
        <v>320062</v>
      </c>
      <c r="H14" s="156">
        <f>H10+H12</f>
        <v>503764</v>
      </c>
      <c r="I14" s="156">
        <v>137676</v>
      </c>
      <c r="J14" s="156">
        <f t="shared" si="1"/>
        <v>366088</v>
      </c>
      <c r="K14" s="156">
        <f>K10+K12</f>
        <v>482115</v>
      </c>
      <c r="L14" s="156">
        <f t="shared" ref="L14" si="4">L10+L12</f>
        <v>150542</v>
      </c>
      <c r="M14" s="156">
        <f t="shared" si="2"/>
        <v>331573</v>
      </c>
      <c r="N14" s="156">
        <v>504666</v>
      </c>
      <c r="O14" s="20"/>
      <c r="P14" s="74"/>
      <c r="Q14" s="35"/>
      <c r="R14" s="20"/>
      <c r="S14" s="20"/>
      <c r="T14" s="20"/>
      <c r="U14" s="20"/>
      <c r="V14" s="20"/>
      <c r="W14" s="20"/>
      <c r="X14" s="20"/>
      <c r="Y14" s="20"/>
    </row>
    <row r="15" spans="1:25" ht="28.8">
      <c r="B15" s="157" t="s">
        <v>558</v>
      </c>
      <c r="C15" s="158" t="s">
        <v>669</v>
      </c>
      <c r="D15" s="158" t="s">
        <v>670</v>
      </c>
      <c r="E15" s="244">
        <v>3.4</v>
      </c>
      <c r="F15" s="244">
        <v>22.3</v>
      </c>
      <c r="G15" s="244">
        <v>2.6</v>
      </c>
      <c r="H15" s="241">
        <v>3.9</v>
      </c>
      <c r="I15" s="241">
        <v>20.5</v>
      </c>
      <c r="J15" s="242">
        <v>3.1</v>
      </c>
      <c r="K15" s="241">
        <v>3.9</v>
      </c>
      <c r="L15" s="241">
        <v>12.2</v>
      </c>
      <c r="M15" s="241">
        <v>3.1</v>
      </c>
      <c r="N15" s="241">
        <v>3.6</v>
      </c>
      <c r="O15" s="20"/>
      <c r="P15" s="35"/>
      <c r="Q15" s="35"/>
      <c r="R15" s="20"/>
      <c r="S15" s="20"/>
      <c r="T15" s="20"/>
      <c r="U15" s="20"/>
      <c r="V15" s="20"/>
      <c r="W15" s="20"/>
      <c r="X15" s="20"/>
      <c r="Y15" s="20"/>
    </row>
    <row r="16" spans="1:25">
      <c r="B16" s="36"/>
      <c r="C16" s="36"/>
      <c r="D16" s="37"/>
      <c r="E16" s="37"/>
      <c r="F16" s="37"/>
      <c r="G16" s="38"/>
      <c r="H16" s="39"/>
      <c r="I16" s="39"/>
      <c r="J16" s="39"/>
      <c r="K16" s="39"/>
      <c r="L16" s="39"/>
      <c r="M16" s="40"/>
      <c r="N16" s="20"/>
      <c r="O16" s="20"/>
      <c r="P16" s="20"/>
      <c r="Q16" s="20"/>
      <c r="R16" s="20"/>
      <c r="S16" s="20"/>
      <c r="T16" s="20"/>
      <c r="U16" s="20"/>
      <c r="V16" s="20"/>
      <c r="W16" s="20"/>
      <c r="X16" s="20"/>
    </row>
    <row r="17" spans="2:24">
      <c r="B17" s="397" t="s">
        <v>671</v>
      </c>
      <c r="C17" s="397" t="s">
        <v>672</v>
      </c>
      <c r="D17" s="398" t="s">
        <v>544</v>
      </c>
      <c r="E17" s="399" t="s">
        <v>546</v>
      </c>
      <c r="F17" s="400" t="s">
        <v>547</v>
      </c>
      <c r="G17" s="400" t="s">
        <v>548</v>
      </c>
      <c r="H17" s="400" t="s">
        <v>549</v>
      </c>
      <c r="I17" s="34"/>
      <c r="J17" s="41"/>
      <c r="K17" s="39"/>
      <c r="L17" s="39"/>
      <c r="M17" s="40"/>
      <c r="N17" s="20"/>
      <c r="O17" s="20"/>
      <c r="P17" s="20"/>
      <c r="Q17" s="20"/>
      <c r="R17" s="20"/>
      <c r="S17" s="20"/>
      <c r="T17" s="20"/>
      <c r="U17" s="20"/>
      <c r="V17" s="20"/>
      <c r="W17" s="20"/>
      <c r="X17" s="20"/>
    </row>
    <row r="18" spans="2:24" ht="41.4">
      <c r="B18" s="402" t="s">
        <v>673</v>
      </c>
      <c r="C18" s="401" t="s">
        <v>674</v>
      </c>
      <c r="D18" s="402" t="s">
        <v>675</v>
      </c>
      <c r="E18" s="403">
        <v>2495473</v>
      </c>
      <c r="F18" s="404">
        <v>2978197</v>
      </c>
      <c r="G18" s="404">
        <v>2812518</v>
      </c>
      <c r="H18" s="404">
        <v>3433660</v>
      </c>
      <c r="I18" s="42"/>
      <c r="J18" s="75"/>
      <c r="K18" s="39"/>
      <c r="L18" s="39"/>
      <c r="M18" s="40"/>
      <c r="N18" s="20"/>
      <c r="O18" s="20"/>
      <c r="P18" s="20"/>
      <c r="Q18" s="20"/>
      <c r="R18" s="20"/>
      <c r="S18" s="20"/>
      <c r="T18" s="20"/>
      <c r="U18" s="20"/>
      <c r="V18" s="20"/>
      <c r="W18" s="20"/>
      <c r="X18" s="20"/>
    </row>
    <row r="19" spans="2:24" ht="27.6">
      <c r="B19" s="402" t="s">
        <v>676</v>
      </c>
      <c r="C19" s="401" t="s">
        <v>677</v>
      </c>
      <c r="D19" s="402" t="s">
        <v>675</v>
      </c>
      <c r="E19" s="403">
        <v>182667</v>
      </c>
      <c r="F19" s="404">
        <v>348360</v>
      </c>
      <c r="G19" s="404">
        <v>308835</v>
      </c>
      <c r="H19" s="404">
        <v>399630</v>
      </c>
      <c r="I19" s="39"/>
      <c r="J19" s="39"/>
      <c r="K19" s="39"/>
      <c r="L19" s="39"/>
      <c r="M19" s="40"/>
      <c r="N19" s="20"/>
      <c r="O19" s="20"/>
      <c r="P19" s="20"/>
      <c r="Q19" s="20"/>
      <c r="R19" s="20"/>
      <c r="S19" s="20"/>
      <c r="T19" s="20"/>
      <c r="U19" s="20"/>
      <c r="V19" s="20"/>
      <c r="W19" s="20"/>
      <c r="X19" s="20"/>
    </row>
    <row r="20" spans="2:24" ht="41.4">
      <c r="B20" s="402" t="s">
        <v>678</v>
      </c>
      <c r="C20" s="401" t="s">
        <v>679</v>
      </c>
      <c r="D20" s="402" t="s">
        <v>675</v>
      </c>
      <c r="E20" s="403">
        <v>41485</v>
      </c>
      <c r="F20" s="417">
        <v>47438</v>
      </c>
      <c r="G20" s="417">
        <v>39899</v>
      </c>
      <c r="H20" s="417">
        <v>41259</v>
      </c>
      <c r="I20" s="39"/>
      <c r="J20" s="39"/>
      <c r="K20" s="39"/>
      <c r="L20" s="39"/>
      <c r="M20" s="40"/>
      <c r="N20" s="20"/>
      <c r="O20" s="20"/>
      <c r="P20" s="20"/>
      <c r="Q20" s="20"/>
      <c r="R20" s="20"/>
      <c r="S20" s="20"/>
      <c r="T20" s="20"/>
      <c r="U20" s="20"/>
      <c r="V20" s="20"/>
      <c r="W20" s="20"/>
      <c r="X20" s="20"/>
    </row>
    <row r="21" spans="2:24" ht="27.6">
      <c r="B21" s="402" t="s">
        <v>680</v>
      </c>
      <c r="C21" s="401" t="s">
        <v>681</v>
      </c>
      <c r="D21" s="402" t="s">
        <v>675</v>
      </c>
      <c r="E21" s="403">
        <v>81999</v>
      </c>
      <c r="F21" s="404">
        <v>168750</v>
      </c>
      <c r="G21" s="404">
        <v>102552</v>
      </c>
      <c r="H21" s="404">
        <v>102552</v>
      </c>
      <c r="I21" s="39"/>
      <c r="J21" s="39"/>
      <c r="K21" s="39"/>
      <c r="L21" s="39"/>
      <c r="M21" s="40"/>
      <c r="N21" s="20"/>
      <c r="O21" s="20"/>
      <c r="P21" s="20"/>
      <c r="Q21" s="20"/>
      <c r="R21" s="20"/>
      <c r="S21" s="20"/>
      <c r="T21" s="20"/>
      <c r="U21" s="20"/>
      <c r="V21" s="20"/>
      <c r="W21" s="20"/>
      <c r="X21" s="20"/>
    </row>
    <row r="22" spans="2:24" ht="41.4">
      <c r="B22" s="402" t="s">
        <v>682</v>
      </c>
      <c r="C22" s="401" t="s">
        <v>683</v>
      </c>
      <c r="D22" s="402" t="s">
        <v>675</v>
      </c>
      <c r="E22" s="403">
        <v>4029</v>
      </c>
      <c r="F22" s="404">
        <v>5879</v>
      </c>
      <c r="G22" s="404">
        <v>5346</v>
      </c>
      <c r="H22" s="404">
        <v>5303</v>
      </c>
      <c r="I22" s="39"/>
      <c r="J22" s="39"/>
      <c r="K22" s="39"/>
      <c r="L22" s="39"/>
      <c r="M22" s="40"/>
      <c r="N22" s="20"/>
      <c r="O22" s="20"/>
      <c r="P22" s="20"/>
      <c r="Q22" s="20"/>
      <c r="R22" s="20"/>
      <c r="S22" s="20"/>
      <c r="T22" s="20"/>
      <c r="U22" s="20"/>
      <c r="V22" s="20"/>
      <c r="W22" s="20"/>
      <c r="X22" s="20"/>
    </row>
    <row r="23" spans="2:24" ht="69">
      <c r="B23" s="402" t="s">
        <v>684</v>
      </c>
      <c r="C23" s="401" t="s">
        <v>685</v>
      </c>
      <c r="D23" s="402" t="s">
        <v>675</v>
      </c>
      <c r="E23" s="403">
        <v>5077.333333333333</v>
      </c>
      <c r="F23" s="404">
        <v>1336</v>
      </c>
      <c r="G23" s="404">
        <v>67</v>
      </c>
      <c r="H23" s="404">
        <v>9202</v>
      </c>
      <c r="I23" s="39"/>
      <c r="J23" s="39"/>
      <c r="K23" s="39"/>
      <c r="L23" s="39"/>
      <c r="M23" s="40"/>
      <c r="N23" s="20"/>
      <c r="O23" s="20"/>
      <c r="P23" s="20"/>
      <c r="Q23" s="20"/>
      <c r="R23" s="20"/>
      <c r="S23" s="20"/>
      <c r="T23" s="20"/>
      <c r="U23" s="20"/>
      <c r="V23" s="20"/>
      <c r="W23" s="20"/>
      <c r="X23" s="20"/>
    </row>
    <row r="24" spans="2:24" ht="41.4">
      <c r="B24" s="402" t="s">
        <v>686</v>
      </c>
      <c r="C24" s="401" t="s">
        <v>687</v>
      </c>
      <c r="D24" s="402" t="s">
        <v>675</v>
      </c>
      <c r="E24" s="403">
        <v>13627</v>
      </c>
      <c r="F24" s="404">
        <v>15718</v>
      </c>
      <c r="G24" s="404">
        <v>29957</v>
      </c>
      <c r="H24" s="404">
        <v>29957</v>
      </c>
      <c r="I24" s="39"/>
      <c r="J24" s="39"/>
      <c r="K24" s="39"/>
      <c r="L24" s="39"/>
      <c r="M24" s="40"/>
      <c r="N24" s="20"/>
      <c r="O24" s="20"/>
      <c r="P24" s="20"/>
      <c r="Q24" s="20"/>
      <c r="R24" s="20"/>
      <c r="S24" s="20"/>
      <c r="T24" s="20"/>
      <c r="U24" s="20"/>
      <c r="V24" s="20"/>
      <c r="W24" s="20"/>
      <c r="X24" s="20"/>
    </row>
    <row r="25" spans="2:24" ht="15">
      <c r="B25" s="402" t="s">
        <v>688</v>
      </c>
      <c r="C25" s="401" t="s">
        <v>689</v>
      </c>
      <c r="D25" s="402" t="s">
        <v>675</v>
      </c>
      <c r="E25" s="403">
        <v>523</v>
      </c>
      <c r="F25" s="404">
        <v>698</v>
      </c>
      <c r="G25" s="404">
        <v>602</v>
      </c>
      <c r="H25" s="404">
        <v>5094</v>
      </c>
      <c r="I25" s="39"/>
      <c r="J25" s="39"/>
      <c r="K25" s="39"/>
      <c r="L25" s="39"/>
      <c r="M25" s="40"/>
      <c r="N25" s="20"/>
      <c r="O25" s="20"/>
      <c r="P25" s="20"/>
      <c r="Q25" s="20"/>
      <c r="R25" s="20"/>
      <c r="S25" s="20"/>
      <c r="T25" s="20"/>
      <c r="U25" s="20"/>
      <c r="V25" s="20"/>
      <c r="W25" s="20"/>
      <c r="X25" s="20"/>
    </row>
    <row r="26" spans="2:24" ht="27.6">
      <c r="B26" s="402" t="s">
        <v>690</v>
      </c>
      <c r="C26" s="401" t="s">
        <v>691</v>
      </c>
      <c r="D26" s="402" t="s">
        <v>675</v>
      </c>
      <c r="E26" s="403">
        <v>0</v>
      </c>
      <c r="F26" s="404">
        <v>0</v>
      </c>
      <c r="G26" s="404">
        <v>0</v>
      </c>
      <c r="H26" s="404">
        <v>0</v>
      </c>
      <c r="I26" s="39"/>
      <c r="J26" s="39"/>
      <c r="K26" s="39"/>
      <c r="L26" s="39"/>
      <c r="M26" s="40"/>
      <c r="N26" s="20"/>
      <c r="O26" s="20"/>
      <c r="P26" s="20"/>
      <c r="Q26" s="20"/>
      <c r="R26" s="20"/>
      <c r="S26" s="20"/>
      <c r="T26" s="20"/>
      <c r="U26" s="20"/>
      <c r="V26" s="20"/>
      <c r="W26" s="20"/>
      <c r="X26" s="20"/>
    </row>
    <row r="27" spans="2:24" ht="27.6">
      <c r="B27" s="402" t="s">
        <v>692</v>
      </c>
      <c r="C27" s="401" t="s">
        <v>693</v>
      </c>
      <c r="D27" s="402" t="s">
        <v>675</v>
      </c>
      <c r="E27" s="403">
        <v>0</v>
      </c>
      <c r="F27" s="404">
        <v>0</v>
      </c>
      <c r="G27" s="404">
        <v>0</v>
      </c>
      <c r="H27" s="404">
        <v>0</v>
      </c>
      <c r="I27" s="39"/>
      <c r="J27" s="39"/>
      <c r="K27" s="39"/>
      <c r="L27" s="39"/>
      <c r="M27" s="40"/>
      <c r="N27" s="20"/>
      <c r="O27" s="20"/>
      <c r="P27" s="20"/>
      <c r="Q27" s="20"/>
      <c r="R27" s="20"/>
      <c r="S27" s="20"/>
      <c r="T27" s="20"/>
      <c r="U27" s="20"/>
      <c r="V27" s="20"/>
      <c r="W27" s="20"/>
      <c r="X27" s="20"/>
    </row>
    <row r="28" spans="2:24" ht="41.4">
      <c r="B28" s="402" t="s">
        <v>694</v>
      </c>
      <c r="C28" s="401" t="s">
        <v>695</v>
      </c>
      <c r="D28" s="402" t="s">
        <v>675</v>
      </c>
      <c r="E28" s="403">
        <v>0</v>
      </c>
      <c r="F28" s="404">
        <v>0</v>
      </c>
      <c r="G28" s="404">
        <v>0</v>
      </c>
      <c r="H28" s="404">
        <v>0</v>
      </c>
      <c r="I28" s="43"/>
      <c r="J28" s="43"/>
      <c r="K28" s="39"/>
      <c r="L28" s="39"/>
      <c r="M28" s="40"/>
      <c r="N28" s="20"/>
      <c r="O28" s="20"/>
      <c r="P28" s="20"/>
      <c r="Q28" s="20"/>
      <c r="R28" s="20"/>
      <c r="S28" s="20"/>
      <c r="T28" s="20"/>
      <c r="U28" s="20"/>
      <c r="V28" s="20"/>
      <c r="W28" s="20"/>
      <c r="X28" s="20"/>
    </row>
    <row r="29" spans="2:24" ht="41.4">
      <c r="B29" s="402" t="s">
        <v>696</v>
      </c>
      <c r="C29" s="401" t="s">
        <v>697</v>
      </c>
      <c r="D29" s="402" t="s">
        <v>675</v>
      </c>
      <c r="E29" s="403">
        <v>0</v>
      </c>
      <c r="F29" s="404">
        <v>0</v>
      </c>
      <c r="G29" s="404">
        <v>0</v>
      </c>
      <c r="H29" s="404">
        <v>0</v>
      </c>
      <c r="I29" s="43"/>
      <c r="J29" s="43"/>
      <c r="K29" s="39"/>
      <c r="L29" s="39"/>
      <c r="M29" s="40"/>
      <c r="N29" s="20"/>
      <c r="O29" s="20"/>
      <c r="P29" s="20"/>
      <c r="Q29" s="20"/>
      <c r="R29" s="20"/>
      <c r="S29" s="20"/>
      <c r="T29" s="20"/>
      <c r="U29" s="20"/>
      <c r="V29" s="20"/>
      <c r="W29" s="20"/>
      <c r="X29" s="20"/>
    </row>
    <row r="30" spans="2:24" ht="15">
      <c r="B30" s="402" t="s">
        <v>698</v>
      </c>
      <c r="C30" s="401" t="s">
        <v>699</v>
      </c>
      <c r="D30" s="402" t="s">
        <v>675</v>
      </c>
      <c r="E30" s="403">
        <v>0</v>
      </c>
      <c r="F30" s="404">
        <v>0</v>
      </c>
      <c r="G30" s="404">
        <v>0</v>
      </c>
      <c r="H30" s="404">
        <v>0</v>
      </c>
      <c r="I30" s="43"/>
      <c r="J30" s="43"/>
      <c r="K30" s="39"/>
      <c r="L30" s="39"/>
      <c r="M30" s="40"/>
      <c r="N30" s="20"/>
      <c r="O30" s="20"/>
      <c r="P30" s="20"/>
      <c r="Q30" s="20"/>
      <c r="R30" s="20"/>
      <c r="S30" s="20"/>
      <c r="T30" s="20"/>
      <c r="U30" s="20"/>
      <c r="V30" s="20"/>
      <c r="W30" s="20"/>
      <c r="X30" s="20"/>
    </row>
    <row r="31" spans="2:24" ht="15">
      <c r="B31" s="402" t="s">
        <v>700</v>
      </c>
      <c r="C31" s="401" t="s">
        <v>701</v>
      </c>
      <c r="D31" s="402" t="s">
        <v>675</v>
      </c>
      <c r="E31" s="403">
        <v>0</v>
      </c>
      <c r="F31" s="404">
        <v>0</v>
      </c>
      <c r="G31" s="404">
        <v>0</v>
      </c>
      <c r="H31" s="404">
        <v>0</v>
      </c>
      <c r="I31" s="43"/>
      <c r="J31" s="43"/>
      <c r="K31" s="39"/>
      <c r="L31" s="39"/>
      <c r="M31" s="40"/>
      <c r="N31" s="20"/>
      <c r="O31" s="20"/>
      <c r="P31" s="20"/>
      <c r="Q31" s="20"/>
      <c r="R31" s="20"/>
      <c r="S31" s="20"/>
      <c r="T31" s="20"/>
      <c r="U31" s="20"/>
      <c r="V31" s="20"/>
      <c r="W31" s="20"/>
      <c r="X31" s="20"/>
    </row>
    <row r="32" spans="2:24" ht="41.4">
      <c r="B32" s="402" t="s">
        <v>702</v>
      </c>
      <c r="C32" s="401" t="s">
        <v>703</v>
      </c>
      <c r="D32" s="402" t="s">
        <v>675</v>
      </c>
      <c r="E32" s="403">
        <v>125196</v>
      </c>
      <c r="F32" s="404">
        <v>118356</v>
      </c>
      <c r="G32" s="404">
        <v>119005</v>
      </c>
      <c r="H32" s="404">
        <v>129337</v>
      </c>
      <c r="I32" s="39"/>
      <c r="J32" s="39"/>
      <c r="K32" s="39"/>
      <c r="L32" s="39"/>
      <c r="M32" s="40"/>
      <c r="N32" s="20"/>
      <c r="O32" s="20"/>
      <c r="P32" s="20"/>
      <c r="Q32" s="20"/>
      <c r="R32" s="20"/>
      <c r="S32" s="20"/>
      <c r="T32" s="20"/>
      <c r="U32" s="20"/>
      <c r="V32" s="20"/>
      <c r="W32" s="20"/>
      <c r="X32" s="20"/>
    </row>
    <row r="33" spans="2:24" ht="15">
      <c r="B33" s="402" t="s">
        <v>704</v>
      </c>
      <c r="C33" s="402"/>
      <c r="D33" s="405" t="s">
        <v>705</v>
      </c>
      <c r="E33" s="403">
        <f>SUM(E18:E32)</f>
        <v>2950076.3333333335</v>
      </c>
      <c r="F33" s="406">
        <f>SUM(F18:F32)</f>
        <v>3684732</v>
      </c>
      <c r="G33" s="406">
        <f>SUM(G18:G32)</f>
        <v>3418781</v>
      </c>
      <c r="H33" s="406">
        <f>SUM(H18:H32)</f>
        <v>4155994</v>
      </c>
      <c r="I33" s="39"/>
      <c r="J33" s="39"/>
      <c r="K33" s="39"/>
      <c r="L33" s="39"/>
      <c r="M33" s="40"/>
      <c r="N33" s="20"/>
      <c r="O33" s="20"/>
      <c r="P33" s="20"/>
      <c r="Q33" s="20"/>
      <c r="R33" s="20"/>
      <c r="S33" s="20"/>
      <c r="T33" s="20"/>
      <c r="U33" s="20"/>
      <c r="V33" s="20"/>
      <c r="W33" s="20"/>
      <c r="X33" s="20"/>
    </row>
    <row r="34" spans="2:24">
      <c r="B34" s="17"/>
      <c r="C34" s="17"/>
      <c r="D34" s="17"/>
      <c r="E34" s="17"/>
      <c r="F34" s="17"/>
      <c r="G34" s="44"/>
      <c r="H34" s="44"/>
      <c r="I34" s="39"/>
      <c r="J34" s="39"/>
      <c r="K34" s="39"/>
      <c r="L34" s="39"/>
      <c r="M34" s="40"/>
      <c r="N34" s="20"/>
      <c r="O34" s="20"/>
      <c r="P34" s="20"/>
      <c r="Q34" s="20"/>
      <c r="R34" s="20"/>
      <c r="S34" s="20"/>
      <c r="T34" s="20"/>
      <c r="U34" s="20"/>
      <c r="V34" s="20"/>
      <c r="W34" s="20"/>
      <c r="X34" s="20"/>
    </row>
    <row r="35" spans="2:24">
      <c r="B35" s="45"/>
      <c r="C35" s="18"/>
      <c r="E35" s="17"/>
      <c r="F35" s="17"/>
      <c r="G35" s="44"/>
      <c r="H35" s="44"/>
      <c r="I35" s="39"/>
      <c r="J35" s="39"/>
      <c r="K35" s="39"/>
      <c r="L35" s="39"/>
      <c r="M35" s="40"/>
      <c r="N35" s="20"/>
      <c r="O35" s="20"/>
      <c r="P35" s="20"/>
      <c r="Q35" s="20"/>
      <c r="R35" s="20"/>
      <c r="S35" s="20"/>
      <c r="T35" s="20"/>
      <c r="U35" s="20"/>
      <c r="V35" s="20"/>
      <c r="W35" s="20"/>
      <c r="X35" s="20"/>
    </row>
    <row r="36" spans="2:24">
      <c r="B36" s="45"/>
      <c r="C36" s="18"/>
      <c r="E36" s="17"/>
      <c r="F36" s="17"/>
      <c r="G36" s="44"/>
      <c r="H36" s="44"/>
      <c r="I36" s="39"/>
      <c r="J36" s="39"/>
      <c r="K36" s="39"/>
      <c r="L36" s="39"/>
      <c r="M36" s="40"/>
      <c r="N36" s="20"/>
      <c r="O36" s="20"/>
      <c r="P36" s="20"/>
      <c r="Q36" s="20"/>
      <c r="R36" s="20"/>
      <c r="S36" s="20"/>
      <c r="T36" s="20"/>
      <c r="U36" s="20"/>
      <c r="V36" s="20"/>
      <c r="W36" s="20"/>
      <c r="X36" s="20"/>
    </row>
    <row r="37" spans="2:24">
      <c r="B37" s="17"/>
      <c r="C37" s="17"/>
      <c r="D37" s="17"/>
      <c r="E37" s="17"/>
      <c r="F37" s="17"/>
      <c r="G37" s="44"/>
      <c r="H37" s="44"/>
      <c r="I37" s="44"/>
      <c r="J37" s="46"/>
      <c r="K37" s="46"/>
      <c r="L37" s="46"/>
      <c r="M37" s="20"/>
      <c r="N37" s="20"/>
      <c r="O37" s="20"/>
      <c r="P37" s="20"/>
      <c r="Q37" s="20"/>
      <c r="R37" s="20"/>
      <c r="S37" s="20"/>
      <c r="T37" s="20"/>
      <c r="U37" s="20"/>
      <c r="V37" s="20"/>
      <c r="W37" s="20"/>
      <c r="X37" s="20"/>
    </row>
    <row r="38" spans="2:24" ht="17.399999999999999">
      <c r="B38" s="234" t="s">
        <v>706</v>
      </c>
      <c r="C38" s="165"/>
      <c r="D38" s="235" t="s">
        <v>544</v>
      </c>
      <c r="E38" s="273" t="str">
        <f>E17</f>
        <v>2022/23</v>
      </c>
      <c r="F38" s="274" t="str">
        <f>F17</f>
        <v>2021/22</v>
      </c>
      <c r="G38" s="274" t="str">
        <f>G17</f>
        <v>2020/21</v>
      </c>
      <c r="H38" s="274" t="str">
        <f>H17</f>
        <v>2019/20</v>
      </c>
      <c r="I38" s="44"/>
      <c r="J38" s="46"/>
      <c r="K38" s="46"/>
      <c r="L38" s="46"/>
      <c r="M38" s="20"/>
      <c r="N38" s="20"/>
      <c r="O38" s="20"/>
      <c r="P38" s="20"/>
      <c r="Q38" s="20"/>
      <c r="R38" s="20"/>
      <c r="S38" s="20"/>
      <c r="T38" s="20"/>
      <c r="U38" s="20"/>
      <c r="V38" s="20"/>
      <c r="W38" s="20"/>
      <c r="X38" s="20"/>
    </row>
    <row r="39" spans="2:24" ht="15">
      <c r="B39" s="166" t="str">
        <f>B10</f>
        <v>Total Scope 1 GHG emissions</v>
      </c>
      <c r="C39" s="167" t="s">
        <v>550</v>
      </c>
      <c r="D39" s="161" t="s">
        <v>675</v>
      </c>
      <c r="E39" s="246">
        <f>E10</f>
        <v>235892</v>
      </c>
      <c r="F39" s="168">
        <f>H10</f>
        <v>262233</v>
      </c>
      <c r="G39" s="168">
        <f>K10</f>
        <v>255832</v>
      </c>
      <c r="H39" s="168">
        <f>N10</f>
        <v>253097</v>
      </c>
      <c r="J39" s="76"/>
      <c r="K39" s="46"/>
      <c r="L39" s="46"/>
      <c r="M39" s="20"/>
      <c r="N39" s="20"/>
      <c r="O39" s="20"/>
      <c r="P39" s="20"/>
      <c r="Q39" s="20"/>
      <c r="R39" s="20"/>
      <c r="S39" s="20"/>
      <c r="T39" s="20"/>
      <c r="U39" s="20"/>
      <c r="V39" s="20"/>
      <c r="W39" s="20"/>
      <c r="X39" s="20"/>
    </row>
    <row r="40" spans="2:24" ht="15">
      <c r="B40" s="166" t="str">
        <f>B11</f>
        <v>Total Scope 2 GHG emissions (market-based)</v>
      </c>
      <c r="C40" s="167" t="s">
        <v>550</v>
      </c>
      <c r="D40" s="161" t="s">
        <v>675</v>
      </c>
      <c r="E40" s="246">
        <f>E11</f>
        <v>131449</v>
      </c>
      <c r="F40" s="168">
        <f>H11</f>
        <v>181419</v>
      </c>
      <c r="G40" s="168">
        <f>K11</f>
        <v>181525</v>
      </c>
      <c r="H40" s="168">
        <f>N11</f>
        <v>192333</v>
      </c>
      <c r="J40" s="76"/>
      <c r="K40" s="46"/>
      <c r="L40" s="46"/>
      <c r="M40" s="20"/>
      <c r="N40" s="20"/>
      <c r="O40" s="20"/>
      <c r="P40" s="20"/>
      <c r="Q40" s="20"/>
      <c r="R40" s="20"/>
      <c r="S40" s="20"/>
      <c r="T40" s="20"/>
      <c r="U40" s="20"/>
      <c r="V40" s="20"/>
      <c r="W40" s="20"/>
      <c r="X40" s="20"/>
    </row>
    <row r="41" spans="2:24" ht="15">
      <c r="B41" s="166" t="str">
        <f>"Scope 3 - "&amp;B18</f>
        <v>Scope 3 - Total Scope 3 (Category 1) Purchased goods and services GHG emissions</v>
      </c>
      <c r="C41" s="160" t="s">
        <v>707</v>
      </c>
      <c r="D41" s="161" t="s">
        <v>675</v>
      </c>
      <c r="E41" s="246">
        <f>E18</f>
        <v>2495473</v>
      </c>
      <c r="F41" s="168">
        <f>F18</f>
        <v>2978197</v>
      </c>
      <c r="G41" s="168">
        <f>G18</f>
        <v>2812518</v>
      </c>
      <c r="H41" s="168">
        <f>H18</f>
        <v>3433660</v>
      </c>
      <c r="J41" s="76"/>
      <c r="K41" s="46"/>
      <c r="L41" s="46"/>
      <c r="M41" s="20"/>
      <c r="N41" s="20"/>
      <c r="O41" s="20"/>
      <c r="P41" s="20"/>
      <c r="Q41" s="20"/>
      <c r="R41" s="20"/>
      <c r="S41" s="20"/>
      <c r="T41" s="20"/>
      <c r="U41" s="20"/>
      <c r="V41" s="20"/>
      <c r="W41" s="20"/>
      <c r="X41" s="20"/>
    </row>
    <row r="42" spans="2:24" ht="15">
      <c r="B42" s="166" t="str">
        <f>"Scope 3 - All other categories"</f>
        <v>Scope 3 - All other categories</v>
      </c>
      <c r="C42" s="167" t="s">
        <v>708</v>
      </c>
      <c r="D42" s="161" t="s">
        <v>675</v>
      </c>
      <c r="E42" s="246">
        <f>E33-E18</f>
        <v>454603.33333333349</v>
      </c>
      <c r="F42" s="168">
        <f>F33-F18</f>
        <v>706535</v>
      </c>
      <c r="G42" s="168">
        <f>G33-G18</f>
        <v>606263</v>
      </c>
      <c r="H42" s="168">
        <f>H33-H18</f>
        <v>722334</v>
      </c>
      <c r="J42" s="76"/>
      <c r="K42" s="46"/>
      <c r="L42" s="46"/>
      <c r="M42" s="20"/>
      <c r="N42" s="20"/>
      <c r="O42" s="20"/>
      <c r="P42" s="20"/>
      <c r="Q42" s="20"/>
      <c r="R42" s="20"/>
      <c r="S42" s="20"/>
      <c r="T42" s="20"/>
      <c r="U42" s="20"/>
      <c r="V42" s="20"/>
      <c r="W42" s="20"/>
      <c r="X42" s="20"/>
    </row>
    <row r="43" spans="2:24" ht="15">
      <c r="B43" s="238" t="s">
        <v>709</v>
      </c>
      <c r="C43" s="238"/>
      <c r="D43" s="163" t="s">
        <v>705</v>
      </c>
      <c r="E43" s="246">
        <f>SUM(E39:E42)</f>
        <v>3317417.3333333335</v>
      </c>
      <c r="F43" s="239">
        <f t="shared" ref="F43:H43" si="5">SUM(F39:F42)</f>
        <v>4128384</v>
      </c>
      <c r="G43" s="239">
        <f t="shared" si="5"/>
        <v>3856138</v>
      </c>
      <c r="H43" s="239">
        <f t="shared" si="5"/>
        <v>4601424</v>
      </c>
      <c r="J43" s="76"/>
      <c r="K43" s="46"/>
      <c r="L43" s="46"/>
      <c r="M43" s="20"/>
      <c r="N43" s="20"/>
      <c r="O43" s="20"/>
      <c r="P43" s="20"/>
      <c r="Q43" s="20"/>
      <c r="R43" s="20"/>
      <c r="S43" s="20"/>
      <c r="T43" s="20"/>
      <c r="U43" s="20"/>
      <c r="V43" s="20"/>
      <c r="W43" s="20"/>
      <c r="X43" s="20"/>
    </row>
    <row r="44" spans="2:24">
      <c r="B44" s="17"/>
      <c r="C44" s="17"/>
      <c r="D44" s="17"/>
      <c r="E44" s="17"/>
      <c r="F44" s="17"/>
      <c r="G44" s="44"/>
      <c r="H44" s="44"/>
      <c r="I44" s="44"/>
      <c r="J44" s="46"/>
      <c r="K44" s="46"/>
      <c r="L44" s="46"/>
      <c r="M44" s="20"/>
      <c r="N44" s="20"/>
      <c r="O44" s="20"/>
      <c r="P44" s="20"/>
      <c r="Q44" s="20"/>
      <c r="R44" s="20"/>
      <c r="S44" s="20"/>
      <c r="T44" s="20"/>
      <c r="U44" s="20"/>
      <c r="V44" s="20"/>
      <c r="W44" s="20"/>
      <c r="X44" s="20"/>
    </row>
    <row r="45" spans="2:24" ht="24.6">
      <c r="B45" s="47" t="s">
        <v>710</v>
      </c>
      <c r="C45" s="27"/>
      <c r="D45" s="28"/>
      <c r="E45" s="28"/>
      <c r="F45" s="28"/>
      <c r="G45" s="1440"/>
      <c r="H45" s="1440"/>
      <c r="I45" s="1440"/>
      <c r="J45" s="1441"/>
      <c r="K45" s="1441"/>
      <c r="L45" s="1441"/>
      <c r="M45" s="1441"/>
      <c r="N45" s="1441"/>
      <c r="O45" s="1441"/>
    </row>
    <row r="46" spans="2:24">
      <c r="B46" s="48"/>
      <c r="C46" s="49"/>
      <c r="D46" s="50"/>
      <c r="E46" s="51"/>
      <c r="F46" s="50"/>
      <c r="G46" s="50"/>
      <c r="H46" s="50"/>
    </row>
    <row r="47" spans="2:24" ht="19.8">
      <c r="B47" s="249" t="s">
        <v>506</v>
      </c>
      <c r="C47" s="250" t="s">
        <v>672</v>
      </c>
      <c r="D47" s="235"/>
      <c r="E47" s="251" t="s">
        <v>546</v>
      </c>
      <c r="F47" s="275" t="s">
        <v>547</v>
      </c>
      <c r="G47" s="276" t="s">
        <v>548</v>
      </c>
      <c r="H47" s="276" t="s">
        <v>549</v>
      </c>
    </row>
    <row r="48" spans="2:24" ht="18" customHeight="1">
      <c r="B48" s="192" t="s">
        <v>711</v>
      </c>
      <c r="C48" s="170"/>
      <c r="D48" s="169"/>
      <c r="E48" s="171"/>
      <c r="F48" s="171"/>
      <c r="G48" s="171"/>
      <c r="H48" s="171"/>
    </row>
    <row r="49" spans="2:11" ht="18" customHeight="1">
      <c r="B49" s="172" t="s">
        <v>712</v>
      </c>
      <c r="C49" s="173" t="s">
        <v>713</v>
      </c>
      <c r="D49" s="174" t="s">
        <v>714</v>
      </c>
      <c r="E49" s="247">
        <v>1750260</v>
      </c>
      <c r="F49" s="175">
        <v>2116235</v>
      </c>
      <c r="G49" s="176">
        <v>2008299</v>
      </c>
      <c r="H49" s="176">
        <v>2205806</v>
      </c>
    </row>
    <row r="50" spans="2:11" ht="18" customHeight="1">
      <c r="B50" s="172" t="s">
        <v>715</v>
      </c>
      <c r="C50" s="173" t="s">
        <v>716</v>
      </c>
      <c r="D50" s="174" t="s">
        <v>714</v>
      </c>
      <c r="E50" s="248">
        <v>0</v>
      </c>
      <c r="F50" s="177">
        <v>39220</v>
      </c>
      <c r="G50" s="178">
        <v>47064</v>
      </c>
      <c r="H50" s="178">
        <v>63024</v>
      </c>
    </row>
    <row r="51" spans="2:11" ht="41.4">
      <c r="B51" s="172" t="s">
        <v>717</v>
      </c>
      <c r="C51" s="173" t="s">
        <v>718</v>
      </c>
      <c r="D51" s="174" t="s">
        <v>714</v>
      </c>
      <c r="E51" s="248">
        <v>95221</v>
      </c>
      <c r="F51" s="177">
        <v>128713</v>
      </c>
      <c r="G51" s="179">
        <v>113638</v>
      </c>
      <c r="H51" s="179">
        <v>108276</v>
      </c>
    </row>
    <row r="52" spans="2:11" ht="27.6">
      <c r="B52" s="180" t="s">
        <v>719</v>
      </c>
      <c r="C52" s="181" t="s">
        <v>720</v>
      </c>
      <c r="D52" s="182" t="s">
        <v>721</v>
      </c>
      <c r="E52" s="171">
        <f>SUM(E49:E51)</f>
        <v>1845481</v>
      </c>
      <c r="F52" s="183">
        <f>SUM(F49:F51)</f>
        <v>2284168</v>
      </c>
      <c r="G52" s="183">
        <f t="shared" ref="G52:H52" si="6">SUM(G49:G51)</f>
        <v>2169001</v>
      </c>
      <c r="H52" s="183">
        <f t="shared" si="6"/>
        <v>2377106</v>
      </c>
    </row>
    <row r="53" spans="2:11" ht="18" customHeight="1">
      <c r="B53" s="192" t="s">
        <v>722</v>
      </c>
      <c r="C53" s="170"/>
      <c r="D53" s="169"/>
      <c r="E53" s="171"/>
      <c r="F53" s="171"/>
      <c r="G53" s="171"/>
      <c r="H53" s="171"/>
    </row>
    <row r="54" spans="2:11" ht="41.4">
      <c r="B54" s="186" t="s">
        <v>723</v>
      </c>
      <c r="C54" s="173" t="s">
        <v>724</v>
      </c>
      <c r="D54" s="182" t="s">
        <v>714</v>
      </c>
      <c r="E54" s="247">
        <v>48993</v>
      </c>
      <c r="F54" s="185">
        <v>115790</v>
      </c>
      <c r="G54" s="185">
        <v>105378</v>
      </c>
      <c r="H54" s="185">
        <v>117936</v>
      </c>
    </row>
    <row r="55" spans="2:11" ht="17.399999999999999">
      <c r="B55" s="192" t="s">
        <v>725</v>
      </c>
      <c r="C55" s="170"/>
      <c r="D55" s="169"/>
      <c r="E55" s="171"/>
      <c r="F55" s="171"/>
      <c r="G55" s="171"/>
      <c r="H55" s="171"/>
    </row>
    <row r="56" spans="2:11" ht="55.2">
      <c r="B56" s="180" t="s">
        <v>726</v>
      </c>
      <c r="C56" s="186" t="s">
        <v>727</v>
      </c>
      <c r="D56" s="180" t="s">
        <v>728</v>
      </c>
      <c r="E56" s="247">
        <f>(E52-E54)/1000</f>
        <v>1796.4880000000001</v>
      </c>
      <c r="F56" s="184">
        <f>(F52-F54)/1000</f>
        <v>2168.3780000000002</v>
      </c>
      <c r="G56" s="184">
        <f>(G52-G54)/1000</f>
        <v>2063.623</v>
      </c>
      <c r="H56" s="184">
        <f>(H52-H54)/1000</f>
        <v>2259.17</v>
      </c>
      <c r="J56" s="52"/>
      <c r="K56" s="52"/>
    </row>
    <row r="57" spans="2:11">
      <c r="B57" s="78"/>
      <c r="C57" s="78"/>
      <c r="D57" s="78"/>
      <c r="E57" s="408"/>
      <c r="F57" s="407"/>
      <c r="G57" s="407"/>
      <c r="H57" s="407"/>
      <c r="J57" s="62"/>
      <c r="K57" s="62"/>
    </row>
    <row r="58" spans="2:11" ht="193.2">
      <c r="B58" s="238" t="s">
        <v>586</v>
      </c>
      <c r="C58" s="238" t="s">
        <v>729</v>
      </c>
      <c r="D58" s="199" t="s">
        <v>730</v>
      </c>
      <c r="E58" s="364"/>
      <c r="F58" s="364"/>
      <c r="G58" s="364"/>
      <c r="H58" s="407"/>
      <c r="J58" s="62"/>
      <c r="K58" s="62"/>
    </row>
    <row r="59" spans="2:11">
      <c r="B59" s="78"/>
      <c r="C59" s="78"/>
      <c r="D59" s="78"/>
      <c r="E59" s="408"/>
      <c r="F59" s="407"/>
      <c r="G59" s="407"/>
      <c r="H59" s="407"/>
      <c r="J59" s="62"/>
      <c r="K59" s="62"/>
    </row>
    <row r="60" spans="2:11" ht="17.399999999999999">
      <c r="B60" s="192" t="s">
        <v>731</v>
      </c>
      <c r="C60" s="170"/>
      <c r="D60" s="169"/>
      <c r="E60" s="171"/>
      <c r="F60" s="187"/>
      <c r="G60" s="171"/>
      <c r="H60" s="171"/>
      <c r="I60" s="52"/>
      <c r="J60" s="52"/>
    </row>
    <row r="61" spans="2:11" ht="69">
      <c r="B61" s="188" t="s">
        <v>732</v>
      </c>
      <c r="C61" s="189" t="s">
        <v>733</v>
      </c>
      <c r="D61" s="190" t="s">
        <v>734</v>
      </c>
      <c r="E61" s="392">
        <v>1383764</v>
      </c>
      <c r="F61" s="211">
        <v>1637952</v>
      </c>
      <c r="G61" s="211">
        <v>1777400</v>
      </c>
      <c r="H61" s="211">
        <v>1678964</v>
      </c>
      <c r="I61" s="52"/>
      <c r="J61" s="52"/>
    </row>
    <row r="62" spans="2:11" ht="82.8">
      <c r="B62" s="180" t="s">
        <v>587</v>
      </c>
      <c r="C62" s="186" t="s">
        <v>735</v>
      </c>
      <c r="D62" s="180" t="s">
        <v>588</v>
      </c>
      <c r="E62" s="169">
        <v>238</v>
      </c>
      <c r="F62" s="180">
        <v>192</v>
      </c>
      <c r="G62" s="180">
        <v>109</v>
      </c>
      <c r="H62" s="180">
        <v>240</v>
      </c>
      <c r="I62" s="62"/>
      <c r="J62" s="62"/>
    </row>
    <row r="63" spans="2:11">
      <c r="B63" s="180" t="s">
        <v>736</v>
      </c>
      <c r="C63" s="186" t="s">
        <v>737</v>
      </c>
      <c r="D63" s="180" t="s">
        <v>574</v>
      </c>
      <c r="E63" s="268">
        <v>0.74</v>
      </c>
      <c r="F63" s="191">
        <v>0.78</v>
      </c>
      <c r="G63" s="191">
        <v>0.79</v>
      </c>
      <c r="H63" s="191">
        <v>0.72</v>
      </c>
      <c r="I63" s="62"/>
      <c r="J63" s="62"/>
    </row>
    <row r="64" spans="2:11" ht="18" customHeight="1">
      <c r="B64" s="53"/>
      <c r="C64" s="54"/>
      <c r="D64" s="60"/>
      <c r="E64" s="60"/>
      <c r="F64" s="61"/>
      <c r="G64" s="61"/>
      <c r="H64" s="61"/>
      <c r="I64" s="62"/>
      <c r="J64" s="62"/>
    </row>
    <row r="65" spans="2:15" ht="19.8">
      <c r="B65" s="249" t="s">
        <v>196</v>
      </c>
      <c r="C65" s="250" t="s">
        <v>672</v>
      </c>
      <c r="D65" s="235"/>
      <c r="E65" s="251" t="s">
        <v>546</v>
      </c>
      <c r="F65" s="275" t="s">
        <v>547</v>
      </c>
      <c r="G65" s="276" t="s">
        <v>548</v>
      </c>
      <c r="H65" s="276" t="s">
        <v>549</v>
      </c>
    </row>
    <row r="66" spans="2:15" ht="18" customHeight="1">
      <c r="B66" s="252" t="s">
        <v>738</v>
      </c>
      <c r="C66" s="254"/>
      <c r="D66" s="229"/>
      <c r="E66" s="247"/>
      <c r="F66" s="247"/>
      <c r="G66" s="247"/>
      <c r="H66" s="247"/>
    </row>
    <row r="67" spans="2:15" ht="41.4">
      <c r="B67" s="173" t="s">
        <v>739</v>
      </c>
      <c r="C67" s="193" t="s">
        <v>740</v>
      </c>
      <c r="D67" s="194" t="s">
        <v>591</v>
      </c>
      <c r="E67" s="269">
        <v>38725.5</v>
      </c>
      <c r="F67" s="195">
        <v>57555</v>
      </c>
      <c r="G67" s="195">
        <v>54207.8</v>
      </c>
      <c r="H67" s="196">
        <v>53861.3</v>
      </c>
    </row>
    <row r="68" spans="2:15" ht="41.4">
      <c r="B68" s="166" t="s">
        <v>741</v>
      </c>
      <c r="C68" s="193" t="s">
        <v>742</v>
      </c>
      <c r="D68" s="194" t="s">
        <v>591</v>
      </c>
      <c r="E68" s="269">
        <v>3356</v>
      </c>
      <c r="F68" s="197">
        <v>2991.8</v>
      </c>
      <c r="G68" s="197">
        <v>3042.7</v>
      </c>
      <c r="H68" s="196">
        <v>2973.4</v>
      </c>
    </row>
    <row r="69" spans="2:15" ht="41.4">
      <c r="B69" s="166" t="s">
        <v>743</v>
      </c>
      <c r="C69" s="193" t="s">
        <v>744</v>
      </c>
      <c r="D69" s="194" t="s">
        <v>591</v>
      </c>
      <c r="E69" s="269">
        <v>7059.4</v>
      </c>
      <c r="F69" s="197">
        <v>19367.3</v>
      </c>
      <c r="G69" s="197">
        <v>18165.5</v>
      </c>
      <c r="H69" s="196">
        <v>7902.9</v>
      </c>
    </row>
    <row r="70" spans="2:15" ht="41.4">
      <c r="B70" s="166" t="s">
        <v>745</v>
      </c>
      <c r="C70" s="193" t="s">
        <v>746</v>
      </c>
      <c r="D70" s="194" t="s">
        <v>591</v>
      </c>
      <c r="E70" s="269">
        <v>14011</v>
      </c>
      <c r="F70" s="197">
        <v>16667</v>
      </c>
      <c r="G70" s="197">
        <v>12360.6</v>
      </c>
      <c r="H70" s="196">
        <v>15456.5</v>
      </c>
    </row>
    <row r="71" spans="2:15">
      <c r="B71" s="198" t="s">
        <v>747</v>
      </c>
      <c r="C71" s="163"/>
      <c r="D71" s="199" t="s">
        <v>591</v>
      </c>
      <c r="E71" s="247">
        <f>E67+E68</f>
        <v>42081.5</v>
      </c>
      <c r="F71" s="200">
        <f>F67+F68</f>
        <v>60546.8</v>
      </c>
      <c r="G71" s="200">
        <f t="shared" ref="G71:H71" si="7">G67+G68</f>
        <v>57250.5</v>
      </c>
      <c r="H71" s="184">
        <f t="shared" si="7"/>
        <v>56834.700000000004</v>
      </c>
    </row>
    <row r="72" spans="2:15" ht="41.4">
      <c r="B72" s="198" t="s">
        <v>595</v>
      </c>
      <c r="C72" s="201" t="s">
        <v>748</v>
      </c>
      <c r="D72" s="199" t="s">
        <v>591</v>
      </c>
      <c r="E72" s="247">
        <v>63152</v>
      </c>
      <c r="F72" s="176">
        <v>96581.4</v>
      </c>
      <c r="G72" s="176">
        <v>87776.6</v>
      </c>
      <c r="H72" s="176">
        <v>80194</v>
      </c>
    </row>
    <row r="73" spans="2:15" ht="17.399999999999999">
      <c r="B73" s="252" t="s">
        <v>749</v>
      </c>
      <c r="C73" s="230"/>
      <c r="D73" s="229"/>
      <c r="E73" s="247"/>
      <c r="F73" s="247"/>
      <c r="G73" s="247"/>
      <c r="H73" s="247"/>
    </row>
    <row r="74" spans="2:15" ht="55.2">
      <c r="B74" s="193" t="s">
        <v>750</v>
      </c>
      <c r="C74" s="193" t="s">
        <v>751</v>
      </c>
      <c r="D74" s="194" t="s">
        <v>591</v>
      </c>
      <c r="E74" s="269">
        <v>858.5</v>
      </c>
      <c r="F74" s="196">
        <v>1862</v>
      </c>
      <c r="G74" s="196">
        <v>1042</v>
      </c>
      <c r="H74" s="196">
        <v>1651</v>
      </c>
    </row>
    <row r="75" spans="2:15" ht="41.4">
      <c r="B75" s="193" t="s">
        <v>752</v>
      </c>
      <c r="C75" s="193" t="s">
        <v>753</v>
      </c>
      <c r="D75" s="194" t="s">
        <v>591</v>
      </c>
      <c r="E75" s="269">
        <v>3871</v>
      </c>
      <c r="F75" s="196">
        <v>17759</v>
      </c>
      <c r="G75" s="196">
        <v>16598</v>
      </c>
      <c r="H75" s="196">
        <v>5860.4</v>
      </c>
    </row>
    <row r="76" spans="2:15" ht="41.4">
      <c r="B76" s="193" t="s">
        <v>754</v>
      </c>
      <c r="C76" s="193" t="s">
        <v>755</v>
      </c>
      <c r="D76" s="194" t="s">
        <v>591</v>
      </c>
      <c r="E76" s="269">
        <v>2057</v>
      </c>
      <c r="F76" s="196">
        <v>2821</v>
      </c>
      <c r="G76" s="196">
        <v>1607</v>
      </c>
      <c r="H76" s="196">
        <v>1556.1</v>
      </c>
    </row>
    <row r="77" spans="2:15" ht="27.6">
      <c r="B77" s="201" t="s">
        <v>756</v>
      </c>
      <c r="C77" s="201" t="s">
        <v>757</v>
      </c>
      <c r="D77" s="199" t="s">
        <v>591</v>
      </c>
      <c r="E77" s="247">
        <v>6787</v>
      </c>
      <c r="F77" s="184">
        <f>SUM(F74:F76)</f>
        <v>22442</v>
      </c>
      <c r="G77" s="184">
        <f>SUM(G74:G76)</f>
        <v>19247</v>
      </c>
      <c r="H77" s="184">
        <f>SUM(H74:H76)</f>
        <v>9067.5</v>
      </c>
      <c r="L77" s="55"/>
    </row>
    <row r="78" spans="2:15" ht="55.2">
      <c r="B78" s="193" t="s">
        <v>758</v>
      </c>
      <c r="C78" s="193" t="s">
        <v>759</v>
      </c>
      <c r="D78" s="194" t="s">
        <v>591</v>
      </c>
      <c r="E78" s="269">
        <v>365.8</v>
      </c>
      <c r="F78" s="196">
        <v>2518</v>
      </c>
      <c r="G78" s="196">
        <v>2272</v>
      </c>
      <c r="H78" s="196">
        <v>2613</v>
      </c>
      <c r="L78" s="55"/>
      <c r="O78" s="55"/>
    </row>
    <row r="79" spans="2:15" ht="41.4">
      <c r="B79" s="193" t="s">
        <v>760</v>
      </c>
      <c r="C79" s="193" t="s">
        <v>761</v>
      </c>
      <c r="D79" s="194" t="s">
        <v>591</v>
      </c>
      <c r="E79" s="269">
        <v>15710</v>
      </c>
      <c r="F79" s="196">
        <v>27687</v>
      </c>
      <c r="G79" s="196">
        <v>36293</v>
      </c>
      <c r="H79" s="196">
        <v>41255.199999999997</v>
      </c>
      <c r="L79" s="55"/>
      <c r="O79" s="55"/>
    </row>
    <row r="80" spans="2:15" ht="27.6">
      <c r="B80" s="193" t="s">
        <v>762</v>
      </c>
      <c r="C80" s="193" t="s">
        <v>763</v>
      </c>
      <c r="D80" s="194" t="s">
        <v>591</v>
      </c>
      <c r="E80" s="269">
        <v>2333</v>
      </c>
      <c r="F80" s="196">
        <v>1640</v>
      </c>
      <c r="G80" s="196">
        <v>2188</v>
      </c>
      <c r="H80" s="196">
        <v>2129</v>
      </c>
    </row>
    <row r="81" spans="2:8" ht="27.6">
      <c r="B81" s="201" t="s">
        <v>764</v>
      </c>
      <c r="C81" s="201" t="s">
        <v>765</v>
      </c>
      <c r="D81" s="199" t="s">
        <v>591</v>
      </c>
      <c r="E81" s="247">
        <f>E78+E79+E80</f>
        <v>18408.8</v>
      </c>
      <c r="F81" s="184">
        <f>F78+F79+F80</f>
        <v>31845</v>
      </c>
      <c r="G81" s="184">
        <f>G78+G79+G80</f>
        <v>40753</v>
      </c>
      <c r="H81" s="184">
        <f>SUM(H78:H80)</f>
        <v>45997.2</v>
      </c>
    </row>
    <row r="82" spans="2:8" ht="27.6">
      <c r="B82" s="201" t="s">
        <v>766</v>
      </c>
      <c r="C82" s="201" t="s">
        <v>767</v>
      </c>
      <c r="D82" s="199" t="s">
        <v>591</v>
      </c>
      <c r="E82" s="247">
        <f>E77+E81</f>
        <v>25195.8</v>
      </c>
      <c r="F82" s="184">
        <f>F77+F81</f>
        <v>54287</v>
      </c>
      <c r="G82" s="184">
        <f>G77+G81</f>
        <v>60000</v>
      </c>
      <c r="H82" s="184">
        <f>H77+H81</f>
        <v>55064.7</v>
      </c>
    </row>
    <row r="83" spans="2:8">
      <c r="B83" s="201" t="s">
        <v>768</v>
      </c>
      <c r="C83" s="201" t="s">
        <v>769</v>
      </c>
      <c r="D83" s="199" t="s">
        <v>591</v>
      </c>
      <c r="E83" s="247">
        <f>E76+E80</f>
        <v>4390</v>
      </c>
      <c r="F83" s="184">
        <f>F76+F80</f>
        <v>4461</v>
      </c>
      <c r="G83" s="184">
        <f>G76+G80</f>
        <v>3795</v>
      </c>
      <c r="H83" s="184">
        <f>H76+H80</f>
        <v>3685.1</v>
      </c>
    </row>
    <row r="84" spans="2:8" ht="17.399999999999999">
      <c r="B84" s="252" t="s">
        <v>770</v>
      </c>
      <c r="C84" s="230"/>
      <c r="D84" s="229"/>
      <c r="E84" s="247"/>
      <c r="F84" s="247"/>
      <c r="G84" s="247"/>
      <c r="H84" s="247"/>
    </row>
    <row r="85" spans="2:8" ht="69">
      <c r="B85" s="202" t="s">
        <v>771</v>
      </c>
      <c r="C85" s="161" t="s">
        <v>772</v>
      </c>
      <c r="D85" s="194" t="s">
        <v>591</v>
      </c>
      <c r="E85" s="270">
        <v>137.49</v>
      </c>
      <c r="F85" s="203">
        <v>795.82</v>
      </c>
      <c r="G85" s="203">
        <v>106.2</v>
      </c>
      <c r="H85" s="203">
        <v>129.58000000000001</v>
      </c>
    </row>
    <row r="86" spans="2:8" ht="69">
      <c r="B86" s="202" t="s">
        <v>773</v>
      </c>
      <c r="C86" s="161" t="s">
        <v>774</v>
      </c>
      <c r="D86" s="194" t="s">
        <v>591</v>
      </c>
      <c r="E86" s="270">
        <v>919.51</v>
      </c>
      <c r="F86" s="203">
        <v>895.95</v>
      </c>
      <c r="G86" s="203">
        <v>1788.73</v>
      </c>
      <c r="H86" s="203">
        <v>2782.26</v>
      </c>
    </row>
    <row r="87" spans="2:8" ht="55.2">
      <c r="B87" s="202" t="s">
        <v>775</v>
      </c>
      <c r="C87" s="161" t="s">
        <v>776</v>
      </c>
      <c r="D87" s="194" t="s">
        <v>591</v>
      </c>
      <c r="E87" s="270">
        <v>14145.51</v>
      </c>
      <c r="F87" s="203">
        <v>12796.66</v>
      </c>
      <c r="G87" s="196">
        <v>11172.38</v>
      </c>
      <c r="H87" s="196">
        <v>14162.31</v>
      </c>
    </row>
    <row r="88" spans="2:8" ht="55.2">
      <c r="B88" s="202" t="s">
        <v>777</v>
      </c>
      <c r="C88" s="161" t="s">
        <v>778</v>
      </c>
      <c r="D88" s="194" t="s">
        <v>591</v>
      </c>
      <c r="E88" s="270">
        <v>22752.959999999999</v>
      </c>
      <c r="F88" s="203">
        <v>27805.8</v>
      </c>
      <c r="G88" s="203">
        <v>14709.48</v>
      </c>
      <c r="H88" s="203">
        <v>8054.6</v>
      </c>
    </row>
    <row r="89" spans="2:8" ht="69">
      <c r="B89" s="198" t="s">
        <v>779</v>
      </c>
      <c r="C89" s="201" t="s">
        <v>780</v>
      </c>
      <c r="D89" s="199" t="s">
        <v>591</v>
      </c>
      <c r="E89" s="247">
        <v>37956</v>
      </c>
      <c r="F89" s="184">
        <f>F85+F86+F87+F88</f>
        <v>42294.229999999996</v>
      </c>
      <c r="G89" s="184">
        <f>G85+G86+G87+G88</f>
        <v>27776.79</v>
      </c>
      <c r="H89" s="184">
        <f>H85+H86+H87+H88</f>
        <v>25128.75</v>
      </c>
    </row>
    <row r="90" spans="2:8">
      <c r="B90" s="202" t="s">
        <v>781</v>
      </c>
      <c r="C90" s="193" t="s">
        <v>782</v>
      </c>
      <c r="D90" s="194" t="s">
        <v>574</v>
      </c>
      <c r="E90" s="271">
        <f>E85/E72</f>
        <v>2.1771281986318726E-3</v>
      </c>
      <c r="F90" s="204">
        <f>F85/F72</f>
        <v>8.2398888398801436E-3</v>
      </c>
      <c r="G90" s="204">
        <f>G85/G72</f>
        <v>1.209889651683934E-3</v>
      </c>
      <c r="H90" s="204">
        <f>H85/H72</f>
        <v>1.6158316083497519E-3</v>
      </c>
    </row>
    <row r="91" spans="2:8">
      <c r="B91" s="174" t="s">
        <v>783</v>
      </c>
      <c r="C91" s="193" t="s">
        <v>782</v>
      </c>
      <c r="D91" s="205" t="s">
        <v>574</v>
      </c>
      <c r="E91" s="271">
        <f>E86/E72</f>
        <v>1.4560267291613884E-2</v>
      </c>
      <c r="F91" s="204">
        <f>F86/F72</f>
        <v>9.2766309040871239E-3</v>
      </c>
      <c r="G91" s="204">
        <f>G86/G72</f>
        <v>2.0378210138009445E-2</v>
      </c>
      <c r="H91" s="204">
        <f>H86/H72</f>
        <v>3.4694116766840415E-2</v>
      </c>
    </row>
    <row r="92" spans="2:8">
      <c r="B92" s="174" t="s">
        <v>784</v>
      </c>
      <c r="C92" s="193" t="s">
        <v>782</v>
      </c>
      <c r="D92" s="205" t="s">
        <v>574</v>
      </c>
      <c r="E92" s="271">
        <f>E89/E72</f>
        <v>0.6010260957689384</v>
      </c>
      <c r="F92" s="204">
        <f>F89/F72</f>
        <v>0.43791278651997173</v>
      </c>
      <c r="G92" s="204">
        <f>G89/G72</f>
        <v>0.31644868905835949</v>
      </c>
      <c r="H92" s="204">
        <f>H89/H72</f>
        <v>0.31334950245654286</v>
      </c>
    </row>
    <row r="93" spans="2:8" ht="17.399999999999999">
      <c r="B93" s="252" t="s">
        <v>785</v>
      </c>
      <c r="C93" s="230"/>
      <c r="D93" s="229"/>
      <c r="E93" s="247"/>
      <c r="F93" s="247"/>
      <c r="G93" s="247"/>
      <c r="H93" s="247"/>
    </row>
    <row r="94" spans="2:8" ht="27.6">
      <c r="B94" s="206" t="s">
        <v>786</v>
      </c>
      <c r="C94" s="207" t="s">
        <v>787</v>
      </c>
      <c r="D94" s="194" t="s">
        <v>591</v>
      </c>
      <c r="E94" s="269">
        <v>17366.54</v>
      </c>
      <c r="F94" s="208">
        <v>19658.759999999998</v>
      </c>
      <c r="G94" s="208">
        <v>15403.35</v>
      </c>
      <c r="H94" s="208">
        <v>18429.82</v>
      </c>
    </row>
    <row r="95" spans="2:8" ht="27.6">
      <c r="B95" s="206" t="s">
        <v>788</v>
      </c>
      <c r="C95" s="193" t="s">
        <v>789</v>
      </c>
      <c r="D95" s="194" t="s">
        <v>591</v>
      </c>
      <c r="E95" s="272">
        <v>499.71</v>
      </c>
      <c r="F95" s="209">
        <v>1200.71</v>
      </c>
      <c r="G95" s="209">
        <v>427.18</v>
      </c>
      <c r="H95" s="209">
        <v>226.86</v>
      </c>
    </row>
    <row r="96" spans="2:8" ht="27.6">
      <c r="B96" s="206" t="s">
        <v>790</v>
      </c>
      <c r="C96" s="193" t="s">
        <v>791</v>
      </c>
      <c r="D96" s="194" t="s">
        <v>591</v>
      </c>
      <c r="E96" s="272">
        <v>12460.78</v>
      </c>
      <c r="F96" s="209">
        <v>12532</v>
      </c>
      <c r="G96" s="213">
        <v>10904.96</v>
      </c>
      <c r="H96" s="213">
        <v>12685.23</v>
      </c>
    </row>
    <row r="97" spans="2:25" ht="27.6">
      <c r="B97" s="210" t="s">
        <v>792</v>
      </c>
      <c r="C97" s="193" t="s">
        <v>793</v>
      </c>
      <c r="D97" s="194" t="s">
        <v>591</v>
      </c>
      <c r="E97" s="247">
        <f>E94-E95-E96</f>
        <v>4406.0500000000011</v>
      </c>
      <c r="F97" s="211">
        <f t="shared" ref="F97:H97" si="8">F94-F95-F96</f>
        <v>5926.0499999999993</v>
      </c>
      <c r="G97" s="211">
        <f t="shared" si="8"/>
        <v>4071.2100000000009</v>
      </c>
      <c r="H97" s="211">
        <f t="shared" si="8"/>
        <v>5517.73</v>
      </c>
    </row>
    <row r="98" spans="2:25" ht="18" customHeight="1">
      <c r="B98"/>
      <c r="C98" s="56"/>
      <c r="D98" s="56"/>
      <c r="E98" s="63"/>
      <c r="F98" s="57"/>
      <c r="G98" s="57"/>
      <c r="H98" s="57"/>
    </row>
    <row r="99" spans="2:25" ht="19.8">
      <c r="B99" s="249" t="s">
        <v>794</v>
      </c>
      <c r="C99" s="250" t="s">
        <v>672</v>
      </c>
      <c r="D99" s="266"/>
      <c r="E99" s="251" t="s">
        <v>546</v>
      </c>
      <c r="F99" s="275" t="s">
        <v>547</v>
      </c>
      <c r="G99" s="276" t="s">
        <v>548</v>
      </c>
      <c r="H99" s="276" t="s">
        <v>549</v>
      </c>
    </row>
    <row r="100" spans="2:25" ht="42.6">
      <c r="B100" s="194" t="s">
        <v>795</v>
      </c>
      <c r="C100" s="167" t="s">
        <v>796</v>
      </c>
      <c r="D100" s="194" t="s">
        <v>591</v>
      </c>
      <c r="E100" s="378">
        <v>336</v>
      </c>
      <c r="F100" s="412">
        <v>393</v>
      </c>
      <c r="G100" s="412">
        <v>378</v>
      </c>
      <c r="H100" s="412">
        <v>363</v>
      </c>
    </row>
    <row r="101" spans="2:25" ht="57.6">
      <c r="B101" s="194" t="s">
        <v>797</v>
      </c>
      <c r="C101" s="167" t="s">
        <v>798</v>
      </c>
      <c r="D101" s="194" t="s">
        <v>591</v>
      </c>
      <c r="E101" s="378">
        <v>31</v>
      </c>
      <c r="F101" s="412">
        <f>79297.63/1000</f>
        <v>79.297629999999998</v>
      </c>
      <c r="G101" s="412">
        <f>49319.29/1000</f>
        <v>49.319290000000002</v>
      </c>
      <c r="H101" s="412">
        <f>27739.67/1000</f>
        <v>27.739669999999997</v>
      </c>
    </row>
    <row r="102" spans="2:25" ht="69">
      <c r="B102" s="194" t="s">
        <v>607</v>
      </c>
      <c r="C102" s="167" t="s">
        <v>799</v>
      </c>
      <c r="D102" s="194" t="s">
        <v>591</v>
      </c>
      <c r="E102" s="378">
        <v>43</v>
      </c>
      <c r="F102" s="412">
        <f>91945.8/1000</f>
        <v>91.945800000000006</v>
      </c>
      <c r="G102" s="412">
        <f>83140.96/1000</f>
        <v>83.140960000000007</v>
      </c>
      <c r="H102" s="412">
        <f>99282.23/1000</f>
        <v>99.282229999999998</v>
      </c>
    </row>
    <row r="103" spans="2:25" ht="15">
      <c r="B103" s="194" t="s">
        <v>800</v>
      </c>
      <c r="C103" s="167" t="s">
        <v>801</v>
      </c>
      <c r="D103" s="194" t="s">
        <v>574</v>
      </c>
      <c r="E103" s="413">
        <v>0.76</v>
      </c>
      <c r="F103" s="413">
        <v>0.79</v>
      </c>
      <c r="G103" s="414">
        <v>0.74</v>
      </c>
      <c r="H103" s="414">
        <v>0.67</v>
      </c>
    </row>
    <row r="104" spans="2:25" ht="15">
      <c r="B104" s="194" t="s">
        <v>802</v>
      </c>
      <c r="C104" s="167" t="s">
        <v>803</v>
      </c>
      <c r="D104" s="194" t="s">
        <v>574</v>
      </c>
      <c r="E104" s="413"/>
      <c r="F104" s="413"/>
      <c r="G104" s="414"/>
      <c r="H104" s="414"/>
    </row>
    <row r="105" spans="2:25">
      <c r="B105" s="194" t="s">
        <v>610</v>
      </c>
      <c r="C105" s="167" t="s">
        <v>804</v>
      </c>
      <c r="D105" s="194" t="s">
        <v>574</v>
      </c>
      <c r="E105" s="413"/>
      <c r="F105" s="413"/>
      <c r="G105" s="414"/>
      <c r="H105" s="414"/>
    </row>
    <row r="106" spans="2:25">
      <c r="B106" s="1443"/>
      <c r="C106" s="1443"/>
      <c r="D106" s="1443"/>
      <c r="E106" s="1443"/>
      <c r="F106" s="1443"/>
      <c r="G106" s="1443"/>
      <c r="H106" s="58"/>
    </row>
    <row r="107" spans="2:25" ht="24.6">
      <c r="B107" s="47" t="s">
        <v>805</v>
      </c>
      <c r="C107" s="27"/>
      <c r="D107" s="28"/>
      <c r="E107" s="28"/>
      <c r="F107" s="28"/>
      <c r="G107" s="1440"/>
      <c r="H107" s="1440"/>
      <c r="I107" s="1440"/>
      <c r="J107" s="1441"/>
      <c r="K107" s="1441"/>
      <c r="L107" s="1441"/>
      <c r="M107" s="1441"/>
      <c r="N107" s="1441"/>
      <c r="O107" s="1441"/>
    </row>
    <row r="108" spans="2:25">
      <c r="B108" s="17"/>
      <c r="C108" s="17"/>
      <c r="D108" s="17"/>
      <c r="E108" s="17"/>
      <c r="F108" s="17"/>
      <c r="G108" s="44"/>
      <c r="H108" s="44"/>
      <c r="I108" s="44"/>
      <c r="J108" s="46"/>
      <c r="K108" s="46"/>
      <c r="L108" s="46"/>
      <c r="M108" s="20"/>
      <c r="N108" s="20"/>
      <c r="O108" s="20"/>
      <c r="P108" s="20"/>
      <c r="Q108" s="20"/>
      <c r="R108" s="20"/>
      <c r="S108" s="20"/>
      <c r="T108" s="20"/>
      <c r="U108" s="20"/>
      <c r="V108" s="20"/>
      <c r="W108" s="20"/>
      <c r="X108" s="20"/>
    </row>
    <row r="109" spans="2:25" ht="19.8">
      <c r="B109" s="255" t="s">
        <v>560</v>
      </c>
      <c r="C109" s="253" t="s">
        <v>672</v>
      </c>
      <c r="D109" s="266"/>
      <c r="E109" s="1431" t="s">
        <v>546</v>
      </c>
      <c r="F109" s="1432"/>
      <c r="G109" s="1433"/>
      <c r="H109" s="1434" t="s">
        <v>547</v>
      </c>
      <c r="I109" s="1435"/>
      <c r="J109" s="1436"/>
      <c r="K109" s="1434" t="s">
        <v>548</v>
      </c>
      <c r="L109" s="1435"/>
      <c r="M109" s="1436"/>
      <c r="N109" s="257" t="s">
        <v>549</v>
      </c>
      <c r="O109" s="20"/>
      <c r="P109" s="20"/>
      <c r="Q109" s="20"/>
      <c r="R109" s="20"/>
      <c r="S109" s="20"/>
      <c r="T109" s="20"/>
      <c r="U109" s="20"/>
      <c r="V109" s="20"/>
      <c r="W109" s="20"/>
      <c r="X109" s="20"/>
      <c r="Y109" s="20"/>
    </row>
    <row r="110" spans="2:25" ht="27.6">
      <c r="B110" s="205"/>
      <c r="C110" s="215"/>
      <c r="D110" s="216"/>
      <c r="E110" s="260" t="s">
        <v>550</v>
      </c>
      <c r="F110" s="260" t="s">
        <v>660</v>
      </c>
      <c r="G110" s="260" t="s">
        <v>661</v>
      </c>
      <c r="H110" s="214" t="s">
        <v>550</v>
      </c>
      <c r="I110" s="214" t="s">
        <v>660</v>
      </c>
      <c r="J110" s="217" t="s">
        <v>661</v>
      </c>
      <c r="K110" s="214" t="s">
        <v>550</v>
      </c>
      <c r="L110" s="214" t="s">
        <v>660</v>
      </c>
      <c r="M110" s="217" t="s">
        <v>661</v>
      </c>
      <c r="N110" s="214" t="s">
        <v>550</v>
      </c>
      <c r="O110" s="20"/>
      <c r="P110" s="20"/>
      <c r="Q110" s="20"/>
      <c r="R110" s="20"/>
      <c r="S110" s="20"/>
      <c r="T110" s="20"/>
      <c r="U110" s="20"/>
      <c r="V110" s="20"/>
      <c r="W110" s="20"/>
      <c r="X110" s="20"/>
      <c r="Y110" s="20"/>
    </row>
    <row r="111" spans="2:25" ht="82.8">
      <c r="B111" s="216" t="s">
        <v>561</v>
      </c>
      <c r="C111" s="218" t="s">
        <v>806</v>
      </c>
      <c r="D111" s="219" t="s">
        <v>562</v>
      </c>
      <c r="E111" s="261">
        <f>E127/1000</f>
        <v>1205779.031</v>
      </c>
      <c r="F111" s="261">
        <f>F127/1000</f>
        <v>337642.93099999998</v>
      </c>
      <c r="G111" s="261">
        <f>G127/1000</f>
        <v>868136.1</v>
      </c>
      <c r="H111" s="418">
        <v>1384245</v>
      </c>
      <c r="I111" s="418">
        <v>418784</v>
      </c>
      <c r="J111" s="418">
        <v>965461</v>
      </c>
      <c r="K111" s="418">
        <v>1307373</v>
      </c>
      <c r="L111" s="418">
        <v>426755</v>
      </c>
      <c r="M111" s="418">
        <v>880618</v>
      </c>
      <c r="N111" s="418">
        <v>1350655</v>
      </c>
      <c r="O111" s="20"/>
      <c r="P111" s="20"/>
      <c r="Q111" s="59"/>
      <c r="R111" s="20"/>
      <c r="S111" s="20"/>
      <c r="T111" s="20"/>
      <c r="U111" s="20"/>
      <c r="V111" s="20"/>
      <c r="W111" s="20"/>
      <c r="X111" s="20"/>
      <c r="Y111" s="20"/>
    </row>
    <row r="112" spans="2:25" ht="27.6">
      <c r="B112" s="216" t="s">
        <v>563</v>
      </c>
      <c r="C112" s="218" t="s">
        <v>807</v>
      </c>
      <c r="D112" s="221" t="s">
        <v>564</v>
      </c>
      <c r="E112" s="262">
        <v>11.1</v>
      </c>
      <c r="F112" s="263">
        <v>74.099999999999994</v>
      </c>
      <c r="G112" s="263">
        <v>8.3000000000000007</v>
      </c>
      <c r="H112" s="222">
        <v>12.1</v>
      </c>
      <c r="I112" s="222">
        <v>78.7</v>
      </c>
      <c r="J112" s="222">
        <v>8.8000000000000007</v>
      </c>
      <c r="K112" s="222">
        <v>11.5</v>
      </c>
      <c r="L112" s="222">
        <v>43.5</v>
      </c>
      <c r="M112" s="222">
        <v>8.5</v>
      </c>
      <c r="N112" s="222">
        <v>10.99</v>
      </c>
      <c r="O112" s="20"/>
      <c r="P112" s="20"/>
      <c r="Q112" s="59"/>
      <c r="R112" s="20"/>
      <c r="S112" s="20"/>
      <c r="T112" s="20"/>
      <c r="U112" s="20"/>
      <c r="V112" s="20"/>
      <c r="W112" s="20"/>
      <c r="X112" s="20"/>
      <c r="Y112" s="20"/>
    </row>
    <row r="113" spans="2:25">
      <c r="B113" s="17"/>
      <c r="C113" s="17"/>
      <c r="D113" s="17"/>
      <c r="E113" s="17"/>
      <c r="F113" s="17"/>
      <c r="G113" s="17"/>
      <c r="H113" s="44"/>
      <c r="I113" s="44"/>
      <c r="J113" s="44"/>
      <c r="K113" s="46"/>
      <c r="L113" s="46"/>
      <c r="M113" s="46"/>
      <c r="N113" s="20"/>
      <c r="O113" s="20"/>
      <c r="P113" s="20"/>
      <c r="Q113" s="20"/>
      <c r="R113" s="20"/>
      <c r="S113" s="20"/>
      <c r="T113" s="20"/>
      <c r="U113" s="20"/>
      <c r="V113" s="20"/>
      <c r="W113" s="20"/>
      <c r="X113" s="20"/>
      <c r="Y113" s="20"/>
    </row>
    <row r="114" spans="2:25">
      <c r="B114" s="17"/>
      <c r="C114" s="17"/>
      <c r="D114" s="17"/>
      <c r="E114" s="17"/>
      <c r="F114" s="17"/>
      <c r="G114" s="17"/>
      <c r="H114" s="44"/>
      <c r="I114" s="44"/>
      <c r="J114" s="44"/>
      <c r="K114" s="46"/>
      <c r="L114" s="46"/>
      <c r="M114" s="46"/>
      <c r="N114" s="20"/>
      <c r="O114" s="20"/>
      <c r="P114" s="20"/>
      <c r="Q114" s="20"/>
      <c r="R114" s="20"/>
      <c r="S114" s="20"/>
      <c r="T114" s="20"/>
      <c r="U114" s="20"/>
      <c r="V114" s="20"/>
      <c r="W114" s="20"/>
      <c r="X114" s="20"/>
      <c r="Y114" s="20"/>
    </row>
    <row r="115" spans="2:25" ht="29.1" customHeight="1">
      <c r="B115" s="256" t="s">
        <v>808</v>
      </c>
      <c r="C115" s="253" t="s">
        <v>672</v>
      </c>
      <c r="D115" s="266"/>
      <c r="E115" s="1431" t="s">
        <v>809</v>
      </c>
      <c r="F115" s="1432"/>
      <c r="G115" s="1433"/>
      <c r="H115" s="1434" t="s">
        <v>810</v>
      </c>
      <c r="I115" s="1435"/>
      <c r="J115" s="1436"/>
      <c r="K115" s="1437" t="s">
        <v>811</v>
      </c>
      <c r="L115" s="1437"/>
      <c r="M115" s="1437"/>
      <c r="N115" s="257" t="s">
        <v>812</v>
      </c>
      <c r="O115" s="20"/>
      <c r="P115" s="20"/>
      <c r="Q115" s="20"/>
      <c r="R115" s="20"/>
      <c r="S115" s="20"/>
      <c r="T115" s="20"/>
      <c r="U115" s="20"/>
      <c r="V115" s="20"/>
      <c r="W115" s="20"/>
      <c r="X115" s="20"/>
    </row>
    <row r="116" spans="2:25" ht="30" customHeight="1">
      <c r="B116" s="223"/>
      <c r="C116" s="223"/>
      <c r="D116" s="223"/>
      <c r="E116" s="258" t="s">
        <v>550</v>
      </c>
      <c r="F116" s="258" t="s">
        <v>660</v>
      </c>
      <c r="G116" s="258" t="s">
        <v>661</v>
      </c>
      <c r="H116" s="224" t="s">
        <v>550</v>
      </c>
      <c r="I116" s="224" t="s">
        <v>660</v>
      </c>
      <c r="J116" s="225" t="s">
        <v>661</v>
      </c>
      <c r="K116" s="224" t="s">
        <v>550</v>
      </c>
      <c r="L116" s="224" t="s">
        <v>660</v>
      </c>
      <c r="M116" s="225" t="s">
        <v>661</v>
      </c>
      <c r="N116" s="224" t="s">
        <v>550</v>
      </c>
      <c r="O116" s="20"/>
      <c r="P116" s="20"/>
      <c r="Q116" s="20"/>
      <c r="R116" s="20"/>
      <c r="S116" s="20"/>
      <c r="T116" s="20"/>
      <c r="U116" s="20"/>
      <c r="V116" s="20"/>
      <c r="W116" s="20"/>
      <c r="X116" s="20"/>
    </row>
    <row r="117" spans="2:25" ht="82.8">
      <c r="B117" s="194" t="s">
        <v>813</v>
      </c>
      <c r="C117" s="167" t="s">
        <v>814</v>
      </c>
      <c r="D117" s="194" t="s">
        <v>815</v>
      </c>
      <c r="E117" s="259">
        <f t="shared" ref="E117:F125" si="9">E127*0.0036</f>
        <v>4340804.5115999999</v>
      </c>
      <c r="F117" s="259">
        <f t="shared" si="9"/>
        <v>1215514.5515999999</v>
      </c>
      <c r="G117" s="259">
        <f t="shared" ref="G117:G125" si="10">E117-F117</f>
        <v>3125289.96</v>
      </c>
      <c r="H117" s="226">
        <f t="shared" ref="H117:H125" si="11">H127*0.0036</f>
        <v>4983282.1332</v>
      </c>
      <c r="I117" s="226">
        <f t="shared" ref="I117:I125" si="12">I127*0.0036</f>
        <v>1507622.094</v>
      </c>
      <c r="J117" s="226">
        <f t="shared" ref="J117:J125" si="13">H117-I117</f>
        <v>3475660.0392</v>
      </c>
      <c r="K117" s="226">
        <f t="shared" ref="K117:K125" si="14">K127*0.0036</f>
        <v>4706542.6343999999</v>
      </c>
      <c r="L117" s="226">
        <f t="shared" ref="L117:L125" si="15">L127*0.0036</f>
        <v>1536318.7667999999</v>
      </c>
      <c r="M117" s="226">
        <f t="shared" ref="M117:M125" si="16">K117-L117</f>
        <v>3170223.8676</v>
      </c>
      <c r="N117" s="226">
        <f t="shared" ref="N117:N123" si="17">N127*0.0036</f>
        <v>4862357.9172</v>
      </c>
      <c r="O117" s="20"/>
      <c r="P117" s="20"/>
      <c r="Q117" s="20"/>
      <c r="R117" s="20"/>
      <c r="S117" s="20"/>
      <c r="T117" s="20"/>
      <c r="U117" s="20"/>
      <c r="V117" s="20"/>
      <c r="W117" s="20"/>
      <c r="X117" s="20"/>
    </row>
    <row r="118" spans="2:25" ht="110.4">
      <c r="B118" s="194" t="s">
        <v>816</v>
      </c>
      <c r="C118" s="167" t="s">
        <v>817</v>
      </c>
      <c r="D118" s="194" t="s">
        <v>815</v>
      </c>
      <c r="E118" s="259">
        <f t="shared" si="9"/>
        <v>1771360.9812</v>
      </c>
      <c r="F118" s="259">
        <f t="shared" si="9"/>
        <v>470572.53119999997</v>
      </c>
      <c r="G118" s="259">
        <f t="shared" si="10"/>
        <v>1300788.4500000002</v>
      </c>
      <c r="H118" s="226">
        <f t="shared" si="11"/>
        <v>2060743.8636</v>
      </c>
      <c r="I118" s="226">
        <f t="shared" si="12"/>
        <v>566103.402</v>
      </c>
      <c r="J118" s="226">
        <f t="shared" si="13"/>
        <v>1494640.4616</v>
      </c>
      <c r="K118" s="226">
        <f t="shared" si="14"/>
        <v>1975839.2279999999</v>
      </c>
      <c r="L118" s="226">
        <f t="shared" si="15"/>
        <v>602479.63079999993</v>
      </c>
      <c r="M118" s="226">
        <f t="shared" si="16"/>
        <v>1373359.5972</v>
      </c>
      <c r="N118" s="226">
        <f t="shared" si="17"/>
        <v>2087618.2523999999</v>
      </c>
      <c r="O118" s="20"/>
      <c r="P118" s="20"/>
      <c r="Q118" s="20"/>
      <c r="R118" s="20"/>
      <c r="S118" s="20"/>
      <c r="T118" s="20"/>
      <c r="U118" s="20"/>
      <c r="V118" s="20"/>
      <c r="W118" s="20"/>
      <c r="X118" s="20"/>
    </row>
    <row r="119" spans="2:25" ht="69">
      <c r="B119" s="194" t="s">
        <v>818</v>
      </c>
      <c r="C119" s="167" t="s">
        <v>819</v>
      </c>
      <c r="D119" s="194" t="s">
        <v>815</v>
      </c>
      <c r="E119" s="259">
        <f t="shared" si="9"/>
        <v>2274979.23</v>
      </c>
      <c r="F119" s="259">
        <f t="shared" si="9"/>
        <v>779210.66879999998</v>
      </c>
      <c r="G119" s="259">
        <f t="shared" si="10"/>
        <v>1495768.5611999999</v>
      </c>
      <c r="H119" s="226">
        <f t="shared" si="11"/>
        <v>2554494.534</v>
      </c>
      <c r="I119" s="226">
        <f t="shared" si="12"/>
        <v>941695.53839999996</v>
      </c>
      <c r="J119" s="226">
        <f t="shared" si="13"/>
        <v>1612798.9956</v>
      </c>
      <c r="K119" s="226">
        <f t="shared" si="14"/>
        <v>2416909.4424000001</v>
      </c>
      <c r="L119" s="226">
        <f t="shared" si="15"/>
        <v>967772.29680000001</v>
      </c>
      <c r="M119" s="226">
        <f t="shared" si="16"/>
        <v>1449137.1455999999</v>
      </c>
      <c r="N119" s="226">
        <f t="shared" si="17"/>
        <v>2466585.6444000001</v>
      </c>
      <c r="O119" s="20"/>
      <c r="P119" s="20"/>
      <c r="Q119" s="20"/>
      <c r="R119" s="20"/>
      <c r="S119" s="20"/>
      <c r="T119" s="20"/>
      <c r="U119" s="20"/>
      <c r="V119" s="20"/>
      <c r="W119" s="20"/>
      <c r="X119" s="20"/>
    </row>
    <row r="120" spans="2:25" ht="124.2">
      <c r="B120" s="194" t="s">
        <v>820</v>
      </c>
      <c r="C120" s="167" t="s">
        <v>821</v>
      </c>
      <c r="D120" s="194" t="s">
        <v>815</v>
      </c>
      <c r="E120" s="259">
        <f t="shared" si="9"/>
        <v>3619825.6716</v>
      </c>
      <c r="F120" s="259">
        <f t="shared" si="9"/>
        <v>852168.6</v>
      </c>
      <c r="G120" s="259">
        <f t="shared" si="10"/>
        <v>2767657.0715999999</v>
      </c>
      <c r="H120" s="226">
        <f t="shared" si="11"/>
        <v>4313935.2456</v>
      </c>
      <c r="I120" s="226">
        <f t="shared" si="12"/>
        <v>1050297.138</v>
      </c>
      <c r="J120" s="226">
        <f t="shared" si="13"/>
        <v>3263638.1075999998</v>
      </c>
      <c r="K120" s="226">
        <f t="shared" si="14"/>
        <v>4129525.1088</v>
      </c>
      <c r="L120" s="226">
        <f t="shared" si="15"/>
        <v>1058810.4324</v>
      </c>
      <c r="M120" s="226">
        <f t="shared" si="16"/>
        <v>3070714.6764000002</v>
      </c>
      <c r="N120" s="226">
        <f t="shared" si="17"/>
        <v>4315058.2259999998</v>
      </c>
      <c r="O120" s="20"/>
      <c r="P120" s="20"/>
      <c r="Q120" s="20"/>
      <c r="R120" s="20"/>
      <c r="S120" s="20"/>
      <c r="T120" s="20"/>
      <c r="U120" s="20"/>
      <c r="V120" s="20"/>
      <c r="W120" s="20"/>
      <c r="X120" s="20"/>
    </row>
    <row r="121" spans="2:25" ht="69">
      <c r="B121" s="328" t="s">
        <v>822</v>
      </c>
      <c r="C121" s="167" t="s">
        <v>823</v>
      </c>
      <c r="D121" s="194" t="s">
        <v>815</v>
      </c>
      <c r="E121" s="259">
        <f t="shared" si="9"/>
        <v>2520972.4284000001</v>
      </c>
      <c r="F121" s="259">
        <f t="shared" si="9"/>
        <v>802567.61639999994</v>
      </c>
      <c r="G121" s="259">
        <f t="shared" si="10"/>
        <v>1718404.8120000002</v>
      </c>
      <c r="H121" s="226">
        <f t="shared" si="11"/>
        <v>2891001.9276000001</v>
      </c>
      <c r="I121" s="226">
        <f t="shared" si="12"/>
        <v>998092.39319999993</v>
      </c>
      <c r="J121" s="226">
        <f t="shared" si="13"/>
        <v>1892909.5344000002</v>
      </c>
      <c r="K121" s="226">
        <f t="shared" si="14"/>
        <v>2729961.54</v>
      </c>
      <c r="L121" s="226">
        <f t="shared" si="15"/>
        <v>1008473.2992</v>
      </c>
      <c r="M121" s="226">
        <f t="shared" si="16"/>
        <v>1721488.2408</v>
      </c>
      <c r="N121" s="226">
        <f t="shared" si="17"/>
        <v>2763835.4556</v>
      </c>
      <c r="O121" s="20"/>
      <c r="P121" s="20"/>
      <c r="Q121" s="20"/>
      <c r="R121" s="20"/>
      <c r="S121" s="20"/>
      <c r="T121" s="20"/>
      <c r="U121" s="20"/>
      <c r="V121" s="20"/>
      <c r="W121" s="20"/>
      <c r="X121" s="20"/>
    </row>
    <row r="122" spans="2:25" ht="41.4">
      <c r="B122" s="328" t="s">
        <v>824</v>
      </c>
      <c r="C122" s="167" t="s">
        <v>825</v>
      </c>
      <c r="D122" s="194" t="s">
        <v>815</v>
      </c>
      <c r="E122" s="259">
        <f t="shared" si="9"/>
        <v>952567.53480000002</v>
      </c>
      <c r="F122" s="259">
        <f t="shared" si="9"/>
        <v>24137.351999999999</v>
      </c>
      <c r="G122" s="259">
        <f t="shared" si="10"/>
        <v>928430.18280000007</v>
      </c>
      <c r="H122" s="226">
        <f t="shared" si="11"/>
        <v>1271821.446</v>
      </c>
      <c r="I122" s="226">
        <f t="shared" si="12"/>
        <v>22613.835599999999</v>
      </c>
      <c r="J122" s="226">
        <f t="shared" si="13"/>
        <v>1249207.6103999999</v>
      </c>
      <c r="K122" s="226">
        <f t="shared" si="14"/>
        <v>1271987.3484</v>
      </c>
      <c r="L122" s="226">
        <f t="shared" si="15"/>
        <v>27600.84</v>
      </c>
      <c r="M122" s="226">
        <f t="shared" si="16"/>
        <v>1244386.5083999999</v>
      </c>
      <c r="N122" s="226">
        <f t="shared" si="17"/>
        <v>1430977.05</v>
      </c>
      <c r="O122" s="20"/>
      <c r="P122" s="20"/>
      <c r="Q122" s="20"/>
      <c r="R122" s="20"/>
      <c r="S122" s="20"/>
      <c r="T122" s="20"/>
      <c r="U122" s="20"/>
      <c r="V122" s="20"/>
      <c r="W122" s="20"/>
      <c r="X122" s="20"/>
    </row>
    <row r="123" spans="2:25" ht="55.2">
      <c r="B123" s="329" t="s">
        <v>826</v>
      </c>
      <c r="C123" s="167" t="s">
        <v>827</v>
      </c>
      <c r="D123" s="194" t="s">
        <v>815</v>
      </c>
      <c r="E123" s="259">
        <f t="shared" si="9"/>
        <v>128724.8796</v>
      </c>
      <c r="F123" s="259">
        <f t="shared" si="9"/>
        <v>19250.449199999999</v>
      </c>
      <c r="G123" s="259">
        <f t="shared" si="10"/>
        <v>109474.4304</v>
      </c>
      <c r="H123" s="226">
        <f t="shared" si="11"/>
        <v>114283.75319999999</v>
      </c>
      <c r="I123" s="226">
        <f t="shared" si="12"/>
        <v>14826.406679999998</v>
      </c>
      <c r="J123" s="226">
        <f t="shared" si="13"/>
        <v>99457.346519999992</v>
      </c>
      <c r="K123" s="226">
        <f t="shared" si="14"/>
        <v>112445.03879999999</v>
      </c>
      <c r="L123" s="226">
        <f t="shared" si="15"/>
        <v>21111.778728000001</v>
      </c>
      <c r="M123" s="226">
        <f t="shared" si="16"/>
        <v>91333.26007199999</v>
      </c>
      <c r="N123" s="226">
        <f t="shared" si="17"/>
        <v>120245.72039999999</v>
      </c>
      <c r="O123" s="20"/>
      <c r="P123" s="20"/>
      <c r="Q123" s="20"/>
      <c r="R123" s="20"/>
      <c r="S123" s="20"/>
      <c r="T123" s="20"/>
      <c r="U123" s="20"/>
      <c r="V123" s="20"/>
      <c r="W123" s="20"/>
      <c r="X123" s="20"/>
    </row>
    <row r="124" spans="2:25" ht="27.6">
      <c r="B124" s="329" t="s">
        <v>828</v>
      </c>
      <c r="C124" s="167" t="s">
        <v>829</v>
      </c>
      <c r="D124" s="194" t="s">
        <v>815</v>
      </c>
      <c r="E124" s="259">
        <f t="shared" si="9"/>
        <v>17560.832399999999</v>
      </c>
      <c r="F124" s="259">
        <f t="shared" si="9"/>
        <v>6213.1823999999997</v>
      </c>
      <c r="G124" s="259">
        <f>E124-F124</f>
        <v>11347.65</v>
      </c>
      <c r="H124" s="226">
        <f t="shared" si="11"/>
        <v>36828.118799999997</v>
      </c>
      <c r="I124" s="226">
        <f t="shared" si="12"/>
        <v>14764.5</v>
      </c>
      <c r="J124" s="226">
        <f>H124-I124</f>
        <v>22063.618799999997</v>
      </c>
      <c r="K124" s="226">
        <f t="shared" si="14"/>
        <v>15131.1852</v>
      </c>
      <c r="L124" s="226">
        <f t="shared" si="15"/>
        <v>1624.5108</v>
      </c>
      <c r="M124" s="226">
        <f>K124-L124</f>
        <v>13506.6744</v>
      </c>
      <c r="N124" s="226" t="s">
        <v>830</v>
      </c>
      <c r="O124" s="20"/>
      <c r="P124" s="20"/>
      <c r="Q124" s="20"/>
      <c r="R124" s="20"/>
      <c r="S124" s="20"/>
      <c r="T124" s="20"/>
      <c r="U124" s="20"/>
      <c r="V124" s="20"/>
      <c r="W124" s="20"/>
      <c r="X124" s="20"/>
    </row>
    <row r="125" spans="2:25" ht="41.4">
      <c r="B125" s="227" t="s">
        <v>831</v>
      </c>
      <c r="C125" s="166" t="s">
        <v>832</v>
      </c>
      <c r="D125" s="194" t="s">
        <v>815</v>
      </c>
      <c r="E125" s="259">
        <f t="shared" si="9"/>
        <v>720978.84</v>
      </c>
      <c r="F125" s="259">
        <f t="shared" si="9"/>
        <v>363345.95159999997</v>
      </c>
      <c r="G125" s="259">
        <f t="shared" si="10"/>
        <v>357632.8884</v>
      </c>
      <c r="H125" s="226">
        <f t="shared" si="11"/>
        <v>669346.88760000002</v>
      </c>
      <c r="I125" s="226">
        <f t="shared" si="12"/>
        <v>457324.95600000001</v>
      </c>
      <c r="J125" s="226">
        <f t="shared" si="13"/>
        <v>212021.93160000001</v>
      </c>
      <c r="K125" s="226">
        <f t="shared" si="14"/>
        <v>577017.52559999994</v>
      </c>
      <c r="L125" s="226">
        <f t="shared" si="15"/>
        <v>477508.33439999999</v>
      </c>
      <c r="M125" s="226">
        <f t="shared" si="16"/>
        <v>99509.191199999943</v>
      </c>
      <c r="N125" s="226">
        <f>N135*0.0036</f>
        <v>547299.68759999995</v>
      </c>
      <c r="O125" s="20"/>
      <c r="P125" s="20"/>
      <c r="Q125" s="20"/>
      <c r="R125" s="20"/>
      <c r="S125" s="20"/>
      <c r="T125" s="20"/>
      <c r="U125" s="20"/>
      <c r="V125" s="20"/>
      <c r="W125" s="20"/>
      <c r="X125" s="20"/>
    </row>
    <row r="127" spans="2:25" ht="82.8">
      <c r="B127" s="194" t="s">
        <v>813</v>
      </c>
      <c r="C127" s="167" t="s">
        <v>833</v>
      </c>
      <c r="D127" s="194" t="s">
        <v>576</v>
      </c>
      <c r="E127" s="259">
        <v>1205779031</v>
      </c>
      <c r="F127" s="259">
        <v>337642931</v>
      </c>
      <c r="G127" s="259">
        <f t="shared" ref="G127:G135" si="18">E127-F127</f>
        <v>868136100</v>
      </c>
      <c r="H127" s="226">
        <v>1384245037</v>
      </c>
      <c r="I127" s="226">
        <v>418783915</v>
      </c>
      <c r="J127" s="226">
        <f t="shared" ref="J127:J135" si="19">H127-I127</f>
        <v>965461122</v>
      </c>
      <c r="K127" s="212">
        <v>1307372954</v>
      </c>
      <c r="L127" s="226">
        <v>426755213</v>
      </c>
      <c r="M127" s="226">
        <f t="shared" ref="M127:M135" si="20">K127-L127</f>
        <v>880617741</v>
      </c>
      <c r="N127" s="212">
        <v>1350654977</v>
      </c>
      <c r="O127" s="20"/>
      <c r="P127" s="20"/>
      <c r="Q127" s="20"/>
      <c r="R127" s="20"/>
      <c r="S127" s="20"/>
      <c r="T127" s="20"/>
      <c r="U127" s="20"/>
      <c r="V127" s="20"/>
      <c r="W127" s="20"/>
      <c r="X127" s="20"/>
    </row>
    <row r="128" spans="2:25" ht="110.4">
      <c r="B128" s="194" t="s">
        <v>816</v>
      </c>
      <c r="C128" s="167" t="s">
        <v>834</v>
      </c>
      <c r="D128" s="194" t="s">
        <v>576</v>
      </c>
      <c r="E128" s="259">
        <v>492044717</v>
      </c>
      <c r="F128" s="259">
        <v>130714592</v>
      </c>
      <c r="G128" s="259">
        <f t="shared" si="18"/>
        <v>361330125</v>
      </c>
      <c r="H128" s="226">
        <v>572428851</v>
      </c>
      <c r="I128" s="226">
        <v>157250945</v>
      </c>
      <c r="J128" s="226">
        <f t="shared" si="19"/>
        <v>415177906</v>
      </c>
      <c r="K128" s="212">
        <v>548844230</v>
      </c>
      <c r="L128" s="226">
        <v>167355453</v>
      </c>
      <c r="M128" s="226">
        <f t="shared" si="20"/>
        <v>381488777</v>
      </c>
      <c r="N128" s="212">
        <v>579893959</v>
      </c>
      <c r="O128" s="20"/>
      <c r="P128" s="20"/>
      <c r="Q128" s="20"/>
      <c r="R128" s="20"/>
      <c r="S128" s="20"/>
      <c r="T128" s="20"/>
      <c r="U128" s="20"/>
      <c r="V128" s="20"/>
      <c r="W128" s="20"/>
      <c r="X128" s="20"/>
    </row>
    <row r="129" spans="2:24" ht="69">
      <c r="B129" s="194" t="s">
        <v>818</v>
      </c>
      <c r="C129" s="167" t="s">
        <v>835</v>
      </c>
      <c r="D129" s="194" t="s">
        <v>576</v>
      </c>
      <c r="E129" s="259">
        <v>631938675</v>
      </c>
      <c r="F129" s="259">
        <v>216447408</v>
      </c>
      <c r="G129" s="259">
        <f t="shared" si="18"/>
        <v>415491267</v>
      </c>
      <c r="H129" s="226">
        <v>709581815</v>
      </c>
      <c r="I129" s="226">
        <v>261582094</v>
      </c>
      <c r="J129" s="226">
        <f t="shared" si="19"/>
        <v>447999721</v>
      </c>
      <c r="K129" s="212">
        <v>671363734</v>
      </c>
      <c r="L129" s="226">
        <v>268825638</v>
      </c>
      <c r="M129" s="226">
        <f t="shared" si="20"/>
        <v>402538096</v>
      </c>
      <c r="N129" s="212">
        <v>685162679</v>
      </c>
      <c r="O129" s="20"/>
      <c r="P129" s="20"/>
      <c r="Q129" s="20"/>
      <c r="R129" s="20"/>
      <c r="S129" s="20"/>
      <c r="T129" s="20"/>
      <c r="U129" s="20"/>
      <c r="V129" s="20"/>
      <c r="W129" s="20"/>
      <c r="X129" s="20"/>
    </row>
    <row r="130" spans="2:24" ht="124.2">
      <c r="B130" s="194" t="s">
        <v>820</v>
      </c>
      <c r="C130" s="167" t="s">
        <v>836</v>
      </c>
      <c r="D130" s="194" t="s">
        <v>576</v>
      </c>
      <c r="E130" s="243">
        <v>1005507131</v>
      </c>
      <c r="F130" s="259">
        <v>236713500</v>
      </c>
      <c r="G130" s="259">
        <f t="shared" si="18"/>
        <v>768793631</v>
      </c>
      <c r="H130" s="226">
        <v>1198315346</v>
      </c>
      <c r="I130" s="226">
        <v>291749205</v>
      </c>
      <c r="J130" s="226">
        <f t="shared" si="19"/>
        <v>906566141</v>
      </c>
      <c r="K130" s="212">
        <v>1147090308</v>
      </c>
      <c r="L130" s="226">
        <v>294114009</v>
      </c>
      <c r="M130" s="226">
        <f t="shared" si="20"/>
        <v>852976299</v>
      </c>
      <c r="N130" s="212">
        <v>1198627285</v>
      </c>
      <c r="O130" s="20"/>
      <c r="P130" s="20"/>
      <c r="Q130" s="20"/>
      <c r="R130" s="20"/>
      <c r="S130" s="20"/>
      <c r="T130" s="20"/>
      <c r="U130" s="20"/>
      <c r="V130" s="20"/>
      <c r="W130" s="20"/>
      <c r="X130" s="20"/>
    </row>
    <row r="131" spans="2:24" ht="69">
      <c r="B131" s="328" t="s">
        <v>822</v>
      </c>
      <c r="C131" s="167" t="s">
        <v>823</v>
      </c>
      <c r="D131" s="194" t="s">
        <v>576</v>
      </c>
      <c r="E131" s="259">
        <v>700270119</v>
      </c>
      <c r="F131" s="259">
        <v>222935449</v>
      </c>
      <c r="G131" s="259">
        <f t="shared" si="18"/>
        <v>477334670</v>
      </c>
      <c r="H131" s="226">
        <v>803056091</v>
      </c>
      <c r="I131" s="226">
        <v>277247887</v>
      </c>
      <c r="J131" s="226">
        <f t="shared" si="19"/>
        <v>525808204</v>
      </c>
      <c r="K131" s="212">
        <v>758322650</v>
      </c>
      <c r="L131" s="226">
        <v>280131472</v>
      </c>
      <c r="M131" s="226">
        <f t="shared" si="20"/>
        <v>478191178</v>
      </c>
      <c r="N131" s="212">
        <v>767732071</v>
      </c>
      <c r="O131" s="20"/>
      <c r="P131" s="20"/>
      <c r="Q131" s="20"/>
      <c r="R131" s="20"/>
      <c r="S131" s="20"/>
      <c r="T131" s="20"/>
      <c r="U131" s="20"/>
      <c r="V131" s="20"/>
      <c r="W131" s="20"/>
      <c r="X131" s="20"/>
    </row>
    <row r="132" spans="2:24" ht="41.4">
      <c r="B132" s="328" t="s">
        <v>824</v>
      </c>
      <c r="C132" s="167" t="s">
        <v>837</v>
      </c>
      <c r="D132" s="194" t="s">
        <v>576</v>
      </c>
      <c r="E132" s="259">
        <v>264602093</v>
      </c>
      <c r="F132" s="259">
        <v>6704820</v>
      </c>
      <c r="G132" s="259">
        <f t="shared" si="18"/>
        <v>257897273</v>
      </c>
      <c r="H132" s="226">
        <v>353283735</v>
      </c>
      <c r="I132" s="226">
        <v>6281621</v>
      </c>
      <c r="J132" s="226">
        <f t="shared" si="19"/>
        <v>347002114</v>
      </c>
      <c r="K132" s="212">
        <v>353329819</v>
      </c>
      <c r="L132" s="226">
        <v>7666900</v>
      </c>
      <c r="M132" s="226">
        <f t="shared" si="20"/>
        <v>345662919</v>
      </c>
      <c r="N132" s="212">
        <v>397493625</v>
      </c>
      <c r="O132" s="20"/>
      <c r="P132" s="20"/>
      <c r="Q132" s="20"/>
      <c r="R132" s="20"/>
      <c r="S132" s="20"/>
      <c r="T132" s="20"/>
      <c r="U132" s="20"/>
      <c r="V132" s="20"/>
      <c r="W132" s="20"/>
      <c r="X132" s="20"/>
    </row>
    <row r="133" spans="2:24" ht="55.2">
      <c r="B133" s="329" t="s">
        <v>826</v>
      </c>
      <c r="C133" s="167" t="s">
        <v>838</v>
      </c>
      <c r="D133" s="194" t="s">
        <v>576</v>
      </c>
      <c r="E133" s="259">
        <v>35756911</v>
      </c>
      <c r="F133" s="259">
        <v>5347347</v>
      </c>
      <c r="G133" s="259">
        <f t="shared" si="18"/>
        <v>30409564</v>
      </c>
      <c r="H133" s="226">
        <v>31745487</v>
      </c>
      <c r="I133" s="226">
        <v>4118446.3</v>
      </c>
      <c r="J133" s="226">
        <f t="shared" si="19"/>
        <v>27627040.699999999</v>
      </c>
      <c r="K133" s="212">
        <v>31234733</v>
      </c>
      <c r="L133" s="226">
        <v>5864382.9800000004</v>
      </c>
      <c r="M133" s="226">
        <f t="shared" si="20"/>
        <v>25370350.02</v>
      </c>
      <c r="N133" s="212">
        <v>33401589</v>
      </c>
      <c r="O133" s="20"/>
      <c r="P133" s="20"/>
      <c r="Q133" s="20"/>
      <c r="R133" s="20"/>
      <c r="S133" s="20"/>
      <c r="T133" s="20"/>
      <c r="U133" s="20"/>
      <c r="V133" s="20"/>
      <c r="W133" s="20"/>
      <c r="X133" s="20"/>
    </row>
    <row r="134" spans="2:24" ht="27.6">
      <c r="B134" s="329" t="s">
        <v>828</v>
      </c>
      <c r="C134" s="167" t="s">
        <v>829</v>
      </c>
      <c r="D134" s="194" t="s">
        <v>576</v>
      </c>
      <c r="E134" s="259">
        <v>4878009</v>
      </c>
      <c r="F134" s="259">
        <v>1725884</v>
      </c>
      <c r="G134" s="259">
        <f t="shared" si="18"/>
        <v>3152125</v>
      </c>
      <c r="H134" s="226">
        <v>10230033</v>
      </c>
      <c r="I134" s="226">
        <v>4101250</v>
      </c>
      <c r="J134" s="226">
        <f t="shared" si="19"/>
        <v>6128783</v>
      </c>
      <c r="K134" s="212">
        <v>4203107</v>
      </c>
      <c r="L134" s="226">
        <v>451253</v>
      </c>
      <c r="M134" s="226">
        <f t="shared" si="20"/>
        <v>3751854</v>
      </c>
      <c r="N134" s="330" t="s">
        <v>830</v>
      </c>
      <c r="O134" s="20"/>
      <c r="P134" s="20"/>
      <c r="Q134" s="20"/>
      <c r="R134" s="20"/>
      <c r="S134" s="20"/>
      <c r="T134" s="20"/>
      <c r="U134" s="20"/>
      <c r="V134" s="20"/>
      <c r="W134" s="20"/>
      <c r="X134" s="20"/>
    </row>
    <row r="135" spans="2:24" ht="41.4">
      <c r="B135" s="227" t="s">
        <v>831</v>
      </c>
      <c r="C135" s="167" t="s">
        <v>832</v>
      </c>
      <c r="D135" s="194" t="s">
        <v>576</v>
      </c>
      <c r="E135" s="259">
        <v>200271900</v>
      </c>
      <c r="F135" s="259">
        <v>100929431</v>
      </c>
      <c r="G135" s="259">
        <f t="shared" si="18"/>
        <v>99342469</v>
      </c>
      <c r="H135" s="226">
        <v>185929691</v>
      </c>
      <c r="I135" s="226">
        <v>127034710</v>
      </c>
      <c r="J135" s="226">
        <f t="shared" si="19"/>
        <v>58894981</v>
      </c>
      <c r="K135" s="212">
        <v>160282646</v>
      </c>
      <c r="L135" s="226">
        <v>132641204</v>
      </c>
      <c r="M135" s="226">
        <f t="shared" si="20"/>
        <v>27641442</v>
      </c>
      <c r="N135" s="212">
        <v>152027691</v>
      </c>
      <c r="O135" s="20"/>
      <c r="P135" s="20"/>
      <c r="Q135" s="20"/>
      <c r="R135" s="20"/>
      <c r="S135" s="20"/>
      <c r="T135" s="20"/>
      <c r="U135" s="20"/>
      <c r="V135" s="20"/>
      <c r="W135" s="20"/>
      <c r="X135" s="20"/>
    </row>
    <row r="136" spans="2:24">
      <c r="B136" s="64"/>
      <c r="C136" s="97"/>
      <c r="D136" s="64"/>
      <c r="E136" s="64"/>
      <c r="F136" s="64"/>
      <c r="G136" s="64"/>
      <c r="H136" s="64"/>
      <c r="I136" s="64"/>
      <c r="J136" s="64"/>
      <c r="K136" s="64"/>
      <c r="L136" s="64"/>
      <c r="M136" s="64"/>
      <c r="N136" s="64"/>
    </row>
    <row r="137" spans="2:24" ht="55.2">
      <c r="B137" s="227" t="s">
        <v>578</v>
      </c>
      <c r="C137" s="166" t="s">
        <v>839</v>
      </c>
      <c r="D137" s="194" t="s">
        <v>840</v>
      </c>
      <c r="E137" s="264">
        <f>E135/E128</f>
        <v>0.40701971402326836</v>
      </c>
      <c r="F137" s="264">
        <f>F135/F128</f>
        <v>0.77213591425202166</v>
      </c>
      <c r="G137" s="264">
        <f>G135/G128</f>
        <v>0.27493547348148734</v>
      </c>
      <c r="H137" s="228">
        <v>0.32500000000000001</v>
      </c>
      <c r="I137" s="228">
        <f>I135/I128</f>
        <v>0.80784703710365624</v>
      </c>
      <c r="J137" s="228">
        <f>J135/J128</f>
        <v>0.14185480525064356</v>
      </c>
      <c r="K137" s="228">
        <v>0.29199999999999998</v>
      </c>
      <c r="L137" s="228">
        <f>L135/L128</f>
        <v>0.79257174846881151</v>
      </c>
      <c r="M137" s="228">
        <f>M135/M128</f>
        <v>7.245676325623597E-2</v>
      </c>
      <c r="N137" s="228">
        <v>0.26200000000000001</v>
      </c>
      <c r="O137" s="20"/>
      <c r="P137" s="20"/>
      <c r="Q137" s="20"/>
      <c r="R137" s="20"/>
      <c r="S137" s="20"/>
      <c r="T137" s="20"/>
      <c r="U137" s="20"/>
      <c r="V137" s="20"/>
      <c r="W137" s="20"/>
      <c r="X137" s="20"/>
    </row>
    <row r="139" spans="2:24">
      <c r="B139" s="45"/>
      <c r="C139" s="17"/>
      <c r="D139" s="17"/>
      <c r="E139" s="396"/>
      <c r="F139" s="17"/>
      <c r="G139" s="44"/>
      <c r="H139" s="44"/>
      <c r="I139" s="44"/>
      <c r="J139" s="46"/>
      <c r="K139" s="46"/>
      <c r="L139" s="46"/>
      <c r="M139" s="20"/>
      <c r="N139" s="20"/>
      <c r="O139" s="20"/>
      <c r="P139" s="20"/>
      <c r="Q139" s="20"/>
      <c r="R139" s="20"/>
      <c r="S139" s="20"/>
      <c r="T139" s="20"/>
      <c r="U139" s="20"/>
      <c r="V139" s="20"/>
      <c r="W139" s="20"/>
      <c r="X139" s="20"/>
    </row>
    <row r="140" spans="2:24">
      <c r="B140" s="17"/>
      <c r="C140" s="17"/>
      <c r="D140" s="17"/>
      <c r="E140" s="17"/>
      <c r="F140" s="17"/>
      <c r="G140" s="44"/>
      <c r="H140" s="44"/>
      <c r="I140" s="44"/>
      <c r="J140" s="46"/>
      <c r="K140" s="46"/>
      <c r="L140" s="46"/>
      <c r="M140" s="20"/>
      <c r="N140" s="20"/>
      <c r="O140" s="20"/>
      <c r="P140" s="20"/>
      <c r="Q140" s="20"/>
      <c r="R140" s="20"/>
      <c r="S140" s="20"/>
      <c r="T140" s="20"/>
      <c r="U140" s="20"/>
      <c r="V140" s="20"/>
      <c r="W140" s="20"/>
      <c r="X140" s="20"/>
    </row>
    <row r="141" spans="2:24">
      <c r="B141" s="17"/>
      <c r="C141" s="17"/>
      <c r="D141" s="17"/>
      <c r="E141" s="17"/>
      <c r="F141" s="17"/>
      <c r="G141" s="44"/>
      <c r="H141" s="44"/>
      <c r="I141" s="44"/>
      <c r="J141" s="46"/>
      <c r="K141" s="46"/>
      <c r="L141" s="46"/>
      <c r="M141" s="20"/>
      <c r="N141" s="20"/>
      <c r="O141" s="20"/>
      <c r="P141" s="20"/>
      <c r="Q141" s="20"/>
      <c r="R141" s="20"/>
      <c r="S141" s="20"/>
      <c r="T141" s="20"/>
      <c r="U141" s="20"/>
      <c r="V141" s="20"/>
      <c r="W141" s="20"/>
      <c r="X141" s="20"/>
    </row>
    <row r="142" spans="2:24" ht="19.8">
      <c r="B142" s="249" t="s">
        <v>841</v>
      </c>
      <c r="C142" s="250" t="s">
        <v>842</v>
      </c>
      <c r="D142" s="266" t="s">
        <v>544</v>
      </c>
      <c r="E142" s="251" t="s">
        <v>546</v>
      </c>
      <c r="F142" s="17"/>
      <c r="G142" s="44"/>
      <c r="H142" s="44"/>
      <c r="I142" s="44"/>
    </row>
    <row r="143" spans="2:24">
      <c r="B143" s="194" t="s">
        <v>843</v>
      </c>
      <c r="C143" s="167" t="s">
        <v>844</v>
      </c>
      <c r="D143" s="194" t="s">
        <v>845</v>
      </c>
      <c r="E143" s="265">
        <v>0</v>
      </c>
      <c r="F143" s="17"/>
      <c r="G143" s="44"/>
      <c r="H143" s="44"/>
      <c r="I143" s="44"/>
    </row>
    <row r="144" spans="2:24">
      <c r="F144" s="17"/>
      <c r="G144" s="44"/>
      <c r="H144" s="44"/>
      <c r="I144" s="44"/>
    </row>
  </sheetData>
  <sheetProtection algorithmName="SHA-512" hashValue="ncV2Fzcksu9IE5p/28rilQA0Me1bDybhY2Zc7qI8jse48ve/nCkZzTrvy1Qo/S2VSqStzEwov4GZurhlVkIkcA==" saltValue="823fp15nB04Wx2qE8jfmDQ==" spinCount="100000" sheet="1" objects="1" scenarios="1"/>
  <mergeCells count="20">
    <mergeCell ref="B2:N2"/>
    <mergeCell ref="B8:B9"/>
    <mergeCell ref="C8:C9"/>
    <mergeCell ref="D8:D9"/>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s>
  <phoneticPr fontId="3" type="noConversion"/>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CF6-BB54-4B91-AFB5-85B41B2094CE}">
  <sheetPr>
    <tabColor theme="6"/>
    <pageSetUpPr fitToPage="1"/>
  </sheetPr>
  <dimension ref="A1:R166"/>
  <sheetViews>
    <sheetView topLeftCell="A121" zoomScale="50" zoomScaleNormal="50" workbookViewId="0"/>
  </sheetViews>
  <sheetFormatPr defaultColWidth="8.88671875" defaultRowHeight="13.5" customHeight="1"/>
  <cols>
    <col min="1" max="1" width="5.109375" style="64" customWidth="1"/>
    <col min="2" max="2" width="110.109375" style="64" customWidth="1"/>
    <col min="3" max="3" width="29.5546875" style="97" customWidth="1"/>
    <col min="4" max="4" width="24.6640625" style="97" customWidth="1"/>
    <col min="5" max="5" width="24.109375" style="64" bestFit="1" customWidth="1"/>
    <col min="6" max="6" width="21" style="64" bestFit="1" customWidth="1"/>
    <col min="7" max="8" width="21.88671875" style="64" bestFit="1" customWidth="1"/>
    <col min="9" max="9" width="21.44140625" style="64" customWidth="1"/>
    <col min="10" max="10" width="22.88671875" style="64" customWidth="1"/>
    <col min="11" max="11" width="20.88671875" style="64" customWidth="1"/>
    <col min="12" max="12" width="23.44140625" style="64" customWidth="1"/>
    <col min="13" max="13" width="15.5546875" style="64" bestFit="1" customWidth="1"/>
    <col min="14" max="16" width="15.109375" style="64" bestFit="1" customWidth="1"/>
    <col min="17" max="17" width="12" style="64" customWidth="1"/>
    <col min="18" max="18" width="8.88671875" style="64" bestFit="1"/>
    <col min="19" max="16384" width="8.88671875" style="64"/>
  </cols>
  <sheetData>
    <row r="1" spans="1:18" ht="13.8"/>
    <row r="2" spans="1:18" ht="54" customHeight="1">
      <c r="A2" s="363"/>
      <c r="B2" s="653" t="s">
        <v>32</v>
      </c>
      <c r="C2" s="653"/>
      <c r="D2" s="653"/>
      <c r="E2" s="653"/>
      <c r="F2" s="653"/>
      <c r="G2" s="653"/>
      <c r="H2" s="653"/>
      <c r="I2" s="653"/>
      <c r="J2" s="653"/>
      <c r="K2" s="653"/>
      <c r="L2" s="653"/>
      <c r="M2" s="653"/>
      <c r="N2" s="653"/>
      <c r="O2" s="8"/>
      <c r="P2" s="106"/>
      <c r="Q2" s="106"/>
      <c r="R2" s="107"/>
    </row>
    <row r="3" spans="1:18" ht="40.65" customHeight="1">
      <c r="B3" s="108"/>
      <c r="C3" s="109"/>
      <c r="D3" s="109"/>
      <c r="E3" s="108"/>
      <c r="F3" s="653"/>
      <c r="G3" s="108"/>
      <c r="H3" s="110"/>
      <c r="I3" s="110"/>
      <c r="J3" s="110"/>
      <c r="K3" s="110"/>
      <c r="L3" s="110"/>
      <c r="M3" s="110"/>
      <c r="N3" s="110"/>
      <c r="O3" s="110"/>
      <c r="P3" s="110"/>
      <c r="Q3" s="110"/>
      <c r="R3" s="107"/>
    </row>
    <row r="4" spans="1:18" ht="82.35" customHeight="1">
      <c r="B4" s="1449" t="s">
        <v>846</v>
      </c>
      <c r="C4" s="1449"/>
      <c r="D4" s="1449"/>
      <c r="E4" s="1449"/>
      <c r="F4" s="1449"/>
      <c r="G4" s="1449"/>
      <c r="H4" s="1449"/>
      <c r="I4" s="1449"/>
      <c r="J4" s="458"/>
      <c r="K4" s="458"/>
      <c r="L4"/>
      <c r="M4" s="107"/>
      <c r="N4" s="362"/>
      <c r="O4" s="107"/>
      <c r="P4" s="119"/>
      <c r="Q4" s="107"/>
      <c r="R4" s="107"/>
    </row>
    <row r="5" spans="1:18" ht="16.2" hidden="1">
      <c r="B5" s="23"/>
      <c r="C5" s="104"/>
      <c r="D5" s="104"/>
      <c r="E5" s="23"/>
      <c r="F5" s="23"/>
      <c r="G5" s="23"/>
      <c r="H5" s="24"/>
      <c r="I5" s="24"/>
      <c r="J5" s="24"/>
      <c r="K5" s="458"/>
      <c r="L5" s="107"/>
      <c r="M5" s="107"/>
      <c r="N5" s="107"/>
      <c r="O5" s="107"/>
      <c r="P5" s="580"/>
      <c r="Q5" s="107"/>
      <c r="R5" s="107"/>
    </row>
    <row r="6" spans="1:18" ht="19.8">
      <c r="B6" s="918" t="s">
        <v>658</v>
      </c>
      <c r="C6" s="919"/>
      <c r="D6" s="919"/>
      <c r="E6" s="920"/>
      <c r="F6" s="920"/>
      <c r="G6" s="920"/>
      <c r="H6" s="1450"/>
      <c r="I6" s="1450"/>
      <c r="J6" s="1450"/>
      <c r="K6" s="458"/>
      <c r="L6" s="107"/>
      <c r="M6" s="107"/>
      <c r="N6" s="107"/>
      <c r="O6" s="107"/>
      <c r="P6" s="580"/>
      <c r="Q6" s="107"/>
      <c r="R6" s="107"/>
    </row>
    <row r="7" spans="1:18" ht="19.8">
      <c r="B7" s="1198"/>
      <c r="C7" s="1199"/>
      <c r="D7" s="1203"/>
      <c r="E7" s="1204"/>
      <c r="F7" s="1200"/>
      <c r="G7" s="1200"/>
      <c r="H7" s="1201"/>
      <c r="I7" s="1201"/>
      <c r="J7" s="1201"/>
      <c r="K7" s="1202"/>
      <c r="L7" s="121"/>
      <c r="M7" s="121"/>
      <c r="N7" s="121"/>
      <c r="O7" s="121"/>
      <c r="P7" s="580"/>
      <c r="Q7" s="121"/>
      <c r="R7" s="121"/>
    </row>
    <row r="8" spans="1:18" ht="39.6" customHeight="1">
      <c r="B8" s="1427" t="s">
        <v>543</v>
      </c>
      <c r="C8" s="1428" t="s">
        <v>544</v>
      </c>
      <c r="D8" s="921" t="s">
        <v>545</v>
      </c>
      <c r="E8" s="926" t="s">
        <v>546</v>
      </c>
      <c r="F8" s="926" t="s">
        <v>547</v>
      </c>
      <c r="G8" s="926" t="s">
        <v>548</v>
      </c>
      <c r="H8" s="926" t="s">
        <v>549</v>
      </c>
      <c r="I8" s="923" t="s">
        <v>847</v>
      </c>
      <c r="J8" s="923" t="s">
        <v>848</v>
      </c>
      <c r="K8" s="458"/>
      <c r="L8" s="107"/>
      <c r="M8" s="107"/>
      <c r="N8" s="107"/>
      <c r="O8" s="580"/>
      <c r="P8" s="107"/>
    </row>
    <row r="9" spans="1:18" ht="13.8">
      <c r="B9" s="1427"/>
      <c r="C9" s="1428"/>
      <c r="D9" s="926" t="s">
        <v>550</v>
      </c>
      <c r="E9" s="926" t="s">
        <v>550</v>
      </c>
      <c r="F9" s="926" t="s">
        <v>550</v>
      </c>
      <c r="G9" s="926" t="s">
        <v>550</v>
      </c>
      <c r="H9" s="926" t="s">
        <v>550</v>
      </c>
      <c r="I9" s="924" t="s">
        <v>550</v>
      </c>
      <c r="J9" s="924" t="s">
        <v>550</v>
      </c>
      <c r="K9" s="107"/>
      <c r="L9" s="107"/>
      <c r="M9" s="107"/>
      <c r="N9" s="107"/>
      <c r="O9" s="580"/>
      <c r="P9" s="107"/>
    </row>
    <row r="10" spans="1:18" ht="18" customHeight="1">
      <c r="B10" s="626" t="s">
        <v>472</v>
      </c>
      <c r="C10" s="823" t="s">
        <v>553</v>
      </c>
      <c r="D10" s="922">
        <v>215429</v>
      </c>
      <c r="E10" s="627">
        <v>215368</v>
      </c>
      <c r="F10" s="627">
        <v>226536</v>
      </c>
      <c r="G10" s="627">
        <v>229356</v>
      </c>
      <c r="H10" s="627">
        <v>228143</v>
      </c>
      <c r="I10" s="1194">
        <f>(D10-E10)/E10</f>
        <v>2.8323613535901341E-4</v>
      </c>
      <c r="J10" s="925">
        <f t="shared" ref="J10:J15" si="0">(D10-H10)/H10</f>
        <v>-5.5728205555287694E-2</v>
      </c>
      <c r="K10" s="107"/>
      <c r="L10" s="107"/>
      <c r="M10" s="107"/>
      <c r="N10" s="107"/>
      <c r="O10" s="119"/>
      <c r="P10" s="107"/>
    </row>
    <row r="11" spans="1:18" ht="18" customHeight="1">
      <c r="B11" s="626" t="s">
        <v>475</v>
      </c>
      <c r="C11" s="823" t="s">
        <v>553</v>
      </c>
      <c r="D11" s="922">
        <v>66974</v>
      </c>
      <c r="E11" s="627">
        <v>129542</v>
      </c>
      <c r="F11" s="627">
        <v>168715</v>
      </c>
      <c r="G11" s="627">
        <v>167529</v>
      </c>
      <c r="H11" s="627">
        <v>177627</v>
      </c>
      <c r="I11" s="1194">
        <f t="shared" ref="I11:I14" si="1">(D11-E11)/E11</f>
        <v>-0.48299393246977812</v>
      </c>
      <c r="J11" s="925">
        <f t="shared" si="0"/>
        <v>-0.62295146571185689</v>
      </c>
      <c r="K11" s="107"/>
      <c r="L11" s="107"/>
      <c r="M11" s="107"/>
      <c r="N11" s="107"/>
      <c r="O11" s="119"/>
      <c r="P11" s="107"/>
    </row>
    <row r="12" spans="1:18" ht="18" customHeight="1">
      <c r="B12" s="626" t="s">
        <v>554</v>
      </c>
      <c r="C12" s="823" t="s">
        <v>553</v>
      </c>
      <c r="D12" s="922">
        <v>196812</v>
      </c>
      <c r="E12" s="627">
        <v>204018</v>
      </c>
      <c r="F12" s="627">
        <v>225058</v>
      </c>
      <c r="G12" s="627">
        <v>207296</v>
      </c>
      <c r="H12" s="627">
        <v>228885</v>
      </c>
      <c r="I12" s="1194">
        <f t="shared" si="1"/>
        <v>-3.5320412904743699E-2</v>
      </c>
      <c r="J12" s="925">
        <f t="shared" si="0"/>
        <v>-0.14012713808244315</v>
      </c>
      <c r="K12" s="107"/>
      <c r="L12" s="107"/>
      <c r="M12" s="107"/>
      <c r="N12" s="107"/>
      <c r="O12" s="119"/>
      <c r="P12" s="107"/>
    </row>
    <row r="13" spans="1:18" ht="18" customHeight="1">
      <c r="B13" s="628" t="s">
        <v>555</v>
      </c>
      <c r="C13" s="824" t="s">
        <v>556</v>
      </c>
      <c r="D13" s="922">
        <v>282403</v>
      </c>
      <c r="E13" s="629">
        <v>344910</v>
      </c>
      <c r="F13" s="629">
        <v>395251</v>
      </c>
      <c r="G13" s="629">
        <v>396885</v>
      </c>
      <c r="H13" s="629">
        <v>405770</v>
      </c>
      <c r="I13" s="1194">
        <f>(D13-E13)/E13</f>
        <v>-0.18122698675016671</v>
      </c>
      <c r="J13" s="925">
        <f t="shared" si="0"/>
        <v>-0.30403184069793232</v>
      </c>
      <c r="K13" s="107"/>
      <c r="L13" s="107"/>
      <c r="M13" s="107"/>
      <c r="N13" s="107"/>
      <c r="O13" s="119"/>
      <c r="P13" s="107"/>
    </row>
    <row r="14" spans="1:18" ht="18" customHeight="1">
      <c r="B14" s="626" t="s">
        <v>557</v>
      </c>
      <c r="C14" s="823" t="s">
        <v>553</v>
      </c>
      <c r="D14" s="922">
        <v>412241</v>
      </c>
      <c r="E14" s="627">
        <v>419386</v>
      </c>
      <c r="F14" s="627">
        <v>451594</v>
      </c>
      <c r="G14" s="627">
        <v>436652</v>
      </c>
      <c r="H14" s="627">
        <v>457027</v>
      </c>
      <c r="I14" s="1194">
        <f t="shared" si="1"/>
        <v>-1.7036810956970429E-2</v>
      </c>
      <c r="J14" s="925">
        <f t="shared" si="0"/>
        <v>-9.7994210407700205E-2</v>
      </c>
      <c r="K14" s="107"/>
      <c r="L14" s="107"/>
      <c r="M14" s="107"/>
      <c r="N14" s="107"/>
      <c r="O14" s="107"/>
      <c r="P14" s="107"/>
    </row>
    <row r="15" spans="1:18" ht="18" customHeight="1">
      <c r="B15" s="628" t="s">
        <v>558</v>
      </c>
      <c r="C15" s="825" t="s">
        <v>559</v>
      </c>
      <c r="D15" s="1070">
        <v>2.62</v>
      </c>
      <c r="E15" s="1071">
        <v>3.19</v>
      </c>
      <c r="F15" s="1071">
        <v>3.61</v>
      </c>
      <c r="G15" s="1071">
        <v>3.74</v>
      </c>
      <c r="H15" s="1071">
        <v>3.59</v>
      </c>
      <c r="I15" s="1194">
        <f>(D15-E15)/E15</f>
        <v>-0.17868338557993727</v>
      </c>
      <c r="J15" s="925">
        <f t="shared" si="0"/>
        <v>-0.27019498607242332</v>
      </c>
      <c r="K15" s="107"/>
      <c r="L15" s="107"/>
      <c r="M15" s="107"/>
      <c r="N15" s="107"/>
      <c r="O15" s="107"/>
      <c r="P15" s="107"/>
    </row>
    <row r="16" spans="1:18" ht="13.8">
      <c r="B16" s="120"/>
      <c r="C16" s="826"/>
      <c r="D16" s="494"/>
      <c r="E16" s="1098"/>
      <c r="F16" s="494"/>
      <c r="G16" s="494"/>
      <c r="H16" s="123"/>
      <c r="I16" s="123"/>
      <c r="J16" s="123"/>
      <c r="K16" s="123"/>
      <c r="L16" s="40"/>
      <c r="M16" s="107"/>
      <c r="N16" s="107"/>
      <c r="O16" s="107"/>
      <c r="P16" s="107"/>
      <c r="Q16" s="107"/>
    </row>
    <row r="17" spans="2:17" ht="41.4" customHeight="1">
      <c r="B17" s="932" t="s">
        <v>671</v>
      </c>
      <c r="C17" s="822" t="s">
        <v>544</v>
      </c>
      <c r="D17" s="921" t="s">
        <v>545</v>
      </c>
      <c r="E17" s="926" t="s">
        <v>546</v>
      </c>
      <c r="F17" s="926" t="s">
        <v>547</v>
      </c>
      <c r="G17" s="926" t="s">
        <v>548</v>
      </c>
      <c r="H17" s="926" t="s">
        <v>549</v>
      </c>
      <c r="I17" s="819" t="s">
        <v>847</v>
      </c>
      <c r="J17" s="819" t="s">
        <v>848</v>
      </c>
      <c r="L17" s="40"/>
      <c r="M17" s="107"/>
      <c r="N17" s="107"/>
      <c r="O17" s="107"/>
      <c r="P17" s="107"/>
      <c r="Q17" s="107"/>
    </row>
    <row r="18" spans="2:17" ht="18.600000000000001">
      <c r="B18" s="625" t="s">
        <v>673</v>
      </c>
      <c r="C18" s="625" t="s">
        <v>849</v>
      </c>
      <c r="D18" s="668">
        <v>2531576</v>
      </c>
      <c r="E18" s="1089">
        <v>2450529</v>
      </c>
      <c r="F18" s="1075">
        <v>2978197</v>
      </c>
      <c r="G18" s="1075">
        <v>2812518</v>
      </c>
      <c r="H18" s="1075">
        <v>3433660</v>
      </c>
      <c r="I18" s="858">
        <f>(D18-E18)/E18</f>
        <v>3.3073267037443753E-2</v>
      </c>
      <c r="J18" s="858">
        <f>(D18-H18)/H18</f>
        <v>-0.26271791615943335</v>
      </c>
      <c r="L18" s="40"/>
      <c r="M18" s="107"/>
      <c r="N18" s="107"/>
      <c r="O18" s="107"/>
      <c r="P18" s="107"/>
      <c r="Q18" s="107"/>
    </row>
    <row r="19" spans="2:17" ht="18.600000000000001">
      <c r="B19" s="625" t="s">
        <v>676</v>
      </c>
      <c r="C19" s="625" t="s">
        <v>849</v>
      </c>
      <c r="D19" s="668">
        <v>170184.80567426901</v>
      </c>
      <c r="E19" s="787">
        <v>177009</v>
      </c>
      <c r="F19" s="687">
        <v>162949</v>
      </c>
      <c r="G19" s="687">
        <v>240810</v>
      </c>
      <c r="H19" s="687">
        <v>365781</v>
      </c>
      <c r="I19" s="858">
        <f t="shared" ref="I19:I32" si="2">(D19-E19)/E19</f>
        <v>-3.8552809889502743E-2</v>
      </c>
      <c r="J19" s="858">
        <f t="shared" ref="J19:J29" si="3">(D19-H19)/H19</f>
        <v>-0.53473579635282042</v>
      </c>
      <c r="L19" s="40"/>
      <c r="M19" s="107"/>
      <c r="N19" s="107"/>
      <c r="O19" s="107"/>
      <c r="P19" s="107"/>
      <c r="Q19" s="107"/>
    </row>
    <row r="20" spans="2:17" ht="18.600000000000001">
      <c r="B20" s="625" t="s">
        <v>678</v>
      </c>
      <c r="C20" s="625" t="s">
        <v>849</v>
      </c>
      <c r="D20" s="668">
        <v>38687.160000000003</v>
      </c>
      <c r="E20" s="687">
        <v>41788.97</v>
      </c>
      <c r="F20" s="687">
        <v>44708.76</v>
      </c>
      <c r="G20" s="687">
        <v>37589.24</v>
      </c>
      <c r="H20" s="687">
        <v>38985.01</v>
      </c>
      <c r="I20" s="858">
        <f t="shared" si="2"/>
        <v>-7.4225567177176127E-2</v>
      </c>
      <c r="J20" s="858">
        <f t="shared" si="3"/>
        <v>-7.6401160343423933E-3</v>
      </c>
      <c r="L20" s="40"/>
      <c r="M20" s="107"/>
      <c r="N20" s="344"/>
      <c r="O20" s="107"/>
      <c r="P20" s="107"/>
      <c r="Q20" s="107"/>
    </row>
    <row r="21" spans="2:17" ht="18.600000000000001">
      <c r="B21" s="625" t="s">
        <v>680</v>
      </c>
      <c r="C21" s="625" t="s">
        <v>849</v>
      </c>
      <c r="D21" s="668">
        <v>81707</v>
      </c>
      <c r="E21" s="1075">
        <v>96589</v>
      </c>
      <c r="F21" s="1075">
        <v>120343</v>
      </c>
      <c r="G21" s="1075">
        <v>94348</v>
      </c>
      <c r="H21" s="1075">
        <v>97424</v>
      </c>
      <c r="I21" s="858">
        <f t="shared" si="2"/>
        <v>-0.15407551584548965</v>
      </c>
      <c r="J21" s="858">
        <f t="shared" si="3"/>
        <v>-0.16132575135490229</v>
      </c>
      <c r="L21" s="40"/>
      <c r="M21" s="1122"/>
      <c r="N21" s="107"/>
      <c r="O21" s="107"/>
      <c r="P21" s="107"/>
      <c r="Q21" s="107"/>
    </row>
    <row r="22" spans="2:17" ht="18.600000000000001">
      <c r="B22" s="625" t="s">
        <v>682</v>
      </c>
      <c r="C22" s="625" t="s">
        <v>849</v>
      </c>
      <c r="D22" s="668">
        <v>3855</v>
      </c>
      <c r="E22" s="1075">
        <v>4003</v>
      </c>
      <c r="F22" s="1075">
        <v>5204</v>
      </c>
      <c r="G22" s="1075">
        <v>4545</v>
      </c>
      <c r="H22" s="1075">
        <v>3428</v>
      </c>
      <c r="I22" s="858">
        <f t="shared" si="2"/>
        <v>-3.6972270796902323E-2</v>
      </c>
      <c r="J22" s="858">
        <f t="shared" si="3"/>
        <v>0.12456242707117852</v>
      </c>
      <c r="L22" s="40"/>
      <c r="M22" s="1122"/>
      <c r="N22" s="107"/>
      <c r="O22" s="107"/>
      <c r="P22" s="107"/>
      <c r="Q22" s="107"/>
    </row>
    <row r="23" spans="2:17" ht="18.600000000000001">
      <c r="B23" s="625" t="s">
        <v>684</v>
      </c>
      <c r="C23" s="625" t="s">
        <v>849</v>
      </c>
      <c r="D23" s="668">
        <v>9235.9</v>
      </c>
      <c r="E23" s="687">
        <v>7670.9333333333307</v>
      </c>
      <c r="F23" s="687">
        <v>1925</v>
      </c>
      <c r="G23" s="687">
        <v>439</v>
      </c>
      <c r="H23" s="687">
        <v>14006</v>
      </c>
      <c r="I23" s="858">
        <f t="shared" si="2"/>
        <v>0.204012549537649</v>
      </c>
      <c r="J23" s="858">
        <f t="shared" si="3"/>
        <v>-0.34057546765671859</v>
      </c>
      <c r="L23" s="40"/>
      <c r="M23" s="1122"/>
      <c r="N23" s="107"/>
      <c r="O23" s="107"/>
      <c r="P23" s="107"/>
      <c r="Q23" s="107"/>
    </row>
    <row r="24" spans="2:17" ht="18.600000000000001">
      <c r="B24" s="625" t="s">
        <v>686</v>
      </c>
      <c r="C24" s="625" t="s">
        <v>849</v>
      </c>
      <c r="D24" s="668">
        <v>28991</v>
      </c>
      <c r="E24" s="687">
        <v>13627</v>
      </c>
      <c r="F24" s="687">
        <v>13517.48</v>
      </c>
      <c r="G24" s="687">
        <v>15718</v>
      </c>
      <c r="H24" s="687">
        <v>25763.02</v>
      </c>
      <c r="I24" s="858">
        <f t="shared" si="2"/>
        <v>1.1274675277023556</v>
      </c>
      <c r="J24" s="858">
        <f t="shared" si="3"/>
        <v>0.12529509350999998</v>
      </c>
      <c r="L24" s="40"/>
      <c r="M24" s="1122"/>
      <c r="N24" s="107"/>
      <c r="O24" s="107"/>
      <c r="P24" s="107"/>
      <c r="Q24" s="107"/>
    </row>
    <row r="25" spans="2:17" ht="18.600000000000001">
      <c r="B25" s="625" t="s">
        <v>688</v>
      </c>
      <c r="C25" s="625" t="s">
        <v>849</v>
      </c>
      <c r="D25" s="668">
        <v>6441</v>
      </c>
      <c r="E25" s="1075">
        <v>6809.662105427099</v>
      </c>
      <c r="F25" s="1075">
        <v>6368</v>
      </c>
      <c r="G25" s="1075">
        <v>5856</v>
      </c>
      <c r="H25" s="1075">
        <v>5094</v>
      </c>
      <c r="I25" s="858">
        <f t="shared" si="2"/>
        <v>-5.4138090806779719E-2</v>
      </c>
      <c r="J25" s="858">
        <f t="shared" si="3"/>
        <v>0.26442873969375735</v>
      </c>
      <c r="L25" s="40"/>
      <c r="M25" s="107"/>
      <c r="N25" s="107"/>
      <c r="O25" s="107"/>
      <c r="P25" s="107"/>
      <c r="Q25" s="107"/>
    </row>
    <row r="26" spans="2:17" ht="18.600000000000001">
      <c r="B26" s="625" t="s">
        <v>690</v>
      </c>
      <c r="C26" s="625" t="s">
        <v>849</v>
      </c>
      <c r="D26" s="668">
        <v>0</v>
      </c>
      <c r="E26" s="1075">
        <v>0</v>
      </c>
      <c r="F26" s="1075">
        <v>0</v>
      </c>
      <c r="G26" s="1075">
        <v>0</v>
      </c>
      <c r="H26" s="1075">
        <v>0</v>
      </c>
      <c r="I26" s="858"/>
      <c r="J26" s="858"/>
      <c r="L26" s="40"/>
      <c r="M26" s="107"/>
      <c r="N26" s="107"/>
      <c r="O26" s="107"/>
      <c r="P26" s="107"/>
      <c r="Q26" s="107"/>
    </row>
    <row r="27" spans="2:17" ht="18.600000000000001">
      <c r="B27" s="625" t="s">
        <v>692</v>
      </c>
      <c r="C27" s="625" t="s">
        <v>849</v>
      </c>
      <c r="D27" s="668">
        <v>11391.464294395439</v>
      </c>
      <c r="E27" s="1075">
        <v>11353</v>
      </c>
      <c r="F27" s="1075">
        <v>10382</v>
      </c>
      <c r="G27" s="1075">
        <v>10974</v>
      </c>
      <c r="H27" s="1075">
        <v>11151</v>
      </c>
      <c r="I27" s="858">
        <f t="shared" si="2"/>
        <v>3.388029102038107E-3</v>
      </c>
      <c r="J27" s="858">
        <f t="shared" si="3"/>
        <v>2.1564370405832537E-2</v>
      </c>
      <c r="L27" s="40"/>
      <c r="M27" s="107"/>
      <c r="N27" s="107"/>
      <c r="O27" s="107"/>
      <c r="P27" s="107"/>
      <c r="Q27" s="107"/>
    </row>
    <row r="28" spans="2:17" ht="18.600000000000001">
      <c r="B28" s="625" t="s">
        <v>694</v>
      </c>
      <c r="C28" s="625" t="s">
        <v>849</v>
      </c>
      <c r="D28" s="668">
        <v>0</v>
      </c>
      <c r="E28" s="1075">
        <v>0</v>
      </c>
      <c r="F28" s="1075">
        <v>0</v>
      </c>
      <c r="G28" s="1075">
        <v>0</v>
      </c>
      <c r="H28" s="1075">
        <v>0</v>
      </c>
      <c r="I28" s="858"/>
      <c r="J28" s="858"/>
      <c r="L28" s="1187"/>
      <c r="M28" s="107"/>
      <c r="N28" s="107"/>
      <c r="O28" s="107"/>
      <c r="P28" s="107"/>
      <c r="Q28" s="107"/>
    </row>
    <row r="29" spans="2:17" ht="18.600000000000001">
      <c r="B29" s="625" t="s">
        <v>696</v>
      </c>
      <c r="C29" s="625" t="s">
        <v>849</v>
      </c>
      <c r="D29" s="668">
        <v>23077.891868038212</v>
      </c>
      <c r="E29" s="1075">
        <v>21003</v>
      </c>
      <c r="F29" s="1075">
        <v>21001</v>
      </c>
      <c r="G29" s="1075">
        <v>23063</v>
      </c>
      <c r="H29" s="1075">
        <v>27334</v>
      </c>
      <c r="I29" s="858">
        <f t="shared" si="2"/>
        <v>9.8790261773947161E-2</v>
      </c>
      <c r="J29" s="858">
        <f t="shared" si="3"/>
        <v>-0.15570747537725133</v>
      </c>
      <c r="L29" s="1187"/>
      <c r="M29" s="107"/>
      <c r="N29" s="107"/>
      <c r="O29" s="107"/>
      <c r="P29" s="107"/>
      <c r="Q29" s="107"/>
    </row>
    <row r="30" spans="2:17" ht="18.600000000000001">
      <c r="B30" s="625" t="s">
        <v>698</v>
      </c>
      <c r="C30" s="625" t="s">
        <v>849</v>
      </c>
      <c r="D30" s="668">
        <v>0</v>
      </c>
      <c r="E30" s="1075">
        <v>0</v>
      </c>
      <c r="F30" s="1075">
        <v>0</v>
      </c>
      <c r="G30" s="1075">
        <v>0</v>
      </c>
      <c r="H30" s="1075">
        <v>0</v>
      </c>
      <c r="I30" s="858"/>
      <c r="J30" s="858"/>
      <c r="L30" s="40"/>
      <c r="M30" s="107"/>
      <c r="N30" s="107"/>
      <c r="O30" s="107"/>
      <c r="P30" s="107"/>
      <c r="Q30" s="107"/>
    </row>
    <row r="31" spans="2:17" ht="18.600000000000001">
      <c r="B31" s="625" t="s">
        <v>700</v>
      </c>
      <c r="C31" s="625" t="s">
        <v>849</v>
      </c>
      <c r="D31" s="668">
        <v>0</v>
      </c>
      <c r="E31" s="1075">
        <v>0</v>
      </c>
      <c r="F31" s="1075">
        <v>0</v>
      </c>
      <c r="G31" s="1075">
        <v>0</v>
      </c>
      <c r="H31" s="1075">
        <v>0</v>
      </c>
      <c r="I31" s="858"/>
      <c r="J31" s="858"/>
      <c r="L31" s="40"/>
      <c r="M31" s="107"/>
      <c r="N31" s="107"/>
      <c r="O31" s="107"/>
      <c r="P31" s="107"/>
      <c r="Q31" s="107"/>
    </row>
    <row r="32" spans="2:17" ht="18.600000000000001">
      <c r="B32" s="625" t="s">
        <v>702</v>
      </c>
      <c r="C32" s="625" t="s">
        <v>849</v>
      </c>
      <c r="D32" s="668">
        <v>121257</v>
      </c>
      <c r="E32" s="1075">
        <v>125196</v>
      </c>
      <c r="F32" s="1075">
        <v>118356</v>
      </c>
      <c r="G32" s="1075">
        <v>119005</v>
      </c>
      <c r="H32" s="1075">
        <v>129337</v>
      </c>
      <c r="I32" s="858">
        <f t="shared" si="2"/>
        <v>-3.1462666538867055E-2</v>
      </c>
      <c r="J32" s="858">
        <f>(D32-H32)/H32</f>
        <v>-6.2472455677802949E-2</v>
      </c>
      <c r="L32" s="40"/>
      <c r="M32" s="107"/>
      <c r="N32" s="107"/>
      <c r="O32" s="107"/>
      <c r="P32" s="107"/>
      <c r="Q32" s="107"/>
    </row>
    <row r="33" spans="2:18" ht="18.600000000000001">
      <c r="B33" s="624" t="s">
        <v>850</v>
      </c>
      <c r="C33" s="827" t="s">
        <v>851</v>
      </c>
      <c r="D33" s="668">
        <f>SUM(D18:D32)</f>
        <v>3026404.2218367024</v>
      </c>
      <c r="E33" s="687">
        <f>SUM(E18:E32)</f>
        <v>2955578.5654387604</v>
      </c>
      <c r="F33" s="687">
        <f>SUM(F18:F32)</f>
        <v>3482951.2399999998</v>
      </c>
      <c r="G33" s="687">
        <f>SUM(G18:G32)</f>
        <v>3364865.24</v>
      </c>
      <c r="H33" s="687">
        <f>SUM(H18:H32)</f>
        <v>4151963.03</v>
      </c>
      <c r="I33" s="859">
        <f>(D33-E33)/E33</f>
        <v>2.3963381392105815E-2</v>
      </c>
      <c r="J33" s="858">
        <f>(D33-H33)/H33</f>
        <v>-0.27109075876412547</v>
      </c>
      <c r="L33" s="40"/>
      <c r="M33" s="107"/>
      <c r="N33" s="107"/>
      <c r="O33" s="107"/>
      <c r="P33" s="107"/>
      <c r="Q33" s="107"/>
    </row>
    <row r="34" spans="2:18" ht="13.8">
      <c r="B34" s="124"/>
      <c r="C34" s="828"/>
      <c r="D34" s="785"/>
      <c r="E34" s="785"/>
      <c r="F34" s="785"/>
      <c r="G34" s="127"/>
      <c r="H34" s="127"/>
      <c r="I34" s="807"/>
      <c r="J34" s="807"/>
      <c r="K34" s="123"/>
      <c r="L34" s="40"/>
      <c r="M34" s="107"/>
      <c r="N34" s="107"/>
      <c r="O34" s="107"/>
      <c r="P34" s="107"/>
      <c r="Q34" s="107"/>
    </row>
    <row r="35" spans="2:18" ht="40.5" customHeight="1">
      <c r="B35" s="932" t="s">
        <v>852</v>
      </c>
      <c r="C35" s="822" t="s">
        <v>544</v>
      </c>
      <c r="D35" s="921" t="s">
        <v>545</v>
      </c>
      <c r="E35" s="927" t="str">
        <f>E17</f>
        <v>2022/23</v>
      </c>
      <c r="F35" s="927" t="str">
        <f>F17</f>
        <v>2021/22</v>
      </c>
      <c r="G35" s="927" t="str">
        <f>G17</f>
        <v>2020/21</v>
      </c>
      <c r="H35" s="927" t="str">
        <f>H17</f>
        <v>2019/20</v>
      </c>
      <c r="I35" s="819" t="s">
        <v>847</v>
      </c>
      <c r="J35" s="819" t="s">
        <v>848</v>
      </c>
      <c r="L35" s="128"/>
      <c r="M35" s="128"/>
      <c r="N35" s="107"/>
      <c r="O35" s="107"/>
      <c r="P35" s="107"/>
      <c r="Q35" s="107"/>
    </row>
    <row r="36" spans="2:18" ht="15">
      <c r="B36" s="608" t="str">
        <f>B10</f>
        <v>Total Scope 1 GHG emissions</v>
      </c>
      <c r="C36" s="829" t="s">
        <v>675</v>
      </c>
      <c r="D36" s="1223">
        <f>D10</f>
        <v>215429</v>
      </c>
      <c r="E36" s="820">
        <f>E10</f>
        <v>215368</v>
      </c>
      <c r="F36" s="820">
        <f t="shared" ref="E36:H37" si="4">F10</f>
        <v>226536</v>
      </c>
      <c r="G36" s="820">
        <f t="shared" si="4"/>
        <v>229356</v>
      </c>
      <c r="H36" s="820">
        <f t="shared" si="4"/>
        <v>228143</v>
      </c>
      <c r="I36" s="814">
        <f>(D36-E36)/E36</f>
        <v>2.8323613535901341E-4</v>
      </c>
      <c r="J36" s="814">
        <f t="shared" ref="J36:J42" si="5">(D36-H36)/H36</f>
        <v>-5.5728205555287694E-2</v>
      </c>
      <c r="M36" s="1123"/>
      <c r="N36" s="107"/>
      <c r="O36" s="107"/>
      <c r="P36" s="107"/>
      <c r="Q36" s="107"/>
    </row>
    <row r="37" spans="2:18" ht="15">
      <c r="B37" s="608" t="str">
        <f>B11</f>
        <v>Total Scope 2 GHG emissions (market-based)</v>
      </c>
      <c r="C37" s="829" t="s">
        <v>675</v>
      </c>
      <c r="D37" s="1223">
        <f>D11</f>
        <v>66974</v>
      </c>
      <c r="E37" s="820">
        <f t="shared" si="4"/>
        <v>129542</v>
      </c>
      <c r="F37" s="820">
        <f t="shared" si="4"/>
        <v>168715</v>
      </c>
      <c r="G37" s="820">
        <f t="shared" si="4"/>
        <v>167529</v>
      </c>
      <c r="H37" s="820">
        <f t="shared" si="4"/>
        <v>177627</v>
      </c>
      <c r="I37" s="814">
        <f t="shared" ref="I37:I40" si="6">(D37-E37)/E37</f>
        <v>-0.48299393246977812</v>
      </c>
      <c r="J37" s="814">
        <f t="shared" si="5"/>
        <v>-0.62295146571185689</v>
      </c>
      <c r="M37" s="1123"/>
      <c r="N37" s="107"/>
      <c r="O37" s="107"/>
      <c r="P37" s="107"/>
      <c r="Q37" s="107"/>
    </row>
    <row r="38" spans="2:18" ht="15">
      <c r="B38" s="608" t="str">
        <f>"Scope 3 - "&amp;B18</f>
        <v>Scope 3 - Total Scope 3 (Category 1) Purchased goods and services GHG emissions</v>
      </c>
      <c r="C38" s="829" t="s">
        <v>675</v>
      </c>
      <c r="D38" s="1223">
        <f>D18</f>
        <v>2531576</v>
      </c>
      <c r="E38" s="820">
        <f>E18</f>
        <v>2450529</v>
      </c>
      <c r="F38" s="820">
        <f>F18</f>
        <v>2978197</v>
      </c>
      <c r="G38" s="820">
        <f>G18</f>
        <v>2812518</v>
      </c>
      <c r="H38" s="820">
        <f>H18</f>
        <v>3433660</v>
      </c>
      <c r="I38" s="814">
        <f t="shared" si="6"/>
        <v>3.3073267037443753E-2</v>
      </c>
      <c r="J38" s="814">
        <f t="shared" si="5"/>
        <v>-0.26271791615943335</v>
      </c>
      <c r="M38" s="1123"/>
      <c r="N38" s="107"/>
      <c r="O38" s="107"/>
      <c r="P38" s="107"/>
      <c r="Q38" s="107"/>
    </row>
    <row r="39" spans="2:18" ht="15">
      <c r="B39" s="608" t="str">
        <f>"Scope 3 - All other categories"</f>
        <v>Scope 3 - All other categories</v>
      </c>
      <c r="C39" s="829" t="s">
        <v>675</v>
      </c>
      <c r="D39" s="1223">
        <f>D33-D18</f>
        <v>494828.22183670243</v>
      </c>
      <c r="E39" s="820">
        <f>E33-E18</f>
        <v>505049.56543876044</v>
      </c>
      <c r="F39" s="820">
        <f>F33-F18</f>
        <v>504754.23999999976</v>
      </c>
      <c r="G39" s="820">
        <f>G33-G18</f>
        <v>552347.24000000022</v>
      </c>
      <c r="H39" s="820">
        <f>H33-H18</f>
        <v>718303.0299999998</v>
      </c>
      <c r="I39" s="814">
        <f t="shared" si="6"/>
        <v>-2.0238297984036969E-2</v>
      </c>
      <c r="J39" s="814">
        <f t="shared" si="5"/>
        <v>-0.31111494568427123</v>
      </c>
      <c r="M39" s="1123"/>
      <c r="N39" s="107"/>
      <c r="O39" s="107"/>
      <c r="P39" s="107"/>
      <c r="Q39" s="107"/>
    </row>
    <row r="40" spans="2:18" ht="18.600000000000001">
      <c r="B40" s="600" t="s">
        <v>853</v>
      </c>
      <c r="C40" s="827" t="s">
        <v>851</v>
      </c>
      <c r="D40" s="668">
        <f>SUM(D36:D39)</f>
        <v>3308807.2218367024</v>
      </c>
      <c r="E40" s="687">
        <f>SUM(E36:E39)</f>
        <v>3300488.5654387604</v>
      </c>
      <c r="F40" s="687">
        <f t="shared" ref="F40:H40" si="7">SUM(F36:F39)</f>
        <v>3878202.2399999998</v>
      </c>
      <c r="G40" s="687">
        <f t="shared" si="7"/>
        <v>3761750.24</v>
      </c>
      <c r="H40" s="687">
        <f t="shared" si="7"/>
        <v>4557733.0299999993</v>
      </c>
      <c r="I40" s="858">
        <f t="shared" si="6"/>
        <v>2.5204318188074442E-3</v>
      </c>
      <c r="J40" s="858">
        <f t="shared" si="5"/>
        <v>-0.27402346735594058</v>
      </c>
      <c r="L40" s="1123"/>
      <c r="M40" s="387"/>
      <c r="N40" s="107"/>
      <c r="O40" s="107"/>
      <c r="P40" s="107"/>
      <c r="Q40" s="107"/>
    </row>
    <row r="41" spans="2:18" ht="34.799999999999997">
      <c r="B41" s="613" t="s">
        <v>854</v>
      </c>
      <c r="C41" s="823" t="s">
        <v>855</v>
      </c>
      <c r="D41" s="672">
        <f>D40/D153</f>
        <v>30.66549788541893</v>
      </c>
      <c r="E41" s="821">
        <f>E40/E153</f>
        <v>30.524370657237846</v>
      </c>
      <c r="F41" s="821">
        <f>F40/F153</f>
        <v>35.405647902915973</v>
      </c>
      <c r="G41" s="821">
        <f>G40/G153</f>
        <v>35.413594570287017</v>
      </c>
      <c r="H41" s="821">
        <f>H40/H153</f>
        <v>40.279563847096206</v>
      </c>
      <c r="I41" s="858">
        <f>(D41-E41)/E41</f>
        <v>4.6234279410972932E-3</v>
      </c>
      <c r="J41" s="858">
        <f t="shared" si="5"/>
        <v>-0.23868346733278653</v>
      </c>
      <c r="K41" s="128"/>
      <c r="L41" s="107"/>
      <c r="M41" s="107"/>
      <c r="N41" s="107"/>
      <c r="O41" s="107"/>
      <c r="P41" s="107"/>
      <c r="Q41" s="107"/>
    </row>
    <row r="42" spans="2:18" ht="34.799999999999997">
      <c r="B42" s="613" t="s">
        <v>856</v>
      </c>
      <c r="C42" s="823" t="s">
        <v>857</v>
      </c>
      <c r="D42" s="672">
        <f>D40/D154</f>
        <v>257.63507138804817</v>
      </c>
      <c r="E42" s="821">
        <f>E40/E154</f>
        <v>221.01979277029133</v>
      </c>
      <c r="F42" s="821">
        <f>F40/F154</f>
        <v>242.00950015600623</v>
      </c>
      <c r="G42" s="821">
        <f>G40/G154</f>
        <v>243.71559701976031</v>
      </c>
      <c r="H42" s="821">
        <f>H40/H154</f>
        <v>312.66605131371335</v>
      </c>
      <c r="I42" s="858">
        <f>(D42-E42)/E42</f>
        <v>0.16566515676635155</v>
      </c>
      <c r="J42" s="858">
        <f t="shared" si="5"/>
        <v>-0.17600561267986803</v>
      </c>
      <c r="K42" s="128"/>
      <c r="L42" s="107"/>
      <c r="M42" s="107"/>
      <c r="N42" s="107"/>
      <c r="O42" s="107"/>
      <c r="P42" s="107"/>
      <c r="Q42" s="107"/>
    </row>
    <row r="43" spans="2:18" ht="16.2">
      <c r="B43" s="1067"/>
      <c r="C43" s="1224"/>
      <c r="D43" s="1225"/>
      <c r="E43" s="1226"/>
      <c r="F43" s="1068"/>
      <c r="G43" s="1068"/>
      <c r="H43" s="1068"/>
      <c r="I43" s="1069"/>
      <c r="J43" s="1069"/>
      <c r="K43" s="128"/>
      <c r="L43" s="107"/>
      <c r="M43" s="107"/>
      <c r="N43" s="107"/>
      <c r="O43" s="107"/>
      <c r="P43" s="107"/>
      <c r="Q43" s="107"/>
    </row>
    <row r="44" spans="2:18" ht="39" customHeight="1">
      <c r="B44" s="932" t="s">
        <v>858</v>
      </c>
      <c r="C44" s="822" t="s">
        <v>544</v>
      </c>
      <c r="D44" s="921" t="s">
        <v>545</v>
      </c>
      <c r="E44" s="927" t="s">
        <v>546</v>
      </c>
      <c r="F44" s="927" t="s">
        <v>547</v>
      </c>
      <c r="G44" s="927" t="s">
        <v>859</v>
      </c>
      <c r="H44" s="926" t="s">
        <v>549</v>
      </c>
      <c r="I44" s="819" t="s">
        <v>847</v>
      </c>
      <c r="J44" s="819" t="s">
        <v>848</v>
      </c>
      <c r="K44" s="128"/>
      <c r="L44" s="107"/>
      <c r="M44" s="107"/>
      <c r="N44" s="107"/>
      <c r="O44" s="107"/>
      <c r="P44" s="107"/>
      <c r="Q44" s="107"/>
    </row>
    <row r="45" spans="2:18" ht="18.600000000000001">
      <c r="B45" s="600" t="s">
        <v>860</v>
      </c>
      <c r="C45" s="827" t="s">
        <v>851</v>
      </c>
      <c r="D45" s="668">
        <v>1110057</v>
      </c>
      <c r="E45" s="687">
        <v>841721</v>
      </c>
      <c r="F45" s="687">
        <v>475995</v>
      </c>
      <c r="G45" s="687">
        <v>223946</v>
      </c>
      <c r="H45" s="1076"/>
      <c r="I45" s="858">
        <f>(D45-E45)/E45</f>
        <v>0.31879446990154697</v>
      </c>
      <c r="J45" s="858">
        <f>(D45-G45)/G45</f>
        <v>3.9568065515793984</v>
      </c>
      <c r="K45" s="128"/>
      <c r="L45" s="107"/>
      <c r="M45" s="107"/>
      <c r="N45" s="107"/>
      <c r="O45" s="107"/>
      <c r="P45" s="107"/>
      <c r="Q45" s="107"/>
    </row>
    <row r="46" spans="2:18" ht="13.8">
      <c r="C46" s="67"/>
      <c r="D46" s="64"/>
      <c r="J46" s="127"/>
      <c r="K46" s="128"/>
      <c r="L46" s="128"/>
      <c r="M46" s="107"/>
      <c r="N46" s="107"/>
      <c r="O46" s="107"/>
      <c r="P46" s="107"/>
      <c r="Q46" s="107"/>
      <c r="R46" s="107"/>
    </row>
    <row r="47" spans="2:18" ht="19.8">
      <c r="B47" s="930" t="s">
        <v>805</v>
      </c>
      <c r="C47" s="919"/>
      <c r="D47" s="920"/>
      <c r="E47" s="920"/>
      <c r="F47" s="920"/>
      <c r="G47" s="920"/>
      <c r="H47" s="931"/>
      <c r="I47" s="931"/>
      <c r="J47" s="931"/>
      <c r="K47" s="128"/>
      <c r="L47" s="128"/>
      <c r="M47" s="107"/>
      <c r="N47" s="107"/>
      <c r="O47" s="107"/>
    </row>
    <row r="48" spans="2:18" ht="13.8">
      <c r="B48" s="126"/>
      <c r="C48" s="830"/>
      <c r="D48" s="126"/>
      <c r="E48" s="126"/>
      <c r="F48" s="126"/>
      <c r="G48" s="126"/>
      <c r="H48" s="127"/>
      <c r="I48" s="127"/>
      <c r="J48" s="127"/>
      <c r="K48" s="128"/>
      <c r="L48" s="128"/>
      <c r="M48" s="107"/>
      <c r="N48" s="107"/>
      <c r="O48" s="107"/>
      <c r="P48" s="107"/>
      <c r="Q48" s="107"/>
      <c r="R48" s="107"/>
    </row>
    <row r="49" spans="2:16" ht="42" customHeight="1">
      <c r="B49" s="1420" t="s">
        <v>560</v>
      </c>
      <c r="C49" s="1422" t="s">
        <v>544</v>
      </c>
      <c r="D49" s="921" t="s">
        <v>545</v>
      </c>
      <c r="E49" s="926" t="s">
        <v>546</v>
      </c>
      <c r="F49" s="926" t="s">
        <v>547</v>
      </c>
      <c r="G49" s="926" t="s">
        <v>548</v>
      </c>
      <c r="H49" s="926" t="s">
        <v>549</v>
      </c>
      <c r="I49" s="819" t="str">
        <f>I101</f>
        <v>Performance against prior year</v>
      </c>
      <c r="J49" s="808"/>
      <c r="L49" s="128"/>
      <c r="M49" s="107"/>
      <c r="N49" s="107"/>
      <c r="O49" s="107"/>
      <c r="P49" s="107"/>
    </row>
    <row r="50" spans="2:16" ht="13.8">
      <c r="B50" s="1420"/>
      <c r="C50" s="1422"/>
      <c r="D50" s="926" t="s">
        <v>550</v>
      </c>
      <c r="E50" s="926" t="s">
        <v>550</v>
      </c>
      <c r="F50" s="926" t="s">
        <v>550</v>
      </c>
      <c r="G50" s="926" t="s">
        <v>550</v>
      </c>
      <c r="H50" s="926" t="s">
        <v>550</v>
      </c>
      <c r="I50" s="926" t="s">
        <v>550</v>
      </c>
      <c r="J50" s="808"/>
      <c r="M50" s="107"/>
      <c r="N50" s="107"/>
      <c r="O50" s="119"/>
      <c r="P50" s="107"/>
    </row>
    <row r="51" spans="2:16" ht="16.2">
      <c r="B51" s="619" t="s">
        <v>561</v>
      </c>
      <c r="C51" s="832" t="s">
        <v>562</v>
      </c>
      <c r="D51" s="673">
        <v>1211683</v>
      </c>
      <c r="E51" s="620">
        <v>1208836</v>
      </c>
      <c r="F51" s="620">
        <v>1275821</v>
      </c>
      <c r="G51" s="620">
        <v>1204571</v>
      </c>
      <c r="H51" s="620">
        <v>1236160</v>
      </c>
      <c r="I51" s="859">
        <f>(D51-E51)/E51</f>
        <v>2.3551581852294273E-3</v>
      </c>
      <c r="J51" s="808"/>
      <c r="M51" s="107"/>
      <c r="N51" s="107"/>
      <c r="O51" s="119"/>
      <c r="P51" s="107"/>
    </row>
    <row r="52" spans="2:16" ht="16.2">
      <c r="B52" s="619" t="s">
        <v>563</v>
      </c>
      <c r="C52" s="833" t="s">
        <v>564</v>
      </c>
      <c r="D52" s="674">
        <v>11.23</v>
      </c>
      <c r="E52" s="621">
        <v>11.18</v>
      </c>
      <c r="F52" s="621">
        <v>11.65</v>
      </c>
      <c r="G52" s="621">
        <v>11.34</v>
      </c>
      <c r="H52" s="621">
        <v>10.92</v>
      </c>
      <c r="I52" s="859">
        <f>(D52-E52)/E52</f>
        <v>4.4722719141324432E-3</v>
      </c>
      <c r="J52" s="808"/>
      <c r="M52" s="107"/>
      <c r="N52" s="107"/>
      <c r="O52" s="119"/>
      <c r="P52" s="107"/>
    </row>
    <row r="53" spans="2:16" ht="16.2">
      <c r="B53" s="622" t="s">
        <v>578</v>
      </c>
      <c r="C53" s="622" t="s">
        <v>840</v>
      </c>
      <c r="D53" s="781">
        <v>0.56559999999999999</v>
      </c>
      <c r="E53" s="1156">
        <v>0.41170000000000001</v>
      </c>
      <c r="F53" s="1156">
        <v>0.32319999999999999</v>
      </c>
      <c r="G53" s="1156">
        <v>0.2898</v>
      </c>
      <c r="H53" s="1156">
        <v>0.25879999999999997</v>
      </c>
      <c r="I53" s="859">
        <f>(D53-E53)/E53</f>
        <v>0.37381588535341265</v>
      </c>
      <c r="J53" s="809"/>
      <c r="K53" s="107"/>
      <c r="N53" s="107"/>
    </row>
    <row r="54" spans="2:16" ht="16.2">
      <c r="B54" s="622" t="s">
        <v>861</v>
      </c>
      <c r="C54" s="622" t="s">
        <v>840</v>
      </c>
      <c r="D54" s="781">
        <v>0.2273</v>
      </c>
      <c r="E54" s="1156">
        <v>0.16439999999999999</v>
      </c>
      <c r="F54" s="1156">
        <v>0.127</v>
      </c>
      <c r="G54" s="1156">
        <v>0.1147</v>
      </c>
      <c r="H54" s="1156">
        <v>0.1046</v>
      </c>
      <c r="I54" s="859">
        <f>(D54-E54)/E54</f>
        <v>0.38260340632603418</v>
      </c>
      <c r="J54" s="809"/>
      <c r="K54" s="107"/>
      <c r="N54" s="107"/>
    </row>
    <row r="55" spans="2:16" ht="13.8">
      <c r="B55" s="152"/>
      <c r="C55" s="830"/>
      <c r="D55" s="1083"/>
      <c r="E55" s="810"/>
      <c r="F55" s="810"/>
      <c r="G55" s="127"/>
      <c r="H55" s="128"/>
      <c r="I55" s="808"/>
      <c r="J55" s="808"/>
      <c r="K55" s="107"/>
      <c r="N55" s="107"/>
      <c r="O55" s="107"/>
      <c r="P55" s="119"/>
    </row>
    <row r="56" spans="2:16" ht="45.6" customHeight="1">
      <c r="B56" s="667" t="s">
        <v>862</v>
      </c>
      <c r="C56" s="831" t="s">
        <v>544</v>
      </c>
      <c r="D56" s="921" t="s">
        <v>545</v>
      </c>
      <c r="E56" s="926" t="s">
        <v>546</v>
      </c>
      <c r="F56" s="926" t="s">
        <v>547</v>
      </c>
      <c r="G56" s="926" t="s">
        <v>548</v>
      </c>
      <c r="H56" s="926" t="s">
        <v>549</v>
      </c>
      <c r="I56" s="819" t="s">
        <v>847</v>
      </c>
      <c r="J56" s="819" t="s">
        <v>848</v>
      </c>
      <c r="L56" s="107"/>
      <c r="M56" s="107"/>
      <c r="N56" s="107"/>
      <c r="O56" s="119"/>
    </row>
    <row r="57" spans="2:16" ht="21.6" hidden="1" customHeight="1">
      <c r="B57" s="615" t="s">
        <v>813</v>
      </c>
      <c r="C57" s="618" t="s">
        <v>815</v>
      </c>
      <c r="D57" s="811"/>
      <c r="E57" s="812">
        <f t="shared" ref="E57:H65" si="8">E67*0.0036</f>
        <v>4268204.0532</v>
      </c>
      <c r="F57" s="812">
        <f t="shared" ref="F57:H63" si="9">F67*0.0036</f>
        <v>4470500.8043999998</v>
      </c>
      <c r="G57" s="813">
        <f t="shared" si="9"/>
        <v>4206015.5760000004</v>
      </c>
      <c r="H57" s="813">
        <f t="shared" si="9"/>
        <v>4327636.1075999998</v>
      </c>
      <c r="I57" s="814">
        <f t="shared" ref="I57:I61" si="10">(E57-F57)/F57</f>
        <v>-4.5251474063239927E-2</v>
      </c>
      <c r="J57" s="814">
        <f t="shared" ref="J57:J61" si="11">(E57-H57)/H57</f>
        <v>-1.3733145052475158E-2</v>
      </c>
      <c r="L57" s="107"/>
      <c r="M57" s="107"/>
      <c r="N57" s="107"/>
      <c r="O57" s="119"/>
    </row>
    <row r="58" spans="2:16" ht="21.6" hidden="1" customHeight="1">
      <c r="B58" s="615" t="s">
        <v>816</v>
      </c>
      <c r="C58" s="618" t="s">
        <v>815</v>
      </c>
      <c r="D58" s="811"/>
      <c r="E58" s="812">
        <f t="shared" si="8"/>
        <v>1737686.16432</v>
      </c>
      <c r="F58" s="812">
        <f t="shared" si="9"/>
        <v>1804844.6841599999</v>
      </c>
      <c r="G58" s="813">
        <f t="shared" si="9"/>
        <v>1715910.9098399999</v>
      </c>
      <c r="H58" s="813">
        <f t="shared" si="9"/>
        <v>1799309.0692799999</v>
      </c>
      <c r="I58" s="814">
        <f t="shared" si="10"/>
        <v>-3.7210138040912083E-2</v>
      </c>
      <c r="J58" s="814">
        <f t="shared" si="11"/>
        <v>-3.4248093344329433E-2</v>
      </c>
      <c r="L58" s="107"/>
      <c r="M58" s="107"/>
      <c r="N58" s="107"/>
      <c r="O58" s="119"/>
    </row>
    <row r="59" spans="2:16" ht="21.6" hidden="1" customHeight="1">
      <c r="B59" s="615" t="s">
        <v>818</v>
      </c>
      <c r="C59" s="618" t="s">
        <v>815</v>
      </c>
      <c r="D59" s="811"/>
      <c r="E59" s="812">
        <f t="shared" si="8"/>
        <v>2331397.57284</v>
      </c>
      <c r="F59" s="812">
        <f t="shared" si="9"/>
        <v>2452786.6607999997</v>
      </c>
      <c r="G59" s="813">
        <f t="shared" si="9"/>
        <v>2322854.5845599999</v>
      </c>
      <c r="H59" s="813">
        <f t="shared" si="9"/>
        <v>2351263.0111199999</v>
      </c>
      <c r="I59" s="814">
        <f t="shared" si="10"/>
        <v>-4.9490275652594867E-2</v>
      </c>
      <c r="J59" s="814">
        <f t="shared" si="11"/>
        <v>-8.4488371509477325E-3</v>
      </c>
      <c r="L59" s="107"/>
      <c r="M59" s="107"/>
      <c r="N59" s="107"/>
      <c r="O59" s="119"/>
    </row>
    <row r="60" spans="2:16" ht="21.6" hidden="1" customHeight="1">
      <c r="B60" s="615" t="s">
        <v>820</v>
      </c>
      <c r="C60" s="618" t="s">
        <v>815</v>
      </c>
      <c r="D60" s="811"/>
      <c r="E60" s="812">
        <f>986948044*0.0036</f>
        <v>3553012.9583999999</v>
      </c>
      <c r="F60" s="812">
        <f t="shared" si="9"/>
        <v>4009546.7171999998</v>
      </c>
      <c r="G60" s="813">
        <f t="shared" si="9"/>
        <v>3839163.5519999997</v>
      </c>
      <c r="H60" s="813">
        <f t="shared" si="9"/>
        <v>3984474.0995999998</v>
      </c>
      <c r="I60" s="814">
        <f t="shared" si="10"/>
        <v>-0.11386168836531545</v>
      </c>
      <c r="J60" s="814">
        <f t="shared" si="11"/>
        <v>-0.10828559313343615</v>
      </c>
      <c r="L60" s="107"/>
      <c r="M60" s="107"/>
      <c r="N60" s="107"/>
      <c r="O60" s="119"/>
    </row>
    <row r="61" spans="2:16" ht="21.6" hidden="1" customHeight="1">
      <c r="B61" s="616" t="s">
        <v>822</v>
      </c>
      <c r="C61" s="618" t="s">
        <v>815</v>
      </c>
      <c r="D61" s="811"/>
      <c r="E61" s="812">
        <f>E71*0.0036</f>
        <v>2574307.0962</v>
      </c>
      <c r="F61" s="812">
        <f t="shared" si="9"/>
        <v>2754405.1796399998</v>
      </c>
      <c r="G61" s="813">
        <f t="shared" si="9"/>
        <v>2618211.2378400001</v>
      </c>
      <c r="H61" s="813">
        <f t="shared" si="9"/>
        <v>2630156.8273200002</v>
      </c>
      <c r="I61" s="814">
        <f t="shared" si="10"/>
        <v>-6.5385472250505464E-2</v>
      </c>
      <c r="J61" s="814">
        <f t="shared" si="11"/>
        <v>-2.1234373000072488E-2</v>
      </c>
      <c r="L61" s="107"/>
      <c r="M61" s="107"/>
      <c r="N61" s="107"/>
      <c r="O61" s="119"/>
    </row>
    <row r="62" spans="2:16" ht="21.6" hidden="1" customHeight="1">
      <c r="B62" s="616" t="s">
        <v>824</v>
      </c>
      <c r="C62" s="618" t="s">
        <v>815</v>
      </c>
      <c r="D62" s="811"/>
      <c r="E62" s="812">
        <f>E72*0.0036</f>
        <v>925119.04031999991</v>
      </c>
      <c r="F62" s="812">
        <f t="shared" si="9"/>
        <v>1114836.9109199999</v>
      </c>
      <c r="G62" s="813">
        <f t="shared" si="9"/>
        <v>1103842.4320799999</v>
      </c>
      <c r="H62" s="813">
        <f t="shared" si="9"/>
        <v>1237988.2334399999</v>
      </c>
      <c r="I62" s="814">
        <f t="shared" ref="I62:I65" si="12">(E62-F62)/F62</f>
        <v>-0.17017544785401717</v>
      </c>
      <c r="J62" s="814">
        <f t="shared" ref="J62:J65" si="13">(E62-H62)/H62</f>
        <v>-0.25272388272272173</v>
      </c>
      <c r="L62" s="107"/>
      <c r="M62" s="107"/>
      <c r="N62" s="107"/>
      <c r="O62" s="119"/>
    </row>
    <row r="63" spans="2:16" ht="21.6" hidden="1" customHeight="1">
      <c r="B63" s="617" t="s">
        <v>826</v>
      </c>
      <c r="C63" s="618" t="s">
        <v>815</v>
      </c>
      <c r="D63" s="811"/>
      <c r="E63" s="812">
        <f>E73*0.0036</f>
        <v>124706.229444</v>
      </c>
      <c r="F63" s="812">
        <f t="shared" si="9"/>
        <v>109428.070284</v>
      </c>
      <c r="G63" s="813">
        <f t="shared" si="9"/>
        <v>108413.297964</v>
      </c>
      <c r="H63" s="813">
        <f t="shared" si="9"/>
        <v>116329.038048</v>
      </c>
      <c r="I63" s="814">
        <f t="shared" si="12"/>
        <v>0.13961828185719077</v>
      </c>
      <c r="J63" s="814">
        <f t="shared" si="13"/>
        <v>7.2012900102753158E-2</v>
      </c>
      <c r="L63" s="107"/>
      <c r="M63" s="107"/>
      <c r="N63" s="107"/>
      <c r="O63" s="119"/>
    </row>
    <row r="64" spans="2:16" ht="38.4" hidden="1" customHeight="1">
      <c r="B64" s="617" t="s">
        <v>828</v>
      </c>
      <c r="C64" s="618" t="s">
        <v>815</v>
      </c>
      <c r="D64" s="811"/>
      <c r="E64" s="812">
        <f>E74*0.0036</f>
        <v>12216.324132</v>
      </c>
      <c r="F64" s="812">
        <f t="shared" si="8"/>
        <v>30876.556895999998</v>
      </c>
      <c r="G64" s="812">
        <f t="shared" si="8"/>
        <v>8696.584476</v>
      </c>
      <c r="H64" s="812" t="s">
        <v>830</v>
      </c>
      <c r="I64" s="814">
        <f t="shared" si="12"/>
        <v>-0.60434953375314326</v>
      </c>
      <c r="J64" s="814" t="e">
        <f t="shared" si="13"/>
        <v>#VALUE!</v>
      </c>
      <c r="L64" s="119"/>
      <c r="M64" s="119"/>
      <c r="N64" s="119"/>
      <c r="O64" s="119"/>
    </row>
    <row r="65" spans="2:18" ht="21.6" hidden="1" customHeight="1">
      <c r="B65" s="618" t="s">
        <v>831</v>
      </c>
      <c r="C65" s="618" t="s">
        <v>815</v>
      </c>
      <c r="D65" s="811"/>
      <c r="E65" s="812">
        <f>E75*0.0036</f>
        <v>715462.30584000004</v>
      </c>
      <c r="F65" s="812">
        <f t="shared" si="8"/>
        <v>583408.23624</v>
      </c>
      <c r="G65" s="813">
        <f t="shared" si="8"/>
        <v>497293.23455999995</v>
      </c>
      <c r="H65" s="813">
        <f t="shared" si="8"/>
        <v>465701.84424000001</v>
      </c>
      <c r="I65" s="814">
        <f t="shared" si="12"/>
        <v>0.22634934064536621</v>
      </c>
      <c r="J65" s="814">
        <f t="shared" si="13"/>
        <v>0.53630979711406446</v>
      </c>
      <c r="L65" s="119"/>
      <c r="M65" s="119"/>
      <c r="N65" s="119"/>
      <c r="O65" s="119"/>
    </row>
    <row r="66" spans="2:18" ht="21.6" hidden="1" customHeight="1">
      <c r="B66" s="587"/>
      <c r="C66" s="834"/>
      <c r="D66" s="815"/>
      <c r="E66" s="815"/>
      <c r="F66" s="815"/>
      <c r="G66" s="815"/>
      <c r="H66" s="815"/>
      <c r="I66" s="816"/>
      <c r="J66" s="816"/>
      <c r="K66" s="13"/>
      <c r="O66" s="119"/>
    </row>
    <row r="67" spans="2:18" ht="13.5" hidden="1" customHeight="1">
      <c r="B67" s="615" t="s">
        <v>813</v>
      </c>
      <c r="C67" s="618" t="s">
        <v>576</v>
      </c>
      <c r="D67" s="811"/>
      <c r="E67" s="812">
        <v>1185612237</v>
      </c>
      <c r="F67" s="812">
        <v>1241805779</v>
      </c>
      <c r="G67" s="813">
        <v>1168337660</v>
      </c>
      <c r="H67" s="813">
        <v>1202121141</v>
      </c>
      <c r="I67" s="814">
        <f t="shared" ref="I67" si="14">(E67-F67)/F67</f>
        <v>-4.5251474063239962E-2</v>
      </c>
      <c r="J67" s="814">
        <f t="shared" ref="J67" si="15">(E67-H67)/H67</f>
        <v>-1.3733145052475207E-2</v>
      </c>
      <c r="K67" s="119"/>
      <c r="M67" s="65"/>
      <c r="N67" s="149"/>
    </row>
    <row r="68" spans="2:18" ht="16.2">
      <c r="B68" s="623" t="s">
        <v>816</v>
      </c>
      <c r="C68" s="618" t="s">
        <v>576</v>
      </c>
      <c r="D68" s="670">
        <v>486935911.60000002</v>
      </c>
      <c r="E68" s="787">
        <v>482690601.19999999</v>
      </c>
      <c r="F68" s="787">
        <v>501345745.60000002</v>
      </c>
      <c r="G68" s="804">
        <v>476641919.39999998</v>
      </c>
      <c r="H68" s="804">
        <v>499808074.80000001</v>
      </c>
      <c r="I68" s="859">
        <f t="shared" ref="I68:I76" si="16">(D68-E68)/E68</f>
        <v>8.7950964643726641E-3</v>
      </c>
      <c r="J68" s="859">
        <f t="shared" ref="J68:J73" si="17">(D68-H68)/H68</f>
        <v>-2.5754212164641056E-2</v>
      </c>
      <c r="K68" s="119"/>
      <c r="M68" s="65"/>
      <c r="N68" s="149"/>
    </row>
    <row r="69" spans="2:18" ht="16.2">
      <c r="B69" s="623" t="s">
        <v>818</v>
      </c>
      <c r="C69" s="618" t="s">
        <v>576</v>
      </c>
      <c r="D69" s="670">
        <v>676592380.29999995</v>
      </c>
      <c r="E69" s="787">
        <v>647610436.89999998</v>
      </c>
      <c r="F69" s="787">
        <v>681329628</v>
      </c>
      <c r="G69" s="804">
        <v>645237384.60000002</v>
      </c>
      <c r="H69" s="804">
        <v>653128614.20000005</v>
      </c>
      <c r="I69" s="859">
        <f t="shared" si="16"/>
        <v>4.4752125272612291E-2</v>
      </c>
      <c r="J69" s="859">
        <f t="shared" si="17"/>
        <v>3.5925184703077283E-2</v>
      </c>
      <c r="K69" s="119"/>
      <c r="M69" s="65"/>
      <c r="N69" s="149"/>
    </row>
    <row r="70" spans="2:18" ht="16.2">
      <c r="B70" s="623" t="s">
        <v>820</v>
      </c>
      <c r="C70" s="618" t="s">
        <v>576</v>
      </c>
      <c r="D70" s="670">
        <v>936278140.20000005</v>
      </c>
      <c r="E70" s="787">
        <v>1010096858</v>
      </c>
      <c r="F70" s="787">
        <v>1113762977</v>
      </c>
      <c r="G70" s="804">
        <v>1066434320</v>
      </c>
      <c r="H70" s="804">
        <v>1106798361</v>
      </c>
      <c r="I70" s="859">
        <f t="shared" si="16"/>
        <v>-7.3080831026602358E-2</v>
      </c>
      <c r="J70" s="859">
        <f t="shared" si="17"/>
        <v>-0.15406620285011421</v>
      </c>
      <c r="K70" s="119"/>
      <c r="M70" s="65"/>
      <c r="N70" s="149"/>
    </row>
    <row r="71" spans="2:18" ht="16.2">
      <c r="B71" s="697" t="s">
        <v>822</v>
      </c>
      <c r="C71" s="618" t="s">
        <v>576</v>
      </c>
      <c r="D71" s="670">
        <v>730062641.79999995</v>
      </c>
      <c r="E71" s="787">
        <v>715085304.5</v>
      </c>
      <c r="F71" s="787">
        <v>765112549.89999998</v>
      </c>
      <c r="G71" s="804">
        <v>727280899.39999998</v>
      </c>
      <c r="H71" s="804">
        <v>730599118.70000005</v>
      </c>
      <c r="I71" s="859">
        <f t="shared" si="16"/>
        <v>2.0944826030892028E-2</v>
      </c>
      <c r="J71" s="859">
        <f t="shared" si="17"/>
        <v>-7.342972175420656E-4</v>
      </c>
      <c r="K71" s="119"/>
      <c r="M71" s="581"/>
      <c r="N71" s="149"/>
    </row>
    <row r="72" spans="2:18" ht="16.2">
      <c r="B72" s="697" t="s">
        <v>824</v>
      </c>
      <c r="C72" s="618" t="s">
        <v>576</v>
      </c>
      <c r="D72" s="670">
        <v>175218839.5</v>
      </c>
      <c r="E72" s="787">
        <v>256977511.19999999</v>
      </c>
      <c r="F72" s="787">
        <v>309676919.69999999</v>
      </c>
      <c r="G72" s="804">
        <v>306622897.80000001</v>
      </c>
      <c r="H72" s="804">
        <v>343885620.39999998</v>
      </c>
      <c r="I72" s="859">
        <f t="shared" si="16"/>
        <v>-0.3181549674063463</v>
      </c>
      <c r="J72" s="859">
        <f t="shared" si="17"/>
        <v>-0.49047349145861519</v>
      </c>
      <c r="K72" s="119"/>
      <c r="M72" s="581"/>
      <c r="N72" s="149"/>
    </row>
    <row r="73" spans="2:18" ht="16.2">
      <c r="B73" s="698" t="s">
        <v>826</v>
      </c>
      <c r="C73" s="618" t="s">
        <v>576</v>
      </c>
      <c r="D73" s="670">
        <v>27685923.289999999</v>
      </c>
      <c r="E73" s="787">
        <v>34640619.289999999</v>
      </c>
      <c r="F73" s="787">
        <v>30396686.190000001</v>
      </c>
      <c r="G73" s="804">
        <v>30114804.989999998</v>
      </c>
      <c r="H73" s="804">
        <v>32313621.68</v>
      </c>
      <c r="I73" s="859">
        <f t="shared" si="16"/>
        <v>-0.20076708045481367</v>
      </c>
      <c r="J73" s="859">
        <f t="shared" si="17"/>
        <v>-0.14321200006077439</v>
      </c>
      <c r="K73" s="119"/>
      <c r="M73" s="582"/>
      <c r="N73" s="149"/>
    </row>
    <row r="74" spans="2:18" ht="32.4">
      <c r="B74" s="698" t="s">
        <v>828</v>
      </c>
      <c r="C74" s="618" t="s">
        <v>576</v>
      </c>
      <c r="D74" s="670">
        <v>3310735.58</v>
      </c>
      <c r="E74" s="787">
        <v>3393423.37</v>
      </c>
      <c r="F74" s="787">
        <v>8576821.3599999994</v>
      </c>
      <c r="G74" s="804">
        <v>2415717.91</v>
      </c>
      <c r="H74" s="804"/>
      <c r="I74" s="859">
        <f t="shared" si="16"/>
        <v>-2.4367071533429097E-2</v>
      </c>
      <c r="J74" s="859"/>
      <c r="K74" s="119"/>
      <c r="M74" s="582"/>
      <c r="N74" s="149"/>
    </row>
    <row r="75" spans="2:18" ht="16.2">
      <c r="B75" s="699" t="s">
        <v>831</v>
      </c>
      <c r="C75" s="618" t="s">
        <v>576</v>
      </c>
      <c r="D75" s="670">
        <v>275404458</v>
      </c>
      <c r="E75" s="817">
        <v>198739529.40000001</v>
      </c>
      <c r="F75" s="817">
        <v>162057843.40000001</v>
      </c>
      <c r="G75" s="817">
        <v>138137009.59999999</v>
      </c>
      <c r="H75" s="817">
        <v>129361623.40000001</v>
      </c>
      <c r="I75" s="859">
        <f t="shared" si="16"/>
        <v>0.3857558123009221</v>
      </c>
      <c r="J75" s="859">
        <f>(D75-H75)/H75</f>
        <v>1.1289502308456651</v>
      </c>
      <c r="K75" s="119"/>
      <c r="M75" s="583"/>
      <c r="N75" s="149"/>
    </row>
    <row r="76" spans="2:18" ht="16.2">
      <c r="B76" s="700" t="s">
        <v>863</v>
      </c>
      <c r="C76" s="618" t="s">
        <v>576</v>
      </c>
      <c r="D76" s="670">
        <v>275404458</v>
      </c>
      <c r="E76" s="787">
        <v>198739529.40000001</v>
      </c>
      <c r="F76" s="787">
        <v>162057843.40000001</v>
      </c>
      <c r="G76" s="804">
        <v>138137009.59999999</v>
      </c>
      <c r="H76" s="804">
        <v>129361623.40000001</v>
      </c>
      <c r="I76" s="859">
        <f t="shared" si="16"/>
        <v>0.3857558123009221</v>
      </c>
      <c r="J76" s="859">
        <f>(D76-H76)/H76</f>
        <v>1.1289502308456651</v>
      </c>
      <c r="K76" s="119"/>
      <c r="M76" s="583"/>
      <c r="N76" s="149"/>
    </row>
    <row r="77" spans="2:18" ht="16.2">
      <c r="B77" s="700" t="s">
        <v>864</v>
      </c>
      <c r="C77" s="618" t="s">
        <v>576</v>
      </c>
      <c r="D77" s="818">
        <v>0</v>
      </c>
      <c r="E77" s="812">
        <v>0</v>
      </c>
      <c r="F77" s="812">
        <v>0</v>
      </c>
      <c r="G77" s="812">
        <v>0</v>
      </c>
      <c r="H77" s="812">
        <v>0</v>
      </c>
      <c r="I77" s="860"/>
      <c r="J77" s="860"/>
      <c r="K77" s="119"/>
      <c r="M77" s="583"/>
      <c r="N77" s="149"/>
    </row>
    <row r="78" spans="2:18" ht="13.8">
      <c r="C78" s="67"/>
      <c r="D78" s="1074"/>
      <c r="I78" s="861"/>
      <c r="J78" s="861"/>
    </row>
    <row r="79" spans="2:18" ht="19.8">
      <c r="B79" s="930" t="s">
        <v>710</v>
      </c>
      <c r="C79" s="919"/>
      <c r="D79" s="920"/>
      <c r="E79" s="920"/>
      <c r="F79" s="920"/>
      <c r="G79" s="920"/>
      <c r="H79" s="1450"/>
      <c r="I79" s="1450"/>
      <c r="J79" s="1450"/>
      <c r="L79" s="130"/>
      <c r="M79" s="130"/>
      <c r="N79" s="130"/>
      <c r="O79" s="130"/>
      <c r="P79" s="107"/>
      <c r="Q79" s="107"/>
      <c r="R79" s="107"/>
    </row>
    <row r="80" spans="2:18" ht="13.8">
      <c r="B80" s="131"/>
      <c r="C80" s="835"/>
      <c r="D80" s="133"/>
      <c r="E80" s="134"/>
      <c r="F80" s="134"/>
      <c r="G80" s="133"/>
      <c r="H80" s="133"/>
      <c r="I80" s="133"/>
    </row>
    <row r="81" spans="2:11" ht="45.9" customHeight="1">
      <c r="B81" s="780" t="s">
        <v>506</v>
      </c>
      <c r="C81" s="822" t="s">
        <v>544</v>
      </c>
      <c r="D81" s="921" t="s">
        <v>545</v>
      </c>
      <c r="E81" s="928" t="s">
        <v>546</v>
      </c>
      <c r="F81" s="928" t="s">
        <v>547</v>
      </c>
      <c r="G81" s="929" t="s">
        <v>548</v>
      </c>
      <c r="H81" s="929" t="s">
        <v>549</v>
      </c>
      <c r="I81" s="819" t="str">
        <f>I17</f>
        <v>Performance against prior year</v>
      </c>
      <c r="J81" s="819" t="str">
        <f>J17</f>
        <v>Performance against 2019/20 baseline</v>
      </c>
    </row>
    <row r="82" spans="2:11" ht="17.399999999999999">
      <c r="B82" s="630" t="s">
        <v>711</v>
      </c>
      <c r="C82" s="836"/>
      <c r="D82" s="675"/>
      <c r="E82" s="675"/>
      <c r="F82" s="675"/>
      <c r="G82" s="675"/>
      <c r="H82" s="675"/>
      <c r="I82" s="786"/>
      <c r="J82" s="786"/>
    </row>
    <row r="83" spans="2:11" ht="16.2">
      <c r="B83" s="701" t="s">
        <v>712</v>
      </c>
      <c r="C83" s="834" t="s">
        <v>714</v>
      </c>
      <c r="D83" s="683">
        <v>1719078</v>
      </c>
      <c r="E83" s="787">
        <v>1782610</v>
      </c>
      <c r="F83" s="787">
        <v>1914858</v>
      </c>
      <c r="G83" s="604">
        <v>1832821</v>
      </c>
      <c r="H83" s="604">
        <v>1938561</v>
      </c>
      <c r="I83" s="788">
        <f>(D83-E83)/E83</f>
        <v>-3.5639876361066081E-2</v>
      </c>
      <c r="J83" s="788">
        <f>(D83-H83)/H83</f>
        <v>-0.11321954790176837</v>
      </c>
      <c r="K83" s="135"/>
    </row>
    <row r="84" spans="2:11" ht="16.2">
      <c r="B84" s="702" t="s">
        <v>715</v>
      </c>
      <c r="C84" s="834" t="s">
        <v>714</v>
      </c>
      <c r="D84" s="1072">
        <v>0</v>
      </c>
      <c r="E84" s="789">
        <v>0</v>
      </c>
      <c r="F84" s="789">
        <v>0</v>
      </c>
      <c r="G84" s="677">
        <v>0</v>
      </c>
      <c r="H84" s="677">
        <v>0</v>
      </c>
      <c r="I84" s="788"/>
      <c r="J84" s="788"/>
    </row>
    <row r="85" spans="2:11" ht="16.2">
      <c r="B85" s="702" t="s">
        <v>717</v>
      </c>
      <c r="C85" s="834" t="s">
        <v>714</v>
      </c>
      <c r="D85" s="683">
        <v>72649</v>
      </c>
      <c r="E85" s="789">
        <v>92696</v>
      </c>
      <c r="F85" s="789">
        <v>91118</v>
      </c>
      <c r="G85" s="678">
        <v>70306</v>
      </c>
      <c r="H85" s="678">
        <v>66119</v>
      </c>
      <c r="I85" s="788">
        <f>(D85-E85)/E85</f>
        <v>-0.21626607404850262</v>
      </c>
      <c r="J85" s="788">
        <f>(D85-H85)/H85</f>
        <v>9.8761324278951582E-2</v>
      </c>
    </row>
    <row r="86" spans="2:11" ht="16.2">
      <c r="B86" s="605" t="s">
        <v>581</v>
      </c>
      <c r="C86" s="837" t="s">
        <v>721</v>
      </c>
      <c r="D86" s="683">
        <f>SUM(D83:D85)</f>
        <v>1791727</v>
      </c>
      <c r="E86" s="606">
        <f>SUM(E83:E85)</f>
        <v>1875306</v>
      </c>
      <c r="F86" s="606">
        <f>SUM(F83:F85)</f>
        <v>2005976</v>
      </c>
      <c r="G86" s="606">
        <f>SUM(G83:G85)</f>
        <v>1903127</v>
      </c>
      <c r="H86" s="606">
        <f>SUM(H83:H85)</f>
        <v>2004680</v>
      </c>
      <c r="I86" s="788">
        <f>(D86-E86)/E86</f>
        <v>-4.4568193137546619E-2</v>
      </c>
      <c r="J86" s="788">
        <f>(D86-H86)/H86</f>
        <v>-0.10622792665163518</v>
      </c>
    </row>
    <row r="87" spans="2:11" ht="17.399999999999999">
      <c r="B87" s="630" t="s">
        <v>865</v>
      </c>
      <c r="C87" s="836"/>
      <c r="D87" s="683"/>
      <c r="E87" s="675"/>
      <c r="F87" s="675"/>
      <c r="G87" s="675"/>
      <c r="H87" s="675"/>
      <c r="I87" s="788"/>
      <c r="J87" s="788"/>
    </row>
    <row r="88" spans="2:11" ht="16.2">
      <c r="B88" s="702" t="s">
        <v>866</v>
      </c>
      <c r="C88" s="834" t="s">
        <v>721</v>
      </c>
      <c r="D88" s="683">
        <v>36477</v>
      </c>
      <c r="E88" s="789">
        <v>48993</v>
      </c>
      <c r="F88" s="789">
        <v>77174</v>
      </c>
      <c r="G88" s="678">
        <v>65976</v>
      </c>
      <c r="H88" s="678">
        <v>72194</v>
      </c>
      <c r="I88" s="788">
        <f>(D88-E88)/E88</f>
        <v>-0.2554650664380626</v>
      </c>
      <c r="J88" s="788">
        <f>(D88-H88)/H88</f>
        <v>-0.49473640468737012</v>
      </c>
    </row>
    <row r="89" spans="2:11" ht="20.399999999999999" customHeight="1">
      <c r="B89" s="605" t="s">
        <v>867</v>
      </c>
      <c r="C89" s="837" t="s">
        <v>721</v>
      </c>
      <c r="D89" s="683">
        <v>1157318</v>
      </c>
      <c r="E89" s="606">
        <v>1289059</v>
      </c>
      <c r="F89" s="606">
        <v>1303576</v>
      </c>
      <c r="G89" s="606">
        <v>1419622</v>
      </c>
      <c r="H89" s="606">
        <v>1301086</v>
      </c>
      <c r="I89" s="788">
        <f>(D89-E89)/E89</f>
        <v>-0.10219935627461582</v>
      </c>
      <c r="J89" s="788">
        <f>(D89-H89)/H89</f>
        <v>-0.11049846051682978</v>
      </c>
    </row>
    <row r="90" spans="2:11" ht="16.2">
      <c r="B90" s="702" t="s">
        <v>732</v>
      </c>
      <c r="C90" s="834" t="s">
        <v>734</v>
      </c>
      <c r="D90" s="683">
        <v>1204600</v>
      </c>
      <c r="E90" s="789">
        <v>1349446</v>
      </c>
      <c r="F90" s="789">
        <v>1391081</v>
      </c>
      <c r="G90" s="678">
        <v>1493011</v>
      </c>
      <c r="H90" s="678">
        <v>1381075</v>
      </c>
      <c r="I90" s="788">
        <f>(D90-E90)/E90</f>
        <v>-0.10733738141429891</v>
      </c>
      <c r="J90" s="788">
        <f>(D90-H90)/H90</f>
        <v>-0.12778089531705375</v>
      </c>
    </row>
    <row r="91" spans="2:11" ht="16.2">
      <c r="B91" s="136"/>
      <c r="C91" s="838"/>
      <c r="D91" s="684"/>
      <c r="E91" s="679"/>
      <c r="F91" s="679"/>
      <c r="G91" s="679"/>
      <c r="H91" s="679"/>
      <c r="I91" s="790"/>
      <c r="J91" s="791"/>
    </row>
    <row r="92" spans="2:11" ht="17.399999999999999">
      <c r="B92" s="630" t="s">
        <v>868</v>
      </c>
      <c r="C92" s="836"/>
      <c r="D92" s="683"/>
      <c r="E92" s="680"/>
      <c r="F92" s="680"/>
      <c r="G92" s="675"/>
      <c r="H92" s="675"/>
      <c r="I92" s="792"/>
      <c r="J92" s="793"/>
    </row>
    <row r="93" spans="2:11" ht="16.2">
      <c r="B93" s="626" t="s">
        <v>587</v>
      </c>
      <c r="C93" s="839" t="s">
        <v>588</v>
      </c>
      <c r="D93" s="671">
        <v>264</v>
      </c>
      <c r="E93" s="794">
        <v>242</v>
      </c>
      <c r="F93" s="794">
        <v>220</v>
      </c>
      <c r="G93" s="794">
        <v>112</v>
      </c>
      <c r="H93" s="794">
        <v>104</v>
      </c>
      <c r="I93" s="792"/>
      <c r="J93" s="795"/>
    </row>
    <row r="94" spans="2:11" ht="16.2">
      <c r="B94" s="626" t="s">
        <v>589</v>
      </c>
      <c r="C94" s="839" t="s">
        <v>574</v>
      </c>
      <c r="D94" s="781">
        <v>0.9</v>
      </c>
      <c r="E94" s="796">
        <v>0.75</v>
      </c>
      <c r="F94" s="796">
        <v>0.78</v>
      </c>
      <c r="G94" s="796">
        <v>0.8</v>
      </c>
      <c r="H94" s="796">
        <v>0.7</v>
      </c>
      <c r="I94" s="790"/>
      <c r="J94" s="797"/>
    </row>
    <row r="95" spans="2:11" ht="16.2">
      <c r="B95" s="703"/>
      <c r="C95" s="838"/>
      <c r="D95" s="782"/>
      <c r="E95" s="798"/>
      <c r="F95" s="798"/>
      <c r="G95" s="798"/>
      <c r="H95" s="798"/>
      <c r="I95" s="790"/>
      <c r="J95" s="797"/>
    </row>
    <row r="96" spans="2:11" ht="17.399999999999999">
      <c r="B96" s="630" t="s">
        <v>725</v>
      </c>
      <c r="C96" s="836"/>
      <c r="D96" s="683"/>
      <c r="E96" s="675"/>
      <c r="F96" s="675"/>
      <c r="G96" s="675"/>
      <c r="H96" s="675"/>
      <c r="I96" s="786"/>
      <c r="J96" s="786"/>
    </row>
    <row r="97" spans="2:11" ht="16.2">
      <c r="B97" s="628" t="s">
        <v>584</v>
      </c>
      <c r="C97" s="839" t="s">
        <v>728</v>
      </c>
      <c r="D97" s="683">
        <v>1755</v>
      </c>
      <c r="E97" s="681">
        <v>1826</v>
      </c>
      <c r="F97" s="681">
        <v>1929</v>
      </c>
      <c r="G97" s="681">
        <v>1837</v>
      </c>
      <c r="H97" s="681">
        <v>1932</v>
      </c>
      <c r="I97" s="788">
        <f>(D97-E97)/E97</f>
        <v>-3.8882803943044907E-2</v>
      </c>
      <c r="J97" s="788">
        <f>(D97-H97)/H97</f>
        <v>-9.1614906832298143E-2</v>
      </c>
    </row>
    <row r="98" spans="2:11" ht="16.2">
      <c r="B98" s="613" t="s">
        <v>586</v>
      </c>
      <c r="C98" s="840" t="s">
        <v>730</v>
      </c>
      <c r="D98" s="683">
        <v>402</v>
      </c>
      <c r="E98" s="669">
        <v>412</v>
      </c>
      <c r="F98" s="669">
        <v>440</v>
      </c>
      <c r="G98" s="669">
        <v>418</v>
      </c>
      <c r="H98" s="678">
        <v>474</v>
      </c>
      <c r="I98" s="788">
        <f>(D98-E98)/E98</f>
        <v>-2.4271844660194174E-2</v>
      </c>
      <c r="J98" s="788">
        <f>(D98-H98)/H98</f>
        <v>-0.15189873417721519</v>
      </c>
    </row>
    <row r="99" spans="2:11" ht="16.2">
      <c r="B99" s="613" t="s">
        <v>869</v>
      </c>
      <c r="C99" s="840" t="s">
        <v>574</v>
      </c>
      <c r="D99" s="781">
        <f>D98/D97</f>
        <v>0.22905982905982905</v>
      </c>
      <c r="E99" s="682">
        <f>E98/E97</f>
        <v>0.22562979189485213</v>
      </c>
      <c r="F99" s="682">
        <f t="shared" ref="F99" si="18">F98/F97</f>
        <v>0.22809745982374288</v>
      </c>
      <c r="G99" s="682">
        <f>G98/G97</f>
        <v>0.22754491017964071</v>
      </c>
      <c r="H99" s="682">
        <f>H98/H97</f>
        <v>0.24534161490683229</v>
      </c>
      <c r="I99" s="799"/>
      <c r="J99" s="786"/>
    </row>
    <row r="100" spans="2:11" ht="13.8">
      <c r="B100" s="142"/>
      <c r="C100" s="841"/>
      <c r="D100" s="144"/>
      <c r="E100" s="144"/>
      <c r="F100" s="144"/>
      <c r="G100" s="145"/>
      <c r="H100" s="145"/>
      <c r="I100" s="145"/>
      <c r="J100" s="800"/>
      <c r="K100" s="141"/>
    </row>
    <row r="101" spans="2:11" ht="47.1" customHeight="1">
      <c r="B101" s="780" t="s">
        <v>196</v>
      </c>
      <c r="C101" s="822" t="s">
        <v>544</v>
      </c>
      <c r="D101" s="921" t="s">
        <v>545</v>
      </c>
      <c r="E101" s="928" t="s">
        <v>546</v>
      </c>
      <c r="F101" s="928" t="s">
        <v>547</v>
      </c>
      <c r="G101" s="929" t="s">
        <v>548</v>
      </c>
      <c r="H101" s="929" t="s">
        <v>549</v>
      </c>
      <c r="I101" s="819" t="str">
        <f>I81</f>
        <v>Performance against prior year</v>
      </c>
      <c r="J101" s="819" t="str">
        <f>J81</f>
        <v>Performance against 2019/20 baseline</v>
      </c>
    </row>
    <row r="102" spans="2:11" ht="17.399999999999999">
      <c r="B102" s="631" t="s">
        <v>870</v>
      </c>
      <c r="C102" s="842"/>
      <c r="D102" s="676"/>
      <c r="E102" s="676"/>
      <c r="F102" s="676"/>
      <c r="G102" s="676"/>
      <c r="H102" s="676"/>
      <c r="I102" s="799"/>
      <c r="J102" s="801"/>
    </row>
    <row r="103" spans="2:11" ht="16.2">
      <c r="B103" s="704" t="s">
        <v>739</v>
      </c>
      <c r="C103" s="618" t="s">
        <v>591</v>
      </c>
      <c r="D103" s="934">
        <v>39342</v>
      </c>
      <c r="E103" s="685">
        <v>38518</v>
      </c>
      <c r="F103" s="685">
        <v>45151</v>
      </c>
      <c r="G103" s="685">
        <v>41020</v>
      </c>
      <c r="H103" s="686">
        <v>40011</v>
      </c>
      <c r="I103" s="788">
        <f t="shared" ref="I103:I107" si="19">(D103-E103)/E103</f>
        <v>2.1392595669557091E-2</v>
      </c>
      <c r="J103" s="788">
        <f t="shared" ref="J103:J108" si="20">(D103-H103)/H103</f>
        <v>-1.6720401889480391E-2</v>
      </c>
    </row>
    <row r="104" spans="2:11" ht="16.2">
      <c r="B104" s="705" t="s">
        <v>741</v>
      </c>
      <c r="C104" s="618" t="s">
        <v>591</v>
      </c>
      <c r="D104" s="934">
        <v>2958</v>
      </c>
      <c r="E104" s="687">
        <v>3336</v>
      </c>
      <c r="F104" s="687">
        <v>2639</v>
      </c>
      <c r="G104" s="687">
        <v>2620</v>
      </c>
      <c r="H104" s="686">
        <v>2469</v>
      </c>
      <c r="I104" s="788">
        <f t="shared" si="19"/>
        <v>-0.11330935251798561</v>
      </c>
      <c r="J104" s="788">
        <f t="shared" si="20"/>
        <v>0.19805589307411908</v>
      </c>
    </row>
    <row r="105" spans="2:11" ht="16.2">
      <c r="B105" s="705" t="s">
        <v>743</v>
      </c>
      <c r="C105" s="618" t="s">
        <v>591</v>
      </c>
      <c r="D105" s="934">
        <v>10626</v>
      </c>
      <c r="E105" s="687">
        <v>7056</v>
      </c>
      <c r="F105" s="687">
        <v>8559</v>
      </c>
      <c r="G105" s="687">
        <v>7014</v>
      </c>
      <c r="H105" s="686">
        <v>7772</v>
      </c>
      <c r="I105" s="788">
        <f t="shared" si="19"/>
        <v>0.50595238095238093</v>
      </c>
      <c r="J105" s="788">
        <f t="shared" si="20"/>
        <v>0.36721564590838907</v>
      </c>
    </row>
    <row r="106" spans="2:11" ht="16.2">
      <c r="B106" s="705" t="s">
        <v>745</v>
      </c>
      <c r="C106" s="618" t="s">
        <v>591</v>
      </c>
      <c r="D106" s="934">
        <v>12299</v>
      </c>
      <c r="E106" s="687">
        <v>13896</v>
      </c>
      <c r="F106" s="687">
        <v>15230</v>
      </c>
      <c r="G106" s="687">
        <v>11482</v>
      </c>
      <c r="H106" s="686">
        <v>13530</v>
      </c>
      <c r="I106" s="788">
        <f t="shared" si="19"/>
        <v>-0.11492515831894071</v>
      </c>
      <c r="J106" s="788">
        <f t="shared" si="20"/>
        <v>-9.0983000739098305E-2</v>
      </c>
    </row>
    <row r="107" spans="2:11" ht="16.2">
      <c r="B107" s="626" t="s">
        <v>600</v>
      </c>
      <c r="C107" s="840" t="s">
        <v>591</v>
      </c>
      <c r="D107" s="935">
        <v>42300</v>
      </c>
      <c r="E107" s="688">
        <v>41854</v>
      </c>
      <c r="F107" s="688">
        <v>47790</v>
      </c>
      <c r="G107" s="688">
        <v>43640</v>
      </c>
      <c r="H107" s="681">
        <v>42480</v>
      </c>
      <c r="I107" s="788">
        <f t="shared" si="19"/>
        <v>1.0656090218378171E-2</v>
      </c>
      <c r="J107" s="788">
        <f t="shared" si="20"/>
        <v>-4.2372881355932203E-3</v>
      </c>
    </row>
    <row r="108" spans="2:11" ht="16.2">
      <c r="B108" s="628" t="s">
        <v>595</v>
      </c>
      <c r="C108" s="840" t="s">
        <v>591</v>
      </c>
      <c r="D108" s="935">
        <v>65225</v>
      </c>
      <c r="E108" s="689">
        <v>62806</v>
      </c>
      <c r="F108" s="689">
        <v>71579</v>
      </c>
      <c r="G108" s="689">
        <v>62136</v>
      </c>
      <c r="H108" s="689">
        <v>63782</v>
      </c>
      <c r="I108" s="788">
        <f>(D108-E108)/E108</f>
        <v>3.8515428462248827E-2</v>
      </c>
      <c r="J108" s="788">
        <f t="shared" si="20"/>
        <v>2.2623937788090683E-2</v>
      </c>
    </row>
    <row r="109" spans="2:11" ht="16.2">
      <c r="B109" s="136"/>
      <c r="C109" s="843"/>
      <c r="D109" s="936"/>
      <c r="E109" s="690"/>
      <c r="F109" s="690"/>
      <c r="G109" s="690"/>
      <c r="H109" s="690"/>
      <c r="I109" s="694"/>
      <c r="J109" s="802"/>
      <c r="K109" s="140"/>
    </row>
    <row r="110" spans="2:11" ht="17.399999999999999">
      <c r="B110" s="631" t="s">
        <v>871</v>
      </c>
      <c r="C110" s="842"/>
      <c r="D110" s="676"/>
      <c r="E110" s="676"/>
      <c r="F110" s="676"/>
      <c r="G110" s="676"/>
      <c r="H110" s="676"/>
      <c r="I110" s="671"/>
      <c r="J110" s="693"/>
    </row>
    <row r="111" spans="2:11" ht="16.2">
      <c r="B111" s="704" t="s">
        <v>872</v>
      </c>
      <c r="C111" s="618" t="s">
        <v>591</v>
      </c>
      <c r="D111" s="691">
        <v>532</v>
      </c>
      <c r="E111" s="685">
        <v>1038</v>
      </c>
      <c r="F111" s="685">
        <v>1002</v>
      </c>
      <c r="G111" s="685">
        <v>1031</v>
      </c>
      <c r="H111" s="686">
        <v>718</v>
      </c>
      <c r="I111" s="788">
        <f t="shared" ref="I111:I116" si="21">(D111-E111)/E111</f>
        <v>-0.48747591522157996</v>
      </c>
      <c r="J111" s="788">
        <f t="shared" ref="J111:J116" si="22">(D111-H111)/H111</f>
        <v>-0.25905292479108633</v>
      </c>
    </row>
    <row r="112" spans="2:11" ht="16.2">
      <c r="B112" s="705" t="s">
        <v>873</v>
      </c>
      <c r="C112" s="618" t="s">
        <v>591</v>
      </c>
      <c r="D112" s="691">
        <v>37078</v>
      </c>
      <c r="E112" s="687">
        <v>36853</v>
      </c>
      <c r="F112" s="687">
        <v>38270</v>
      </c>
      <c r="G112" s="687">
        <v>23366</v>
      </c>
      <c r="H112" s="686">
        <v>19437</v>
      </c>
      <c r="I112" s="788">
        <f t="shared" si="21"/>
        <v>6.1053374216481701E-3</v>
      </c>
      <c r="J112" s="788">
        <f t="shared" si="22"/>
        <v>0.90759890929670217</v>
      </c>
    </row>
    <row r="113" spans="2:16" ht="16.2">
      <c r="B113" s="705" t="s">
        <v>593</v>
      </c>
      <c r="C113" s="618" t="s">
        <v>591</v>
      </c>
      <c r="D113" s="691">
        <v>1213</v>
      </c>
      <c r="E113" s="687">
        <v>1071</v>
      </c>
      <c r="F113" s="687">
        <v>2041</v>
      </c>
      <c r="G113" s="687">
        <v>1000</v>
      </c>
      <c r="H113" s="686">
        <v>1663</v>
      </c>
      <c r="I113" s="788">
        <f t="shared" si="21"/>
        <v>0.13258636788048553</v>
      </c>
      <c r="J113" s="788">
        <f t="shared" si="22"/>
        <v>-0.27059530968129886</v>
      </c>
    </row>
    <row r="114" spans="2:16" ht="16.2">
      <c r="B114" s="705" t="s">
        <v>594</v>
      </c>
      <c r="C114" s="618" t="s">
        <v>591</v>
      </c>
      <c r="D114" s="691">
        <v>23064</v>
      </c>
      <c r="E114" s="687">
        <v>19529</v>
      </c>
      <c r="F114" s="687">
        <v>26158</v>
      </c>
      <c r="G114" s="687">
        <v>33570</v>
      </c>
      <c r="H114" s="686">
        <v>38973</v>
      </c>
      <c r="I114" s="788">
        <f t="shared" si="21"/>
        <v>0.18101285268062881</v>
      </c>
      <c r="J114" s="788">
        <f t="shared" si="22"/>
        <v>-0.40820568085597719</v>
      </c>
    </row>
    <row r="115" spans="2:16" ht="16.2">
      <c r="B115" s="626" t="s">
        <v>592</v>
      </c>
      <c r="C115" s="840" t="s">
        <v>591</v>
      </c>
      <c r="D115" s="783">
        <v>3338</v>
      </c>
      <c r="E115" s="803">
        <v>4315</v>
      </c>
      <c r="F115" s="803">
        <v>4107</v>
      </c>
      <c r="G115" s="803">
        <v>3169</v>
      </c>
      <c r="H115" s="803">
        <v>2990</v>
      </c>
      <c r="I115" s="788">
        <f t="shared" si="21"/>
        <v>-0.22641946697566628</v>
      </c>
      <c r="J115" s="788">
        <f t="shared" si="22"/>
        <v>0.11638795986622073</v>
      </c>
    </row>
    <row r="116" spans="2:16" ht="13.5" customHeight="1">
      <c r="B116" s="628" t="s">
        <v>595</v>
      </c>
      <c r="C116" s="840" t="s">
        <v>591</v>
      </c>
      <c r="D116" s="1124">
        <f>SUM(D111:D115)</f>
        <v>65225</v>
      </c>
      <c r="E116" s="1125">
        <f>SUM(E111:E115)</f>
        <v>62806</v>
      </c>
      <c r="F116" s="1125">
        <f>SUM(F111:F115)</f>
        <v>71578</v>
      </c>
      <c r="G116" s="1125">
        <f>SUM(G111:G115)</f>
        <v>62136</v>
      </c>
      <c r="H116" s="1125">
        <f>SUM(H111:H115)</f>
        <v>63781</v>
      </c>
      <c r="I116" s="788">
        <f t="shared" si="21"/>
        <v>3.8515428462248827E-2</v>
      </c>
      <c r="J116" s="788">
        <f t="shared" si="22"/>
        <v>2.2639971151283297E-2</v>
      </c>
    </row>
    <row r="118" spans="2:16" ht="25.5" customHeight="1">
      <c r="B118" s="780" t="s">
        <v>749</v>
      </c>
      <c r="C118" s="822" t="s">
        <v>544</v>
      </c>
      <c r="D118" s="921" t="s">
        <v>545</v>
      </c>
      <c r="E118" s="928" t="s">
        <v>546</v>
      </c>
      <c r="F118" s="928" t="s">
        <v>547</v>
      </c>
      <c r="G118" s="929" t="s">
        <v>548</v>
      </c>
      <c r="H118" s="929" t="s">
        <v>549</v>
      </c>
      <c r="I118" s="800"/>
      <c r="J118" s="800"/>
    </row>
    <row r="119" spans="2:16" s="533" customFormat="1" ht="16.2">
      <c r="B119" s="1126" t="s">
        <v>750</v>
      </c>
      <c r="C119" s="1127" t="s">
        <v>591</v>
      </c>
      <c r="D119" s="1128">
        <v>1012</v>
      </c>
      <c r="E119" s="1129">
        <v>848</v>
      </c>
      <c r="F119" s="1129">
        <v>1744</v>
      </c>
      <c r="G119" s="1129">
        <v>866</v>
      </c>
      <c r="H119" s="1129">
        <v>1468</v>
      </c>
      <c r="I119" s="790"/>
      <c r="J119" s="790"/>
      <c r="L119" s="64"/>
      <c r="M119" s="64"/>
      <c r="N119" s="64"/>
      <c r="O119" s="64"/>
      <c r="P119" s="64"/>
    </row>
    <row r="120" spans="2:16" s="533" customFormat="1" ht="16.2">
      <c r="B120" s="1126" t="s">
        <v>752</v>
      </c>
      <c r="C120" s="1127" t="s">
        <v>591</v>
      </c>
      <c r="D120" s="1128">
        <v>7601</v>
      </c>
      <c r="E120" s="1129">
        <v>3869</v>
      </c>
      <c r="F120" s="1129">
        <v>6882</v>
      </c>
      <c r="G120" s="1129">
        <v>5355</v>
      </c>
      <c r="H120" s="1129">
        <v>4990</v>
      </c>
      <c r="I120" s="790"/>
      <c r="J120" s="1130"/>
      <c r="L120" s="64"/>
      <c r="M120" s="64"/>
      <c r="N120" s="64"/>
      <c r="O120" s="64"/>
      <c r="P120" s="64"/>
    </row>
    <row r="121" spans="2:16" s="533" customFormat="1" ht="16.2">
      <c r="B121" s="1126" t="s">
        <v>754</v>
      </c>
      <c r="C121" s="1127" t="s">
        <v>591</v>
      </c>
      <c r="D121" s="1128">
        <v>1965</v>
      </c>
      <c r="E121" s="1129">
        <v>2006</v>
      </c>
      <c r="F121" s="1129">
        <v>2750</v>
      </c>
      <c r="G121" s="1129">
        <v>1547</v>
      </c>
      <c r="H121" s="1129">
        <v>1348</v>
      </c>
      <c r="I121" s="790"/>
      <c r="J121" s="790"/>
      <c r="L121" s="64"/>
      <c r="M121" s="64"/>
      <c r="N121" s="64"/>
      <c r="O121" s="64"/>
      <c r="P121" s="64"/>
    </row>
    <row r="122" spans="2:16" s="533" customFormat="1" ht="16.2">
      <c r="B122" s="1131" t="s">
        <v>874</v>
      </c>
      <c r="C122" s="1132" t="s">
        <v>591</v>
      </c>
      <c r="D122" s="1133">
        <v>10577</v>
      </c>
      <c r="E122" s="1134">
        <v>6723</v>
      </c>
      <c r="F122" s="1134">
        <v>11377</v>
      </c>
      <c r="G122" s="1134">
        <v>7767</v>
      </c>
      <c r="H122" s="1134">
        <v>7806</v>
      </c>
      <c r="I122" s="790"/>
      <c r="J122" s="790"/>
      <c r="L122" s="64"/>
      <c r="M122" s="64"/>
      <c r="N122" s="64"/>
      <c r="O122" s="64"/>
      <c r="P122" s="64"/>
    </row>
    <row r="123" spans="2:16" s="533" customFormat="1" ht="16.2">
      <c r="B123" s="1126" t="s">
        <v>758</v>
      </c>
      <c r="C123" s="1127" t="s">
        <v>591</v>
      </c>
      <c r="D123" s="1128">
        <v>201</v>
      </c>
      <c r="E123" s="1129">
        <v>223</v>
      </c>
      <c r="F123" s="1129">
        <v>297</v>
      </c>
      <c r="G123" s="1129">
        <v>135</v>
      </c>
      <c r="H123" s="1129">
        <v>196</v>
      </c>
      <c r="I123" s="790"/>
      <c r="J123" s="790"/>
      <c r="L123" s="64"/>
      <c r="M123" s="64"/>
      <c r="N123" s="64"/>
      <c r="O123" s="64"/>
      <c r="P123" s="64"/>
    </row>
    <row r="124" spans="2:16" s="533" customFormat="1" ht="16.2">
      <c r="B124" s="1126" t="s">
        <v>875</v>
      </c>
      <c r="C124" s="1127" t="s">
        <v>591</v>
      </c>
      <c r="D124" s="1128">
        <v>15463</v>
      </c>
      <c r="E124" s="1129">
        <v>15660</v>
      </c>
      <c r="F124" s="1129">
        <v>19276</v>
      </c>
      <c r="G124" s="1129">
        <v>28215</v>
      </c>
      <c r="H124" s="1129">
        <v>33983</v>
      </c>
      <c r="I124" s="790"/>
      <c r="J124" s="790"/>
      <c r="L124" s="64"/>
      <c r="M124" s="64"/>
      <c r="N124" s="64"/>
      <c r="O124" s="64"/>
      <c r="P124" s="64"/>
    </row>
    <row r="125" spans="2:16" s="533" customFormat="1" ht="16.2">
      <c r="B125" s="1126" t="s">
        <v>762</v>
      </c>
      <c r="C125" s="1127" t="s">
        <v>591</v>
      </c>
      <c r="D125" s="1128">
        <v>1373</v>
      </c>
      <c r="E125" s="1129">
        <v>2309</v>
      </c>
      <c r="F125" s="1129">
        <v>1357</v>
      </c>
      <c r="G125" s="1129">
        <v>1622</v>
      </c>
      <c r="H125" s="1129">
        <v>1642</v>
      </c>
      <c r="I125" s="790"/>
      <c r="J125" s="790"/>
      <c r="L125" s="64"/>
      <c r="M125" s="64"/>
      <c r="N125" s="64"/>
      <c r="O125" s="64"/>
      <c r="P125" s="64"/>
    </row>
    <row r="126" spans="2:16" s="533" customFormat="1" ht="16.2">
      <c r="B126" s="1131" t="s">
        <v>764</v>
      </c>
      <c r="C126" s="1132" t="s">
        <v>591</v>
      </c>
      <c r="D126" s="1133">
        <v>17037</v>
      </c>
      <c r="E126" s="1134">
        <v>18192</v>
      </c>
      <c r="F126" s="1134">
        <v>20930</v>
      </c>
      <c r="G126" s="1134">
        <v>29972</v>
      </c>
      <c r="H126" s="1134">
        <v>35820</v>
      </c>
      <c r="I126" s="790"/>
      <c r="J126" s="790"/>
      <c r="L126" s="64"/>
      <c r="M126" s="64"/>
      <c r="N126" s="64"/>
      <c r="O126" s="64"/>
      <c r="P126" s="64"/>
    </row>
    <row r="127" spans="2:16" s="533" customFormat="1" ht="16.2">
      <c r="B127" s="1131" t="s">
        <v>766</v>
      </c>
      <c r="C127" s="1132" t="s">
        <v>591</v>
      </c>
      <c r="D127" s="1133">
        <v>27614</v>
      </c>
      <c r="E127" s="1134">
        <v>24915</v>
      </c>
      <c r="F127" s="1134">
        <v>32307</v>
      </c>
      <c r="G127" s="1134">
        <v>37739</v>
      </c>
      <c r="H127" s="1134">
        <v>43627</v>
      </c>
      <c r="I127" s="790"/>
      <c r="J127" s="790"/>
      <c r="L127" s="64"/>
      <c r="M127" s="64"/>
      <c r="N127" s="64"/>
      <c r="O127" s="64"/>
      <c r="P127" s="64"/>
    </row>
    <row r="128" spans="2:16" s="533" customFormat="1" ht="16.2">
      <c r="B128" s="1131" t="s">
        <v>876</v>
      </c>
      <c r="C128" s="1132" t="s">
        <v>591</v>
      </c>
      <c r="D128" s="1133">
        <v>3338</v>
      </c>
      <c r="E128" s="1134">
        <v>4315</v>
      </c>
      <c r="F128" s="1134">
        <v>4107</v>
      </c>
      <c r="G128" s="1134">
        <v>3169</v>
      </c>
      <c r="H128" s="1134">
        <v>2990</v>
      </c>
      <c r="I128" s="790"/>
      <c r="J128" s="790"/>
      <c r="K128" s="1135"/>
      <c r="L128" s="64"/>
      <c r="M128" s="64"/>
      <c r="N128" s="64"/>
      <c r="O128" s="64"/>
      <c r="P128" s="64"/>
    </row>
    <row r="129" spans="2:10" ht="23.4" customHeight="1">
      <c r="B129" s="252" t="s">
        <v>770</v>
      </c>
      <c r="C129" s="822" t="s">
        <v>544</v>
      </c>
      <c r="D129" s="921" t="s">
        <v>545</v>
      </c>
      <c r="E129" s="928" t="s">
        <v>546</v>
      </c>
      <c r="F129" s="928" t="s">
        <v>547</v>
      </c>
      <c r="G129" s="929" t="s">
        <v>548</v>
      </c>
      <c r="H129" s="929" t="s">
        <v>549</v>
      </c>
      <c r="I129" s="800"/>
      <c r="J129" s="800"/>
    </row>
    <row r="130" spans="2:10" s="533" customFormat="1" ht="16.2">
      <c r="B130" s="1136" t="s">
        <v>877</v>
      </c>
      <c r="C130" s="1127" t="s">
        <v>591</v>
      </c>
      <c r="D130" s="1137">
        <v>119</v>
      </c>
      <c r="E130" s="1138">
        <v>119</v>
      </c>
      <c r="F130" s="1138">
        <v>109</v>
      </c>
      <c r="G130" s="1138">
        <v>106</v>
      </c>
      <c r="H130" s="1138">
        <v>125</v>
      </c>
      <c r="I130" s="790"/>
      <c r="J130" s="790"/>
    </row>
    <row r="131" spans="2:10" s="533" customFormat="1" ht="16.2">
      <c r="B131" s="1136" t="s">
        <v>878</v>
      </c>
      <c r="C131" s="1127" t="s">
        <v>591</v>
      </c>
      <c r="D131" s="1137">
        <v>413</v>
      </c>
      <c r="E131" s="1138">
        <v>920</v>
      </c>
      <c r="F131" s="1138">
        <v>893</v>
      </c>
      <c r="G131" s="1138">
        <v>925</v>
      </c>
      <c r="H131" s="1138">
        <v>593</v>
      </c>
      <c r="I131" s="790"/>
      <c r="J131" s="790"/>
    </row>
    <row r="132" spans="2:10" s="533" customFormat="1" ht="16.2">
      <c r="B132" s="1136" t="s">
        <v>775</v>
      </c>
      <c r="C132" s="1127" t="s">
        <v>591</v>
      </c>
      <c r="D132" s="1137">
        <v>12229</v>
      </c>
      <c r="E132" s="1138">
        <v>14110</v>
      </c>
      <c r="F132" s="1138">
        <v>12303</v>
      </c>
      <c r="G132" s="1129">
        <v>10622</v>
      </c>
      <c r="H132" s="1129">
        <v>13371</v>
      </c>
      <c r="I132" s="790"/>
      <c r="J132" s="790"/>
    </row>
    <row r="133" spans="2:10" s="533" customFormat="1" ht="16.2">
      <c r="B133" s="1136" t="s">
        <v>777</v>
      </c>
      <c r="C133" s="1127" t="s">
        <v>591</v>
      </c>
      <c r="D133" s="1137">
        <v>24850</v>
      </c>
      <c r="E133" s="1138">
        <v>22742</v>
      </c>
      <c r="F133" s="1138">
        <v>25967</v>
      </c>
      <c r="G133" s="1138">
        <v>12744</v>
      </c>
      <c r="H133" s="1138">
        <v>6067</v>
      </c>
      <c r="I133" s="790"/>
      <c r="J133" s="790"/>
    </row>
    <row r="134" spans="2:10" s="533" customFormat="1" ht="16.2">
      <c r="B134" s="1139" t="s">
        <v>779</v>
      </c>
      <c r="C134" s="1132" t="s">
        <v>591</v>
      </c>
      <c r="D134" s="1133">
        <v>37611</v>
      </c>
      <c r="E134" s="1134">
        <v>37891</v>
      </c>
      <c r="F134" s="1134">
        <v>39272</v>
      </c>
      <c r="G134" s="1134">
        <v>24396</v>
      </c>
      <c r="H134" s="1134">
        <v>20156</v>
      </c>
      <c r="I134" s="1140"/>
      <c r="J134" s="1140"/>
    </row>
    <row r="135" spans="2:10" s="533" customFormat="1" ht="16.2">
      <c r="B135" s="1136" t="s">
        <v>879</v>
      </c>
      <c r="C135" s="1127" t="s">
        <v>574</v>
      </c>
      <c r="D135" s="1141">
        <v>0.1893</v>
      </c>
      <c r="E135" s="1142">
        <v>0.22650000000000001</v>
      </c>
      <c r="F135" s="1142">
        <v>0.1734</v>
      </c>
      <c r="G135" s="1142">
        <v>0.17269999999999999</v>
      </c>
      <c r="H135" s="1142">
        <v>0.21160000000000001</v>
      </c>
      <c r="I135" s="797"/>
      <c r="J135" s="797"/>
    </row>
    <row r="136" spans="2:10" s="533" customFormat="1" ht="16.2">
      <c r="B136" s="1143" t="s">
        <v>880</v>
      </c>
      <c r="C136" s="1144" t="s">
        <v>574</v>
      </c>
      <c r="D136" s="1141">
        <v>0.38729999999999998</v>
      </c>
      <c r="E136" s="1142">
        <v>0.37669999999999998</v>
      </c>
      <c r="F136" s="1142">
        <v>0.37519999999999998</v>
      </c>
      <c r="G136" s="1142">
        <v>0.22</v>
      </c>
      <c r="H136" s="1142">
        <v>0.10440000000000001</v>
      </c>
      <c r="I136" s="790"/>
      <c r="J136" s="790"/>
    </row>
    <row r="137" spans="2:10" s="533" customFormat="1" ht="16.2">
      <c r="B137" s="1143" t="s">
        <v>881</v>
      </c>
      <c r="C137" s="1144" t="s">
        <v>574</v>
      </c>
      <c r="D137" s="1141">
        <v>0.5766</v>
      </c>
      <c r="E137" s="1142">
        <v>0.60329999999999995</v>
      </c>
      <c r="F137" s="1142">
        <v>0.54869999999999997</v>
      </c>
      <c r="G137" s="1142">
        <v>0.3926</v>
      </c>
      <c r="H137" s="1142">
        <v>0.316</v>
      </c>
      <c r="I137" s="790"/>
      <c r="J137" s="790"/>
    </row>
    <row r="138" spans="2:10" ht="17.399999999999999">
      <c r="B138" s="252" t="s">
        <v>785</v>
      </c>
      <c r="C138" s="822" t="s">
        <v>544</v>
      </c>
      <c r="D138" s="921" t="s">
        <v>545</v>
      </c>
      <c r="E138" s="928" t="s">
        <v>546</v>
      </c>
      <c r="F138" s="928" t="s">
        <v>547</v>
      </c>
      <c r="G138" s="929" t="s">
        <v>548</v>
      </c>
      <c r="H138" s="929" t="s">
        <v>549</v>
      </c>
      <c r="I138" s="800"/>
      <c r="J138" s="800"/>
    </row>
    <row r="139" spans="2:10" s="533" customFormat="1" ht="17.399999999999999" customHeight="1">
      <c r="B139" s="1145" t="s">
        <v>602</v>
      </c>
      <c r="C139" s="1127" t="s">
        <v>591</v>
      </c>
      <c r="D139" s="1128">
        <v>15257</v>
      </c>
      <c r="E139" s="1146">
        <v>17233</v>
      </c>
      <c r="F139" s="1146">
        <v>17869</v>
      </c>
      <c r="G139" s="1146">
        <v>14102</v>
      </c>
      <c r="H139" s="1146">
        <v>15999</v>
      </c>
      <c r="I139" s="790"/>
      <c r="J139" s="790"/>
    </row>
    <row r="140" spans="2:10" s="533" customFormat="1" ht="16.2">
      <c r="B140" s="1145" t="s">
        <v>882</v>
      </c>
      <c r="C140" s="1127" t="s">
        <v>591</v>
      </c>
      <c r="D140" s="1147">
        <v>195</v>
      </c>
      <c r="E140" s="1148">
        <v>481</v>
      </c>
      <c r="F140" s="1148">
        <v>512</v>
      </c>
      <c r="G140" s="1148">
        <v>421</v>
      </c>
      <c r="H140" s="1148">
        <v>219</v>
      </c>
      <c r="I140" s="790"/>
      <c r="J140" s="790"/>
    </row>
    <row r="141" spans="2:10" s="533" customFormat="1" ht="16.2">
      <c r="B141" s="1145" t="s">
        <v>883</v>
      </c>
      <c r="C141" s="1127" t="s">
        <v>591</v>
      </c>
      <c r="D141" s="1147">
        <v>11492</v>
      </c>
      <c r="E141" s="1148">
        <v>12420</v>
      </c>
      <c r="F141" s="1148">
        <v>11964</v>
      </c>
      <c r="G141" s="1149">
        <v>10254</v>
      </c>
      <c r="H141" s="1149">
        <v>11777</v>
      </c>
      <c r="I141" s="790"/>
      <c r="J141" s="790"/>
    </row>
    <row r="142" spans="2:10" s="533" customFormat="1" ht="16.2">
      <c r="B142" s="1150" t="s">
        <v>601</v>
      </c>
      <c r="C142" s="1127" t="s">
        <v>591</v>
      </c>
      <c r="D142" s="1133">
        <v>3571</v>
      </c>
      <c r="E142" s="1151">
        <v>4332</v>
      </c>
      <c r="F142" s="1151">
        <v>5393</v>
      </c>
      <c r="G142" s="1151">
        <v>3427</v>
      </c>
      <c r="H142" s="1151">
        <v>4003</v>
      </c>
      <c r="I142" s="790"/>
      <c r="J142" s="790"/>
    </row>
    <row r="143" spans="2:10" ht="13.8">
      <c r="B143" s="528"/>
      <c r="C143" s="844"/>
      <c r="D143" s="148"/>
      <c r="E143" s="148"/>
      <c r="F143" s="148"/>
      <c r="G143" s="148"/>
      <c r="H143" s="148"/>
      <c r="I143" s="800"/>
      <c r="J143" s="800"/>
    </row>
    <row r="144" spans="2:10" ht="33" customHeight="1">
      <c r="B144" s="933" t="s">
        <v>884</v>
      </c>
      <c r="C144" s="831" t="s">
        <v>544</v>
      </c>
      <c r="D144" s="921" t="s">
        <v>545</v>
      </c>
      <c r="E144" s="928" t="s">
        <v>546</v>
      </c>
      <c r="F144" s="928" t="s">
        <v>547</v>
      </c>
      <c r="G144" s="929" t="s">
        <v>548</v>
      </c>
      <c r="H144" s="929" t="s">
        <v>549</v>
      </c>
      <c r="I144" s="819" t="str">
        <f>I81</f>
        <v>Performance against prior year</v>
      </c>
      <c r="J144" s="800"/>
    </row>
    <row r="145" spans="2:17" ht="18.600000000000001">
      <c r="B145" s="623" t="s">
        <v>885</v>
      </c>
      <c r="C145" s="618" t="s">
        <v>591</v>
      </c>
      <c r="D145" s="1157">
        <v>318.29000000000002</v>
      </c>
      <c r="E145" s="804">
        <v>336.7</v>
      </c>
      <c r="F145" s="804">
        <v>358.26</v>
      </c>
      <c r="G145" s="804">
        <v>338.34</v>
      </c>
      <c r="H145" s="804">
        <v>320.41000000000003</v>
      </c>
      <c r="I145" s="788">
        <f t="shared" ref="I145:I150" si="23">(D145-E145)/E145</f>
        <v>-5.4677754677754584E-2</v>
      </c>
      <c r="J145" s="800"/>
    </row>
    <row r="146" spans="2:17" ht="18.600000000000001">
      <c r="B146" s="623" t="s">
        <v>886</v>
      </c>
      <c r="C146" s="618" t="s">
        <v>591</v>
      </c>
      <c r="D146" s="1157">
        <v>36.020000000000003</v>
      </c>
      <c r="E146" s="804">
        <v>31.17</v>
      </c>
      <c r="F146" s="804">
        <v>73.42</v>
      </c>
      <c r="G146" s="804">
        <v>42.28</v>
      </c>
      <c r="H146" s="804">
        <v>16.420000000000002</v>
      </c>
      <c r="I146" s="788">
        <f t="shared" si="23"/>
        <v>0.15559833172922685</v>
      </c>
      <c r="J146" s="800"/>
    </row>
    <row r="147" spans="2:17" ht="16.2">
      <c r="B147" s="623" t="s">
        <v>607</v>
      </c>
      <c r="C147" s="618" t="s">
        <v>591</v>
      </c>
      <c r="D147" s="1157">
        <v>44.76</v>
      </c>
      <c r="E147" s="804">
        <v>42.41</v>
      </c>
      <c r="F147" s="804">
        <v>49.72</v>
      </c>
      <c r="G147" s="804">
        <v>38.729999999999997</v>
      </c>
      <c r="H147" s="804">
        <v>47.06</v>
      </c>
      <c r="I147" s="788">
        <f t="shared" si="23"/>
        <v>5.541145956142423E-2</v>
      </c>
      <c r="J147" s="800"/>
    </row>
    <row r="148" spans="2:17" ht="18.600000000000001">
      <c r="B148" s="623" t="s">
        <v>887</v>
      </c>
      <c r="C148" s="618" t="s">
        <v>574</v>
      </c>
      <c r="D148" s="781">
        <v>0.875</v>
      </c>
      <c r="E148" s="1156">
        <v>0.86</v>
      </c>
      <c r="F148" s="1156">
        <v>0.85</v>
      </c>
      <c r="G148" s="682">
        <v>0.85</v>
      </c>
      <c r="H148" s="682">
        <v>0.82</v>
      </c>
      <c r="I148" s="788">
        <f t="shared" si="23"/>
        <v>1.7441860465116296E-2</v>
      </c>
      <c r="J148" s="800"/>
    </row>
    <row r="149" spans="2:17" ht="18.600000000000001">
      <c r="B149" s="706" t="s">
        <v>888</v>
      </c>
      <c r="C149" s="618" t="s">
        <v>574</v>
      </c>
      <c r="D149" s="781">
        <v>0.67500000000000004</v>
      </c>
      <c r="E149" s="1156">
        <v>0.36</v>
      </c>
      <c r="F149" s="1156">
        <v>0.34</v>
      </c>
      <c r="G149" s="682">
        <v>0.36</v>
      </c>
      <c r="H149" s="682">
        <v>0.32</v>
      </c>
      <c r="I149" s="788">
        <f t="shared" si="23"/>
        <v>0.87500000000000022</v>
      </c>
      <c r="J149" s="800"/>
    </row>
    <row r="150" spans="2:17" ht="16.2">
      <c r="B150" s="706" t="s">
        <v>610</v>
      </c>
      <c r="C150" s="618" t="s">
        <v>574</v>
      </c>
      <c r="D150" s="781">
        <v>0.8</v>
      </c>
      <c r="E150" s="1156">
        <v>0.56999999999999995</v>
      </c>
      <c r="F150" s="1156">
        <v>0.56000000000000005</v>
      </c>
      <c r="G150" s="682">
        <v>0.54</v>
      </c>
      <c r="H150" s="682">
        <v>0.53</v>
      </c>
      <c r="I150" s="788">
        <f t="shared" si="23"/>
        <v>0.40350877192982476</v>
      </c>
      <c r="J150" s="800"/>
    </row>
    <row r="151" spans="2:17" ht="13.8">
      <c r="B151" s="126"/>
      <c r="C151" s="583"/>
      <c r="D151" s="784"/>
      <c r="E151" s="805"/>
      <c r="F151" s="805"/>
      <c r="G151" s="805"/>
      <c r="H151" s="806"/>
      <c r="I151" s="800"/>
      <c r="J151" s="800"/>
    </row>
    <row r="152" spans="2:17" ht="17.399999999999999">
      <c r="B152" s="932" t="s">
        <v>889</v>
      </c>
      <c r="C152" s="822" t="s">
        <v>544</v>
      </c>
      <c r="D152" s="921" t="s">
        <v>545</v>
      </c>
      <c r="E152" s="927" t="str">
        <f>E35</f>
        <v>2022/23</v>
      </c>
      <c r="F152" s="927" t="str">
        <f>F35</f>
        <v>2021/22</v>
      </c>
      <c r="G152" s="927" t="str">
        <f>G35</f>
        <v>2020/21</v>
      </c>
      <c r="H152" s="927" t="str">
        <f>H35</f>
        <v>2019/20</v>
      </c>
      <c r="I152" s="807"/>
      <c r="J152" s="807"/>
      <c r="K152" s="128"/>
      <c r="L152" s="107"/>
      <c r="Q152" s="107"/>
    </row>
    <row r="153" spans="2:17" ht="16.2">
      <c r="B153" s="705" t="s">
        <v>890</v>
      </c>
      <c r="C153" s="829" t="s">
        <v>891</v>
      </c>
      <c r="D153" s="668">
        <v>107900</v>
      </c>
      <c r="E153" s="687">
        <v>108126.3428</v>
      </c>
      <c r="F153" s="687">
        <v>109536.2596</v>
      </c>
      <c r="G153" s="687">
        <v>106223.33839999999</v>
      </c>
      <c r="H153" s="687">
        <v>113152.4921</v>
      </c>
      <c r="I153" s="807"/>
      <c r="J153" s="807"/>
      <c r="K153" s="128"/>
      <c r="L153" s="107"/>
      <c r="Q153" s="107"/>
    </row>
    <row r="154" spans="2:17" ht="13.8">
      <c r="B154" s="608" t="s">
        <v>892</v>
      </c>
      <c r="C154" s="829" t="s">
        <v>893</v>
      </c>
      <c r="D154" s="1221">
        <v>12843</v>
      </c>
      <c r="E154" s="1222">
        <v>14933</v>
      </c>
      <c r="F154" s="1222">
        <v>16025</v>
      </c>
      <c r="G154" s="1222">
        <v>15435</v>
      </c>
      <c r="H154" s="1222">
        <v>14577</v>
      </c>
      <c r="I154" s="140"/>
      <c r="J154" s="140"/>
      <c r="K154" s="128"/>
      <c r="L154" s="107"/>
      <c r="Q154" s="107"/>
    </row>
    <row r="155" spans="2:17" ht="13.8">
      <c r="B155" s="125"/>
      <c r="C155" s="828"/>
      <c r="D155" s="785"/>
      <c r="E155" s="126"/>
      <c r="F155" s="126"/>
      <c r="G155" s="126"/>
      <c r="H155" s="127"/>
      <c r="I155" s="127"/>
      <c r="J155" s="127"/>
      <c r="K155" s="128"/>
      <c r="L155" s="128"/>
    </row>
    <row r="156" spans="2:17" ht="17.399999999999999">
      <c r="B156" s="780" t="s">
        <v>841</v>
      </c>
      <c r="C156" s="831" t="s">
        <v>544</v>
      </c>
      <c r="D156" s="921" t="s">
        <v>545</v>
      </c>
      <c r="E156" s="927" t="s">
        <v>546</v>
      </c>
      <c r="Q156" s="107"/>
    </row>
    <row r="157" spans="2:17" ht="32.4">
      <c r="B157" s="613" t="s">
        <v>381</v>
      </c>
      <c r="C157" s="618" t="s">
        <v>894</v>
      </c>
      <c r="D157" s="1073">
        <v>1</v>
      </c>
      <c r="E157" s="804">
        <v>1</v>
      </c>
      <c r="Q157" s="107"/>
    </row>
    <row r="158" spans="2:17" ht="16.2">
      <c r="B158" s="623" t="s">
        <v>843</v>
      </c>
      <c r="C158" s="618" t="s">
        <v>845</v>
      </c>
      <c r="D158" s="692">
        <v>0</v>
      </c>
      <c r="E158" s="687">
        <v>0</v>
      </c>
    </row>
    <row r="159" spans="2:17" ht="13.8"/>
    <row r="160" spans="2:17" ht="13.8"/>
    <row r="161" spans="9:12" ht="13.8"/>
    <row r="162" spans="9:12" ht="13.8"/>
    <row r="163" spans="9:12" ht="13.8"/>
    <row r="164" spans="9:12" ht="13.8">
      <c r="I164" s="107"/>
    </row>
    <row r="165" spans="9:12" ht="13.8">
      <c r="L165" s="107"/>
    </row>
    <row r="166" spans="9:12" ht="13.8"/>
  </sheetData>
  <sheetProtection algorithmName="SHA-512" hashValue="54Vj3Df2SmYpurpa7VbFiJ5My9pYbQDc8DLryEmUQfPnv1+yFN4GV2L4AUDll/+Fbzm9pJ+TBrrzQzun4ErnzA==" saltValue="UQ7B5d9xsISqUkgvmlV7Ag==" spinCount="100000" sheet="1" objects="1" scenarios="1"/>
  <mergeCells count="7">
    <mergeCell ref="B4:I4"/>
    <mergeCell ref="H79:J79"/>
    <mergeCell ref="H6:J6"/>
    <mergeCell ref="B8:B9"/>
    <mergeCell ref="C8:C9"/>
    <mergeCell ref="B49:B50"/>
    <mergeCell ref="C49:C50"/>
  </mergeCells>
  <phoneticPr fontId="3" type="noConversion"/>
  <pageMargins left="0.23622047244094491" right="0.23622047244094491" top="0.74803149606299213" bottom="0.74803149606299213" header="0.31496062992125984" footer="0.31496062992125984"/>
  <pageSetup paperSize="9" scale="48" fitToHeight="0" orientation="landscape" r:id="rId1"/>
  <rowBreaks count="2" manualBreakCount="2">
    <brk id="45" min="1" max="8" man="1"/>
    <brk id="100" min="1" max="8"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3C5-3E4C-400D-86F1-0714C04F89B5}">
  <sheetPr>
    <tabColor theme="7"/>
    <pageSetUpPr fitToPage="1"/>
  </sheetPr>
  <dimension ref="A1:W160"/>
  <sheetViews>
    <sheetView zoomScale="80" zoomScaleNormal="80" workbookViewId="0"/>
  </sheetViews>
  <sheetFormatPr defaultColWidth="8.88671875" defaultRowHeight="13.8"/>
  <cols>
    <col min="1" max="1" width="8.88671875" style="2" customWidth="1"/>
    <col min="2" max="2" width="95.88671875" style="15" bestFit="1" customWidth="1"/>
    <col min="3" max="3" width="15.5546875" style="15" customWidth="1"/>
    <col min="4" max="4" width="14.88671875" style="15" customWidth="1"/>
    <col min="5" max="5" width="15.44140625" style="15" customWidth="1"/>
    <col min="6" max="6" width="15.109375" style="15" customWidth="1"/>
    <col min="7" max="8" width="14.88671875" style="15" customWidth="1"/>
    <col min="9" max="9" width="16.88671875" style="15" customWidth="1"/>
    <col min="10" max="11" width="14.88671875" style="15" customWidth="1"/>
    <col min="12" max="12" width="14.44140625" style="15" customWidth="1"/>
    <col min="13" max="13" width="13.88671875" style="15" customWidth="1"/>
    <col min="14" max="14" width="16.5546875" style="15" customWidth="1"/>
    <col min="15" max="15" width="13.44140625" style="15" bestFit="1" customWidth="1"/>
    <col min="16" max="16" width="13.5546875" style="2" customWidth="1"/>
    <col min="17" max="17" width="9.109375" style="2" customWidth="1"/>
    <col min="18" max="18" width="12.44140625" style="2" customWidth="1"/>
    <col min="19" max="19" width="13.6640625" style="2" customWidth="1"/>
    <col min="20" max="16384" width="8.88671875" style="2"/>
  </cols>
  <sheetData>
    <row r="1" spans="1:18" ht="35.4">
      <c r="A1" s="66"/>
    </row>
    <row r="2" spans="1:18" ht="74.099999999999994" customHeight="1">
      <c r="A2" s="66"/>
      <c r="B2" s="654" t="s">
        <v>25</v>
      </c>
      <c r="C2" s="654"/>
      <c r="D2" s="654"/>
      <c r="E2" s="654"/>
      <c r="F2" s="654"/>
      <c r="G2" s="654"/>
      <c r="H2" s="654"/>
      <c r="I2" s="654"/>
      <c r="J2" s="654"/>
      <c r="K2" s="654"/>
      <c r="L2" s="654"/>
      <c r="M2" s="654"/>
      <c r="N2" s="654"/>
      <c r="O2" s="654"/>
      <c r="P2" s="654"/>
      <c r="Q2" s="654"/>
      <c r="R2" s="654"/>
    </row>
    <row r="4" spans="1:18" ht="22.5" customHeight="1">
      <c r="B4" s="1480" t="s">
        <v>895</v>
      </c>
      <c r="C4" s="1480"/>
      <c r="D4" s="1480"/>
      <c r="E4" s="1480"/>
      <c r="F4" s="1480"/>
      <c r="G4" s="1480"/>
      <c r="H4" s="1480"/>
      <c r="I4" s="1480"/>
      <c r="J4" s="1480"/>
      <c r="K4" s="1480"/>
      <c r="L4" s="1480"/>
      <c r="M4" s="655"/>
      <c r="O4" s="655"/>
    </row>
    <row r="5" spans="1:18">
      <c r="B5" s="493"/>
      <c r="C5" s="493"/>
      <c r="D5" s="493"/>
      <c r="E5" s="493"/>
      <c r="F5" s="493"/>
      <c r="G5" s="493"/>
      <c r="H5" s="493"/>
      <c r="I5" s="493"/>
      <c r="J5" s="493"/>
      <c r="K5" s="493"/>
      <c r="L5" s="493"/>
      <c r="M5" s="493"/>
      <c r="O5" s="493"/>
    </row>
    <row r="6" spans="1:18" ht="17.399999999999999">
      <c r="B6" s="937" t="s">
        <v>896</v>
      </c>
      <c r="C6" s="914" t="s">
        <v>545</v>
      </c>
      <c r="D6" s="938" t="s">
        <v>546</v>
      </c>
      <c r="E6" s="938" t="s">
        <v>547</v>
      </c>
      <c r="F6" s="938" t="s">
        <v>548</v>
      </c>
      <c r="G6" s="67"/>
      <c r="H6" s="67"/>
      <c r="I6" s="67"/>
      <c r="J6" s="67"/>
      <c r="K6" s="67"/>
      <c r="L6" s="67"/>
      <c r="M6" s="67"/>
    </row>
    <row r="7" spans="1:18" ht="17.399999999999999">
      <c r="B7" s="1054" t="s">
        <v>897</v>
      </c>
      <c r="C7" s="996">
        <f>C8+C11+C12</f>
        <v>13863</v>
      </c>
      <c r="D7" s="715">
        <f>D8+D11+D12</f>
        <v>14472</v>
      </c>
      <c r="E7" s="715">
        <f>E8+E11+E12</f>
        <v>14345</v>
      </c>
      <c r="F7" s="715">
        <f>F8+F11+F12</f>
        <v>14583</v>
      </c>
      <c r="G7" s="67"/>
      <c r="H7" s="67"/>
      <c r="I7" s="67"/>
      <c r="J7" s="67"/>
      <c r="K7" s="67"/>
      <c r="L7" s="67"/>
      <c r="M7" s="67"/>
      <c r="O7" s="67"/>
    </row>
    <row r="8" spans="1:18" ht="16.2">
      <c r="A8" s="987"/>
      <c r="B8" s="986" t="s">
        <v>898</v>
      </c>
      <c r="C8" s="997">
        <v>11685</v>
      </c>
      <c r="D8" s="603">
        <f>H36</f>
        <v>12638</v>
      </c>
      <c r="E8" s="603">
        <f>K36</f>
        <v>13430</v>
      </c>
      <c r="F8" s="603">
        <f>N36</f>
        <v>13641</v>
      </c>
      <c r="G8" s="67"/>
      <c r="H8" s="67"/>
      <c r="I8" s="67"/>
      <c r="J8" s="67"/>
      <c r="K8" s="67"/>
      <c r="L8" s="67"/>
      <c r="M8" s="67"/>
      <c r="O8" s="67"/>
    </row>
    <row r="9" spans="1:18" ht="16.2">
      <c r="A9" s="987"/>
      <c r="B9" s="1056" t="s">
        <v>899</v>
      </c>
      <c r="C9" s="997">
        <v>11390</v>
      </c>
      <c r="D9" s="603">
        <v>12315</v>
      </c>
      <c r="E9" s="1084"/>
      <c r="F9" s="1084"/>
      <c r="G9" s="67"/>
      <c r="H9" s="67"/>
      <c r="I9" s="67"/>
      <c r="J9" s="67"/>
      <c r="K9" s="67"/>
      <c r="L9" s="67"/>
      <c r="M9" s="67"/>
      <c r="O9" s="67"/>
    </row>
    <row r="10" spans="1:18" ht="16.2">
      <c r="A10" s="987"/>
      <c r="B10" s="1056" t="s">
        <v>900</v>
      </c>
      <c r="C10" s="997">
        <v>295</v>
      </c>
      <c r="D10" s="603">
        <v>323</v>
      </c>
      <c r="E10" s="1084"/>
      <c r="F10" s="1084"/>
      <c r="G10" s="67"/>
      <c r="H10" s="67"/>
      <c r="I10" s="67"/>
      <c r="J10" s="67"/>
      <c r="K10" s="67"/>
      <c r="L10" s="67"/>
      <c r="M10" s="67"/>
      <c r="O10" s="67"/>
    </row>
    <row r="11" spans="1:18" ht="16.2">
      <c r="A11" s="52"/>
      <c r="B11" s="986" t="s">
        <v>901</v>
      </c>
      <c r="C11" s="998">
        <v>905</v>
      </c>
      <c r="D11" s="990">
        <v>949</v>
      </c>
      <c r="E11" s="1085"/>
      <c r="F11" s="1085"/>
      <c r="G11" s="67"/>
      <c r="H11" s="67"/>
      <c r="I11" s="67"/>
      <c r="J11" s="67"/>
      <c r="K11" s="67"/>
      <c r="L11" s="67"/>
      <c r="M11" s="67"/>
      <c r="O11" s="67"/>
    </row>
    <row r="12" spans="1:18" ht="16.2">
      <c r="A12" s="52"/>
      <c r="B12" s="986" t="s">
        <v>902</v>
      </c>
      <c r="C12" s="998">
        <v>1273</v>
      </c>
      <c r="D12" s="716">
        <v>885</v>
      </c>
      <c r="E12" s="716">
        <v>915</v>
      </c>
      <c r="F12" s="716">
        <v>942</v>
      </c>
      <c r="G12" s="988"/>
      <c r="H12" s="493"/>
      <c r="I12" s="493"/>
      <c r="J12" s="493"/>
      <c r="K12" s="493"/>
      <c r="L12" s="493"/>
      <c r="M12" s="493"/>
      <c r="N12" s="493"/>
      <c r="O12" s="493"/>
    </row>
    <row r="13" spans="1:18">
      <c r="B13" s="67"/>
      <c r="C13" s="67"/>
      <c r="D13" s="67"/>
      <c r="E13" s="67"/>
      <c r="F13" s="67"/>
      <c r="G13" s="67"/>
      <c r="H13" s="67"/>
      <c r="I13" s="67"/>
      <c r="J13" s="67"/>
      <c r="K13" s="67"/>
      <c r="L13" s="67"/>
      <c r="M13" s="67"/>
      <c r="N13" s="67"/>
      <c r="O13" s="67"/>
    </row>
    <row r="14" spans="1:18" ht="29.1" customHeight="1">
      <c r="B14" s="939" t="s">
        <v>903</v>
      </c>
      <c r="C14" s="1452" t="s">
        <v>545</v>
      </c>
      <c r="D14" s="1452"/>
      <c r="E14" s="1452"/>
      <c r="F14" s="1454" t="s">
        <v>546</v>
      </c>
      <c r="G14" s="1454"/>
      <c r="H14" s="1454"/>
      <c r="I14" s="1454" t="s">
        <v>547</v>
      </c>
      <c r="J14" s="1454"/>
      <c r="K14" s="1454"/>
      <c r="L14" s="1454" t="s">
        <v>548</v>
      </c>
      <c r="M14" s="1454"/>
      <c r="N14" s="1454"/>
      <c r="O14" s="1463" t="s">
        <v>904</v>
      </c>
      <c r="Q14" s="67"/>
      <c r="R14" s="67"/>
    </row>
    <row r="15" spans="1:18" ht="29.1" customHeight="1">
      <c r="A15" s="15"/>
      <c r="B15" s="585" t="s">
        <v>905</v>
      </c>
      <c r="C15" s="588" t="s">
        <v>906</v>
      </c>
      <c r="D15" s="588" t="s">
        <v>907</v>
      </c>
      <c r="E15" s="588" t="s">
        <v>709</v>
      </c>
      <c r="F15" s="588" t="s">
        <v>906</v>
      </c>
      <c r="G15" s="588" t="s">
        <v>907</v>
      </c>
      <c r="H15" s="588" t="s">
        <v>709</v>
      </c>
      <c r="I15" s="588" t="s">
        <v>906</v>
      </c>
      <c r="J15" s="588" t="s">
        <v>907</v>
      </c>
      <c r="K15" s="588" t="s">
        <v>709</v>
      </c>
      <c r="L15" s="588" t="s">
        <v>906</v>
      </c>
      <c r="M15" s="588" t="s">
        <v>907</v>
      </c>
      <c r="N15" s="588" t="s">
        <v>709</v>
      </c>
      <c r="O15" s="1463"/>
      <c r="Q15" s="98" t="s">
        <v>908</v>
      </c>
    </row>
    <row r="16" spans="1:18" ht="16.2" hidden="1">
      <c r="A16" s="15"/>
      <c r="B16" s="589" t="s">
        <v>909</v>
      </c>
      <c r="C16" s="590"/>
      <c r="D16" s="590"/>
      <c r="E16" s="590"/>
      <c r="F16" s="590"/>
      <c r="G16" s="590"/>
      <c r="H16" s="590"/>
      <c r="I16" s="590"/>
      <c r="J16" s="590"/>
      <c r="K16" s="590"/>
      <c r="L16" s="590"/>
      <c r="M16" s="590"/>
      <c r="N16" s="590"/>
      <c r="O16" s="645"/>
      <c r="P16" s="98"/>
      <c r="Q16" s="98"/>
    </row>
    <row r="17" spans="1:23" ht="16.2" hidden="1">
      <c r="A17" s="15"/>
      <c r="B17" s="596" t="s">
        <v>910</v>
      </c>
      <c r="C17" s="597"/>
      <c r="D17" s="597"/>
      <c r="E17" s="597"/>
      <c r="F17" s="1469">
        <v>1116</v>
      </c>
      <c r="G17" s="1469">
        <v>2798</v>
      </c>
      <c r="H17" s="1469">
        <f>SUM(F17:G17)</f>
        <v>3914</v>
      </c>
      <c r="I17" s="1469">
        <v>2333</v>
      </c>
      <c r="J17" s="1469">
        <v>4901</v>
      </c>
      <c r="K17" s="1469">
        <f>SUM(I17:J17)</f>
        <v>7234</v>
      </c>
      <c r="L17" s="1469">
        <v>2344</v>
      </c>
      <c r="M17" s="1469">
        <v>5229</v>
      </c>
      <c r="N17" s="1469">
        <f>L17+M17</f>
        <v>7573</v>
      </c>
      <c r="O17" s="645">
        <f t="shared" ref="O17:O22" si="0">F17/H17</f>
        <v>0.28513030148185997</v>
      </c>
      <c r="P17" s="1470"/>
      <c r="Q17" s="1470"/>
      <c r="R17" s="2" t="str">
        <f>B17</f>
        <v xml:space="preserve">UK </v>
      </c>
      <c r="S17" s="95">
        <f>H17+H24</f>
        <v>4079</v>
      </c>
    </row>
    <row r="18" spans="1:23" ht="16.2" hidden="1">
      <c r="A18" s="15"/>
      <c r="B18" s="596" t="s">
        <v>911</v>
      </c>
      <c r="C18" s="597"/>
      <c r="D18" s="597"/>
      <c r="E18" s="597"/>
      <c r="F18" s="1469">
        <v>1088</v>
      </c>
      <c r="G18" s="1469">
        <v>1602</v>
      </c>
      <c r="H18" s="1469">
        <f>SUM(F18:G18)</f>
        <v>2690</v>
      </c>
      <c r="I18" s="1469"/>
      <c r="J18" s="1469"/>
      <c r="K18" s="1469"/>
      <c r="L18" s="1469"/>
      <c r="M18" s="1469"/>
      <c r="N18" s="1469"/>
      <c r="O18" s="645">
        <f t="shared" si="0"/>
        <v>0.40446096654275093</v>
      </c>
      <c r="P18" s="1471"/>
      <c r="Q18" s="1471"/>
      <c r="R18" s="2" t="str">
        <f>B18</f>
        <v>Rest of Europe</v>
      </c>
      <c r="S18" s="95">
        <f>H18+H25</f>
        <v>2858</v>
      </c>
    </row>
    <row r="19" spans="1:23" ht="16.2" hidden="1">
      <c r="A19" s="15"/>
      <c r="B19" s="596" t="s">
        <v>912</v>
      </c>
      <c r="C19" s="597"/>
      <c r="D19" s="597"/>
      <c r="E19" s="597"/>
      <c r="F19" s="597">
        <v>554</v>
      </c>
      <c r="G19" s="597">
        <v>1606</v>
      </c>
      <c r="H19" s="597">
        <f>SUM(F19:G19)</f>
        <v>2160</v>
      </c>
      <c r="I19" s="597">
        <v>685</v>
      </c>
      <c r="J19" s="597">
        <v>2076</v>
      </c>
      <c r="K19" s="597">
        <f>SUM(I19:J19)</f>
        <v>2761</v>
      </c>
      <c r="L19" s="597">
        <v>660</v>
      </c>
      <c r="M19" s="597">
        <v>2078</v>
      </c>
      <c r="N19" s="597">
        <f>L19+M19</f>
        <v>2738</v>
      </c>
      <c r="O19" s="645">
        <f t="shared" si="0"/>
        <v>0.25648148148148148</v>
      </c>
      <c r="P19" s="100"/>
      <c r="Q19" s="100"/>
      <c r="R19" s="2" t="str">
        <f>B19</f>
        <v>North America</v>
      </c>
      <c r="S19" s="95">
        <f>H19+H26</f>
        <v>2186</v>
      </c>
    </row>
    <row r="20" spans="1:23" ht="16.2" hidden="1">
      <c r="A20" s="15"/>
      <c r="B20" s="596" t="s">
        <v>913</v>
      </c>
      <c r="C20" s="597"/>
      <c r="D20" s="597"/>
      <c r="E20" s="597"/>
      <c r="F20" s="597">
        <v>537</v>
      </c>
      <c r="G20" s="597">
        <v>1902</v>
      </c>
      <c r="H20" s="597">
        <f>SUM(F20:G20)</f>
        <v>2439</v>
      </c>
      <c r="I20" s="597">
        <v>510</v>
      </c>
      <c r="J20" s="597">
        <v>1965</v>
      </c>
      <c r="K20" s="597">
        <f>SUM(I20:J20)</f>
        <v>2475</v>
      </c>
      <c r="L20" s="597">
        <v>441</v>
      </c>
      <c r="M20" s="597">
        <v>1913</v>
      </c>
      <c r="N20" s="597">
        <f>L20+M20</f>
        <v>2354</v>
      </c>
      <c r="O20" s="645">
        <f t="shared" si="0"/>
        <v>0.22017220172201721</v>
      </c>
      <c r="P20" s="100"/>
      <c r="Q20" s="100"/>
      <c r="R20" s="2" t="str">
        <f>B20</f>
        <v>Asia</v>
      </c>
      <c r="S20" s="95">
        <f>H20+H27</f>
        <v>2459</v>
      </c>
    </row>
    <row r="21" spans="1:23" ht="16.2" hidden="1">
      <c r="A21" s="15"/>
      <c r="B21" s="596" t="s">
        <v>914</v>
      </c>
      <c r="C21" s="597"/>
      <c r="D21" s="597"/>
      <c r="E21" s="597"/>
      <c r="F21" s="597">
        <v>280</v>
      </c>
      <c r="G21" s="597">
        <v>701</v>
      </c>
      <c r="H21" s="597">
        <f>SUM(F21:G21)</f>
        <v>981</v>
      </c>
      <c r="I21" s="597">
        <v>200</v>
      </c>
      <c r="J21" s="597">
        <v>410</v>
      </c>
      <c r="K21" s="597">
        <f>SUM(I21:J21)</f>
        <v>610</v>
      </c>
      <c r="L21" s="597">
        <v>198</v>
      </c>
      <c r="M21" s="597">
        <v>396</v>
      </c>
      <c r="N21" s="597">
        <f>L21+M21</f>
        <v>594</v>
      </c>
      <c r="O21" s="645">
        <f t="shared" si="0"/>
        <v>0.2854230377166157</v>
      </c>
      <c r="P21" s="100"/>
      <c r="Q21" s="100"/>
      <c r="R21" s="2" t="str">
        <f>B21</f>
        <v>Rest of World</v>
      </c>
      <c r="S21" s="95">
        <f>H21+H28</f>
        <v>1056</v>
      </c>
    </row>
    <row r="22" spans="1:23" ht="16.2" hidden="1">
      <c r="A22" s="15"/>
      <c r="B22" s="598" t="s">
        <v>915</v>
      </c>
      <c r="C22" s="597"/>
      <c r="D22" s="597"/>
      <c r="E22" s="597"/>
      <c r="F22" s="597">
        <f t="shared" ref="F22:N22" si="1">SUM(F17:F21)</f>
        <v>3575</v>
      </c>
      <c r="G22" s="597">
        <f t="shared" si="1"/>
        <v>8609</v>
      </c>
      <c r="H22" s="597">
        <f t="shared" si="1"/>
        <v>12184</v>
      </c>
      <c r="I22" s="597">
        <f t="shared" si="1"/>
        <v>3728</v>
      </c>
      <c r="J22" s="597">
        <f t="shared" si="1"/>
        <v>9352</v>
      </c>
      <c r="K22" s="597">
        <f t="shared" si="1"/>
        <v>13080</v>
      </c>
      <c r="L22" s="597">
        <f t="shared" si="1"/>
        <v>3643</v>
      </c>
      <c r="M22" s="597">
        <f t="shared" si="1"/>
        <v>9616</v>
      </c>
      <c r="N22" s="597">
        <f t="shared" si="1"/>
        <v>13259</v>
      </c>
      <c r="O22" s="645">
        <f t="shared" si="0"/>
        <v>0.29341759684832569</v>
      </c>
      <c r="P22" s="101"/>
      <c r="Q22" s="101"/>
      <c r="S22" s="95"/>
    </row>
    <row r="23" spans="1:23" ht="16.2" hidden="1">
      <c r="A23" s="15"/>
      <c r="B23" s="589" t="s">
        <v>916</v>
      </c>
      <c r="C23" s="593"/>
      <c r="D23" s="593"/>
      <c r="E23" s="593"/>
      <c r="F23" s="593"/>
      <c r="G23" s="593"/>
      <c r="H23" s="593"/>
      <c r="I23" s="593"/>
      <c r="J23" s="593"/>
      <c r="K23" s="593"/>
      <c r="L23" s="593"/>
      <c r="M23" s="593"/>
      <c r="N23" s="593"/>
      <c r="O23" s="645"/>
      <c r="P23" s="98"/>
      <c r="Q23" s="98"/>
    </row>
    <row r="24" spans="1:23" ht="16.2" hidden="1">
      <c r="A24" s="15"/>
      <c r="B24" s="596" t="s">
        <v>910</v>
      </c>
      <c r="C24" s="597"/>
      <c r="D24" s="597"/>
      <c r="E24" s="597"/>
      <c r="F24" s="1469">
        <v>64</v>
      </c>
      <c r="G24" s="1469">
        <v>101</v>
      </c>
      <c r="H24" s="1469">
        <f>SUM(F24:G24)</f>
        <v>165</v>
      </c>
      <c r="I24" s="1469">
        <v>102</v>
      </c>
      <c r="J24" s="1469">
        <v>104</v>
      </c>
      <c r="K24" s="1469">
        <f>SUM(I24:J24)</f>
        <v>206</v>
      </c>
      <c r="L24" s="1469">
        <v>103</v>
      </c>
      <c r="M24" s="1469">
        <v>154</v>
      </c>
      <c r="N24" s="1469">
        <f>L24+M24</f>
        <v>257</v>
      </c>
      <c r="O24" s="645">
        <f t="shared" ref="O24:O29" si="2">F24/H24</f>
        <v>0.38787878787878788</v>
      </c>
      <c r="P24" s="98"/>
      <c r="Q24" s="98"/>
      <c r="R24" t="s">
        <v>917</v>
      </c>
      <c r="S24" s="384">
        <v>0.54900000000000004</v>
      </c>
      <c r="T24" s="385">
        <v>0.55000000000000004</v>
      </c>
    </row>
    <row r="25" spans="1:23" ht="16.2" hidden="1">
      <c r="A25" s="15"/>
      <c r="B25" s="596" t="s">
        <v>911</v>
      </c>
      <c r="C25" s="597"/>
      <c r="D25" s="597"/>
      <c r="E25" s="597"/>
      <c r="F25" s="1469">
        <v>77</v>
      </c>
      <c r="G25" s="1469">
        <v>91</v>
      </c>
      <c r="H25" s="1469">
        <f>SUM(F25:G25)</f>
        <v>168</v>
      </c>
      <c r="I25" s="1469"/>
      <c r="J25" s="1469"/>
      <c r="K25" s="1469"/>
      <c r="L25" s="1469"/>
      <c r="M25" s="1469"/>
      <c r="N25" s="1469"/>
      <c r="O25" s="645">
        <f t="shared" si="2"/>
        <v>0.45833333333333331</v>
      </c>
      <c r="P25" s="99"/>
      <c r="Q25" s="99"/>
      <c r="R25" s="2" t="s">
        <v>918</v>
      </c>
      <c r="S25" s="384">
        <v>8.3000000000000004E-2</v>
      </c>
      <c r="T25" s="385">
        <v>0.08</v>
      </c>
    </row>
    <row r="26" spans="1:23" ht="16.2" hidden="1">
      <c r="A26" s="15"/>
      <c r="B26" s="596" t="s">
        <v>912</v>
      </c>
      <c r="C26" s="597"/>
      <c r="D26" s="597"/>
      <c r="E26" s="597"/>
      <c r="F26" s="597">
        <v>13</v>
      </c>
      <c r="G26" s="597">
        <v>13</v>
      </c>
      <c r="H26" s="597">
        <f>SUM(F26:G26)</f>
        <v>26</v>
      </c>
      <c r="I26" s="597">
        <v>30</v>
      </c>
      <c r="J26" s="597">
        <v>44</v>
      </c>
      <c r="K26" s="597">
        <f>SUM(I26:J26)</f>
        <v>74</v>
      </c>
      <c r="L26" s="597">
        <v>4</v>
      </c>
      <c r="M26" s="597">
        <v>51</v>
      </c>
      <c r="N26" s="597">
        <f>L26+M26</f>
        <v>55</v>
      </c>
      <c r="O26" s="645">
        <f t="shared" si="2"/>
        <v>0.5</v>
      </c>
      <c r="P26" s="99"/>
      <c r="Q26" s="99"/>
      <c r="R26" s="2" t="s">
        <v>919</v>
      </c>
      <c r="S26" s="384">
        <v>0.111</v>
      </c>
      <c r="T26" s="385">
        <v>0.11</v>
      </c>
    </row>
    <row r="27" spans="1:23" ht="16.2" hidden="1">
      <c r="A27" s="15"/>
      <c r="B27" s="596" t="s">
        <v>913</v>
      </c>
      <c r="C27" s="597"/>
      <c r="D27" s="597"/>
      <c r="E27" s="597"/>
      <c r="F27" s="597">
        <v>10</v>
      </c>
      <c r="G27" s="597">
        <v>10</v>
      </c>
      <c r="H27" s="597">
        <f>SUM(F27:G27)</f>
        <v>20</v>
      </c>
      <c r="I27" s="597">
        <v>10</v>
      </c>
      <c r="J27" s="597">
        <v>12</v>
      </c>
      <c r="K27" s="597">
        <f>SUM(I27:J27)</f>
        <v>22</v>
      </c>
      <c r="L27" s="597">
        <v>14</v>
      </c>
      <c r="M27" s="597">
        <v>13</v>
      </c>
      <c r="N27" s="597">
        <f>L27+M27</f>
        <v>27</v>
      </c>
      <c r="O27" s="645">
        <f t="shared" si="2"/>
        <v>0.5</v>
      </c>
      <c r="P27" s="99"/>
      <c r="Q27" s="99"/>
      <c r="R27" s="2" t="s">
        <v>912</v>
      </c>
      <c r="S27" s="384">
        <v>0.17299999999999999</v>
      </c>
      <c r="T27" s="385">
        <v>0.17</v>
      </c>
    </row>
    <row r="28" spans="1:23" ht="16.2" hidden="1">
      <c r="A28" s="15"/>
      <c r="B28" s="596" t="s">
        <v>914</v>
      </c>
      <c r="C28" s="597"/>
      <c r="D28" s="597"/>
      <c r="E28" s="597"/>
      <c r="F28" s="597">
        <v>34</v>
      </c>
      <c r="G28" s="597">
        <v>41</v>
      </c>
      <c r="H28" s="597">
        <f>SUM(F28:G28)</f>
        <v>75</v>
      </c>
      <c r="I28" s="597">
        <v>28</v>
      </c>
      <c r="J28" s="597">
        <v>20</v>
      </c>
      <c r="K28" s="597">
        <f>SUM(I28:J28)</f>
        <v>48</v>
      </c>
      <c r="L28" s="597">
        <v>19</v>
      </c>
      <c r="M28" s="597">
        <v>24</v>
      </c>
      <c r="N28" s="597">
        <f>L28+M28</f>
        <v>43</v>
      </c>
      <c r="O28" s="645">
        <f t="shared" si="2"/>
        <v>0.45333333333333331</v>
      </c>
      <c r="P28" s="99"/>
      <c r="Q28" s="99"/>
      <c r="R28" s="2" t="s">
        <v>914</v>
      </c>
      <c r="S28" s="384">
        <v>8.4000000000000005E-2</v>
      </c>
      <c r="T28" s="385">
        <v>0.09</v>
      </c>
    </row>
    <row r="29" spans="1:23" ht="16.2" hidden="1">
      <c r="A29" s="15"/>
      <c r="B29" s="598" t="s">
        <v>915</v>
      </c>
      <c r="C29" s="597"/>
      <c r="D29" s="597"/>
      <c r="E29" s="597"/>
      <c r="F29" s="597">
        <f t="shared" ref="F29:M29" si="3">SUM(F24:F28)</f>
        <v>198</v>
      </c>
      <c r="G29" s="597">
        <f t="shared" si="3"/>
        <v>256</v>
      </c>
      <c r="H29" s="597">
        <f t="shared" si="3"/>
        <v>454</v>
      </c>
      <c r="I29" s="597">
        <f t="shared" si="3"/>
        <v>170</v>
      </c>
      <c r="J29" s="597">
        <f t="shared" si="3"/>
        <v>180</v>
      </c>
      <c r="K29" s="597">
        <f t="shared" si="3"/>
        <v>350</v>
      </c>
      <c r="L29" s="597">
        <f t="shared" si="3"/>
        <v>140</v>
      </c>
      <c r="M29" s="597">
        <f t="shared" si="3"/>
        <v>242</v>
      </c>
      <c r="N29" s="597">
        <f>L29+M29</f>
        <v>382</v>
      </c>
      <c r="O29" s="645">
        <f t="shared" si="2"/>
        <v>0.43612334801762115</v>
      </c>
      <c r="P29" s="67"/>
      <c r="Q29" s="67"/>
      <c r="S29" s="384">
        <f>SUM(S24:S28)</f>
        <v>0.99999999999999989</v>
      </c>
      <c r="T29" s="348">
        <f>SUM(T24:T28)</f>
        <v>1</v>
      </c>
    </row>
    <row r="30" spans="1:23" ht="16.2">
      <c r="A30" s="15"/>
      <c r="B30" s="589" t="s">
        <v>920</v>
      </c>
      <c r="C30" s="999"/>
      <c r="D30" s="999"/>
      <c r="E30" s="999"/>
      <c r="F30" s="599"/>
      <c r="G30" s="599"/>
      <c r="H30" s="599"/>
      <c r="I30" s="599"/>
      <c r="J30" s="599"/>
      <c r="K30" s="599"/>
      <c r="L30" s="599"/>
      <c r="M30" s="599"/>
      <c r="N30" s="599"/>
      <c r="O30" s="1007"/>
      <c r="P30" s="67"/>
      <c r="Q30" s="67"/>
    </row>
    <row r="31" spans="1:23" ht="16.2">
      <c r="A31" s="15"/>
      <c r="B31" s="596" t="s">
        <v>910</v>
      </c>
      <c r="C31" s="1000">
        <v>1166</v>
      </c>
      <c r="D31" s="1000">
        <v>2713</v>
      </c>
      <c r="E31" s="1000">
        <f t="shared" ref="E31:E36" si="4">SUM(C31:D31)</f>
        <v>3879</v>
      </c>
      <c r="F31" s="1468">
        <f t="shared" ref="F31:N31" si="5">F17+F24</f>
        <v>1180</v>
      </c>
      <c r="G31" s="1468">
        <f t="shared" si="5"/>
        <v>2899</v>
      </c>
      <c r="H31" s="1468">
        <f t="shared" si="5"/>
        <v>4079</v>
      </c>
      <c r="I31" s="1468">
        <f t="shared" si="5"/>
        <v>2435</v>
      </c>
      <c r="J31" s="1468">
        <f t="shared" si="5"/>
        <v>5005</v>
      </c>
      <c r="K31" s="1468">
        <f t="shared" si="5"/>
        <v>7440</v>
      </c>
      <c r="L31" s="1468">
        <f t="shared" si="5"/>
        <v>2447</v>
      </c>
      <c r="M31" s="1468">
        <f t="shared" si="5"/>
        <v>5383</v>
      </c>
      <c r="N31" s="1468">
        <f t="shared" si="5"/>
        <v>7830</v>
      </c>
      <c r="O31" s="1008">
        <f>C31/E31</f>
        <v>0.3005929363237948</v>
      </c>
      <c r="P31" s="67"/>
      <c r="Q31" s="67"/>
      <c r="R31" s="2" t="str">
        <f>B31</f>
        <v xml:space="preserve">UK </v>
      </c>
      <c r="S31" s="95">
        <f>E31</f>
        <v>3879</v>
      </c>
      <c r="T31" s="385">
        <f>E31/$E$36</f>
        <v>0.33196405648267008</v>
      </c>
      <c r="V31" s="2" t="str">
        <f>B31</f>
        <v xml:space="preserve">UK </v>
      </c>
      <c r="W31" s="385">
        <f>E31/$E$36</f>
        <v>0.33196405648267008</v>
      </c>
    </row>
    <row r="32" spans="1:23" ht="16.2">
      <c r="A32" s="15"/>
      <c r="B32" s="596" t="s">
        <v>911</v>
      </c>
      <c r="C32" s="1000">
        <v>1194</v>
      </c>
      <c r="D32" s="1000">
        <v>1682</v>
      </c>
      <c r="E32" s="1000">
        <f t="shared" si="4"/>
        <v>2876</v>
      </c>
      <c r="F32" s="1468">
        <f t="shared" ref="F32:H33" si="6">F18+F25</f>
        <v>1165</v>
      </c>
      <c r="G32" s="1468">
        <f t="shared" si="6"/>
        <v>1693</v>
      </c>
      <c r="H32" s="1468">
        <f t="shared" si="6"/>
        <v>2858</v>
      </c>
      <c r="I32" s="1468"/>
      <c r="J32" s="1468"/>
      <c r="K32" s="1468"/>
      <c r="L32" s="1468"/>
      <c r="M32" s="1468"/>
      <c r="N32" s="1468"/>
      <c r="O32" s="1008">
        <f>C32/E32</f>
        <v>0.41515994436717663</v>
      </c>
      <c r="P32" s="67"/>
      <c r="Q32" s="67"/>
      <c r="R32" s="2" t="str">
        <f t="shared" ref="R32:R33" si="7">B32</f>
        <v>Rest of Europe</v>
      </c>
      <c r="S32" s="95">
        <f t="shared" ref="S32:S33" si="8">E32</f>
        <v>2876</v>
      </c>
      <c r="T32" s="385">
        <f>E32/$E$36</f>
        <v>0.24612751390671803</v>
      </c>
      <c r="V32" s="2" t="str">
        <f t="shared" ref="V32:V35" si="9">B32</f>
        <v>Rest of Europe</v>
      </c>
      <c r="W32" s="385">
        <f>E32/$E$36</f>
        <v>0.24612751390671803</v>
      </c>
    </row>
    <row r="33" spans="1:23" ht="16.2">
      <c r="A33" s="15"/>
      <c r="B33" s="596" t="s">
        <v>912</v>
      </c>
      <c r="C33" s="1000">
        <v>544</v>
      </c>
      <c r="D33" s="1000">
        <v>1470</v>
      </c>
      <c r="E33" s="1000">
        <f t="shared" si="4"/>
        <v>2014</v>
      </c>
      <c r="F33" s="711">
        <f t="shared" si="6"/>
        <v>567</v>
      </c>
      <c r="G33" s="711">
        <f t="shared" si="6"/>
        <v>1619</v>
      </c>
      <c r="H33" s="711">
        <f t="shared" si="6"/>
        <v>2186</v>
      </c>
      <c r="I33" s="711">
        <f t="shared" ref="I33:N33" si="10">I19+I26</f>
        <v>715</v>
      </c>
      <c r="J33" s="711">
        <f t="shared" si="10"/>
        <v>2120</v>
      </c>
      <c r="K33" s="711">
        <f t="shared" si="10"/>
        <v>2835</v>
      </c>
      <c r="L33" s="711">
        <f t="shared" si="10"/>
        <v>664</v>
      </c>
      <c r="M33" s="711">
        <f t="shared" si="10"/>
        <v>2129</v>
      </c>
      <c r="N33" s="711">
        <f t="shared" si="10"/>
        <v>2793</v>
      </c>
      <c r="O33" s="1008">
        <f t="shared" ref="O33:O34" si="11">C33/E33</f>
        <v>0.27010923535253228</v>
      </c>
      <c r="P33" s="67"/>
      <c r="Q33" s="67"/>
      <c r="R33" s="2" t="str">
        <f t="shared" si="7"/>
        <v>North America</v>
      </c>
      <c r="S33" s="95">
        <f t="shared" si="8"/>
        <v>2014</v>
      </c>
      <c r="T33" s="385">
        <f>E33/$E$36</f>
        <v>0.17235772357723578</v>
      </c>
      <c r="V33" s="2" t="str">
        <f t="shared" si="9"/>
        <v>North America</v>
      </c>
      <c r="W33" s="385">
        <f>E33/$E$36</f>
        <v>0.17235772357723578</v>
      </c>
    </row>
    <row r="34" spans="1:23" ht="16.2">
      <c r="A34" s="15"/>
      <c r="B34" s="596" t="s">
        <v>913</v>
      </c>
      <c r="C34" s="1000">
        <v>506</v>
      </c>
      <c r="D34" s="1000">
        <v>1791</v>
      </c>
      <c r="E34" s="1000">
        <f t="shared" si="4"/>
        <v>2297</v>
      </c>
      <c r="F34" s="711">
        <f t="shared" ref="F34:N34" si="12">F20+F27</f>
        <v>547</v>
      </c>
      <c r="G34" s="711">
        <f t="shared" si="12"/>
        <v>1912</v>
      </c>
      <c r="H34" s="711">
        <f t="shared" si="12"/>
        <v>2459</v>
      </c>
      <c r="I34" s="711">
        <f t="shared" si="12"/>
        <v>520</v>
      </c>
      <c r="J34" s="711">
        <f t="shared" si="12"/>
        <v>1977</v>
      </c>
      <c r="K34" s="711">
        <f t="shared" si="12"/>
        <v>2497</v>
      </c>
      <c r="L34" s="711">
        <f t="shared" si="12"/>
        <v>455</v>
      </c>
      <c r="M34" s="711">
        <f t="shared" si="12"/>
        <v>1926</v>
      </c>
      <c r="N34" s="711">
        <f t="shared" si="12"/>
        <v>2381</v>
      </c>
      <c r="O34" s="1008">
        <f t="shared" si="11"/>
        <v>0.22028733130169786</v>
      </c>
      <c r="P34" s="67"/>
      <c r="Q34" s="67"/>
      <c r="R34" s="2" t="s">
        <v>918</v>
      </c>
      <c r="S34" s="13">
        <v>936</v>
      </c>
      <c r="T34" s="385">
        <f>S34/$E$36</f>
        <v>8.0102695763799747E-2</v>
      </c>
      <c r="V34" s="2" t="str">
        <f t="shared" si="9"/>
        <v>Asia</v>
      </c>
      <c r="W34" s="385">
        <f>E34/$E$36</f>
        <v>0.19657680787334189</v>
      </c>
    </row>
    <row r="35" spans="1:23" ht="16.2">
      <c r="A35" s="52"/>
      <c r="B35" s="596" t="s">
        <v>914</v>
      </c>
      <c r="C35" s="1000">
        <v>167</v>
      </c>
      <c r="D35" s="1000">
        <v>452</v>
      </c>
      <c r="E35" s="1000">
        <f t="shared" si="4"/>
        <v>619</v>
      </c>
      <c r="F35" s="711">
        <f t="shared" ref="F35:N35" si="13">F21+F28</f>
        <v>314</v>
      </c>
      <c r="G35" s="711">
        <f t="shared" si="13"/>
        <v>742</v>
      </c>
      <c r="H35" s="711">
        <f t="shared" si="13"/>
        <v>1056</v>
      </c>
      <c r="I35" s="711">
        <f t="shared" si="13"/>
        <v>228</v>
      </c>
      <c r="J35" s="711">
        <f t="shared" si="13"/>
        <v>430</v>
      </c>
      <c r="K35" s="711">
        <f t="shared" si="13"/>
        <v>658</v>
      </c>
      <c r="L35" s="711">
        <f t="shared" si="13"/>
        <v>217</v>
      </c>
      <c r="M35" s="711">
        <f t="shared" si="13"/>
        <v>420</v>
      </c>
      <c r="N35" s="711">
        <f t="shared" si="13"/>
        <v>637</v>
      </c>
      <c r="O35" s="1008">
        <f t="shared" ref="O35:O42" si="14">C35/E35</f>
        <v>0.26978998384491115</v>
      </c>
      <c r="P35" s="67"/>
      <c r="Q35" s="67"/>
      <c r="R35" s="2" t="s">
        <v>919</v>
      </c>
      <c r="S35" s="95">
        <v>1361</v>
      </c>
      <c r="T35" s="385">
        <f>S35/$E$36</f>
        <v>0.11647411210954214</v>
      </c>
      <c r="V35" s="2" t="str">
        <f t="shared" si="9"/>
        <v>Rest of World</v>
      </c>
      <c r="W35" s="385">
        <f>E35/$E$36</f>
        <v>5.2973898160034234E-2</v>
      </c>
    </row>
    <row r="36" spans="1:23" ht="16.2">
      <c r="A36" s="384"/>
      <c r="B36" s="611" t="s">
        <v>921</v>
      </c>
      <c r="C36" s="1001">
        <f>SUM(C31:C35)</f>
        <v>3577</v>
      </c>
      <c r="D36" s="1001">
        <f>SUM(D31:D35)</f>
        <v>8108</v>
      </c>
      <c r="E36" s="1001">
        <f t="shared" si="4"/>
        <v>11685</v>
      </c>
      <c r="F36" s="712">
        <f>F22+F29</f>
        <v>3773</v>
      </c>
      <c r="G36" s="712">
        <f>G22+G29</f>
        <v>8865</v>
      </c>
      <c r="H36" s="712">
        <f>F36+G36</f>
        <v>12638</v>
      </c>
      <c r="I36" s="712">
        <f>I22+I29</f>
        <v>3898</v>
      </c>
      <c r="J36" s="712">
        <f>J22+J29</f>
        <v>9532</v>
      </c>
      <c r="K36" s="712">
        <f>I36+J36</f>
        <v>13430</v>
      </c>
      <c r="L36" s="712">
        <f>L22+L29</f>
        <v>3783</v>
      </c>
      <c r="M36" s="712">
        <f>M22+M29</f>
        <v>9858</v>
      </c>
      <c r="N36" s="712">
        <f>L36+M36</f>
        <v>13641</v>
      </c>
      <c r="O36" s="1009">
        <f>C36/E36</f>
        <v>0.30611895592640137</v>
      </c>
      <c r="P36" s="67"/>
      <c r="Q36" s="67"/>
      <c r="R36" s="2" t="str">
        <f>B35</f>
        <v>Rest of World</v>
      </c>
      <c r="S36" s="95">
        <f>E35</f>
        <v>619</v>
      </c>
      <c r="T36" s="385">
        <f>E35/$E$36</f>
        <v>5.2973898160034234E-2</v>
      </c>
      <c r="W36" s="348">
        <f>SUM(W31:W35)</f>
        <v>1</v>
      </c>
    </row>
    <row r="37" spans="1:23" ht="16.2">
      <c r="A37" s="52"/>
      <c r="B37" s="612" t="s">
        <v>922</v>
      </c>
      <c r="C37" s="1000">
        <v>4</v>
      </c>
      <c r="D37" s="1000">
        <v>5</v>
      </c>
      <c r="E37" s="1000">
        <f>SUM(C37:D37)</f>
        <v>9</v>
      </c>
      <c r="F37" s="711">
        <v>3</v>
      </c>
      <c r="G37" s="711">
        <v>6</v>
      </c>
      <c r="H37" s="711">
        <f t="shared" ref="H37:H42" si="15">F37+G37</f>
        <v>9</v>
      </c>
      <c r="I37" s="711">
        <v>3</v>
      </c>
      <c r="J37" s="711">
        <v>6</v>
      </c>
      <c r="K37" s="711">
        <f t="shared" ref="K37:K42" si="16">I37+J37</f>
        <v>9</v>
      </c>
      <c r="L37" s="711">
        <v>2</v>
      </c>
      <c r="M37" s="711">
        <v>5</v>
      </c>
      <c r="N37" s="711">
        <f t="shared" ref="N37:N42" si="17">L37+M37</f>
        <v>7</v>
      </c>
      <c r="O37" s="1008">
        <f t="shared" si="14"/>
        <v>0.44444444444444442</v>
      </c>
      <c r="P37" s="535"/>
      <c r="Q37" s="67"/>
      <c r="S37" s="95">
        <f>SUM(S31:S36)</f>
        <v>11685</v>
      </c>
      <c r="T37" s="348">
        <f>SUM(T31:T36)</f>
        <v>1</v>
      </c>
    </row>
    <row r="38" spans="1:23" ht="16.2">
      <c r="A38" s="52"/>
      <c r="B38" s="612" t="s">
        <v>923</v>
      </c>
      <c r="C38" s="1000">
        <v>4</v>
      </c>
      <c r="D38" s="1000">
        <v>9</v>
      </c>
      <c r="E38" s="1000">
        <f>SUM(C38:D38)</f>
        <v>13</v>
      </c>
      <c r="F38" s="711">
        <v>3</v>
      </c>
      <c r="G38" s="711">
        <v>9</v>
      </c>
      <c r="H38" s="711">
        <f t="shared" si="15"/>
        <v>12</v>
      </c>
      <c r="I38" s="711">
        <v>2</v>
      </c>
      <c r="J38" s="711">
        <v>6</v>
      </c>
      <c r="K38" s="711">
        <f t="shared" si="16"/>
        <v>8</v>
      </c>
      <c r="L38" s="711">
        <v>4</v>
      </c>
      <c r="M38" s="711">
        <v>5</v>
      </c>
      <c r="N38" s="711">
        <f t="shared" si="17"/>
        <v>9</v>
      </c>
      <c r="O38" s="1008">
        <f>C38/E38</f>
        <v>0.30769230769230771</v>
      </c>
      <c r="P38" s="15"/>
      <c r="Q38" s="67"/>
    </row>
    <row r="39" spans="1:23" s="15" customFormat="1" ht="16.2">
      <c r="A39" s="52"/>
      <c r="B39" s="613" t="s">
        <v>924</v>
      </c>
      <c r="C39" s="1000">
        <v>23</v>
      </c>
      <c r="D39" s="1000">
        <v>74</v>
      </c>
      <c r="E39" s="1000">
        <f>SUM(C39:D39)</f>
        <v>97</v>
      </c>
      <c r="F39" s="711">
        <v>13</v>
      </c>
      <c r="G39" s="711">
        <v>86</v>
      </c>
      <c r="H39" s="711">
        <f t="shared" si="15"/>
        <v>99</v>
      </c>
      <c r="I39" s="711">
        <v>17</v>
      </c>
      <c r="J39" s="711">
        <v>100</v>
      </c>
      <c r="K39" s="711">
        <f t="shared" si="16"/>
        <v>117</v>
      </c>
      <c r="L39" s="711">
        <v>16</v>
      </c>
      <c r="M39" s="711">
        <v>95</v>
      </c>
      <c r="N39" s="711">
        <f t="shared" si="17"/>
        <v>111</v>
      </c>
      <c r="O39" s="1008">
        <f t="shared" si="14"/>
        <v>0.23711340206185566</v>
      </c>
      <c r="Q39" s="67"/>
    </row>
    <row r="40" spans="1:23" ht="16.2">
      <c r="A40" s="52"/>
      <c r="B40" s="613" t="s">
        <v>925</v>
      </c>
      <c r="C40" s="1000">
        <v>30</v>
      </c>
      <c r="D40" s="1000">
        <v>48</v>
      </c>
      <c r="E40" s="1000">
        <f>SUM(C40:D40)</f>
        <v>78</v>
      </c>
      <c r="F40" s="711">
        <v>31</v>
      </c>
      <c r="G40" s="711">
        <v>52</v>
      </c>
      <c r="H40" s="711">
        <f t="shared" si="15"/>
        <v>83</v>
      </c>
      <c r="I40" s="711">
        <v>22</v>
      </c>
      <c r="J40" s="711">
        <v>38</v>
      </c>
      <c r="K40" s="711">
        <f t="shared" si="16"/>
        <v>60</v>
      </c>
      <c r="L40" s="711">
        <v>21</v>
      </c>
      <c r="M40" s="711">
        <v>41</v>
      </c>
      <c r="N40" s="711">
        <f t="shared" si="17"/>
        <v>62</v>
      </c>
      <c r="O40" s="1008">
        <f t="shared" si="14"/>
        <v>0.38461538461538464</v>
      </c>
      <c r="P40" s="15"/>
      <c r="Q40" s="67"/>
    </row>
    <row r="41" spans="1:23" ht="32.4">
      <c r="A41" s="52"/>
      <c r="B41" s="613" t="s">
        <v>926</v>
      </c>
      <c r="C41" s="1001">
        <v>507</v>
      </c>
      <c r="D41" s="1001">
        <v>1190</v>
      </c>
      <c r="E41" s="1001">
        <f>C41+D41</f>
        <v>1697</v>
      </c>
      <c r="F41" s="712">
        <v>478</v>
      </c>
      <c r="G41" s="712">
        <v>1223</v>
      </c>
      <c r="H41" s="712">
        <f t="shared" si="15"/>
        <v>1701</v>
      </c>
      <c r="I41" s="712">
        <v>487</v>
      </c>
      <c r="J41" s="712">
        <v>1302</v>
      </c>
      <c r="K41" s="712">
        <f t="shared" si="16"/>
        <v>1789</v>
      </c>
      <c r="L41" s="1078"/>
      <c r="M41" s="1078"/>
      <c r="N41" s="1079">
        <f t="shared" si="17"/>
        <v>0</v>
      </c>
      <c r="O41" s="1009">
        <f>C41/E41</f>
        <v>0.29876252209781967</v>
      </c>
      <c r="P41" s="15"/>
      <c r="Q41" s="77"/>
    </row>
    <row r="42" spans="1:23" ht="16.2">
      <c r="A42" s="384"/>
      <c r="B42" s="612" t="s">
        <v>927</v>
      </c>
      <c r="C42" s="1000">
        <v>765</v>
      </c>
      <c r="D42" s="1000">
        <v>1232</v>
      </c>
      <c r="E42" s="1001">
        <f>C42+D42</f>
        <v>1997</v>
      </c>
      <c r="F42" s="711">
        <v>748</v>
      </c>
      <c r="G42" s="711">
        <v>1496</v>
      </c>
      <c r="H42" s="711">
        <f t="shared" si="15"/>
        <v>2244</v>
      </c>
      <c r="I42" s="711">
        <v>718</v>
      </c>
      <c r="J42" s="711">
        <v>1355</v>
      </c>
      <c r="K42" s="711">
        <f t="shared" si="16"/>
        <v>2073</v>
      </c>
      <c r="L42" s="711">
        <v>475</v>
      </c>
      <c r="M42" s="711">
        <v>1117</v>
      </c>
      <c r="N42" s="711">
        <f t="shared" si="17"/>
        <v>1592</v>
      </c>
      <c r="O42" s="1008">
        <f t="shared" si="14"/>
        <v>0.38307461191787684</v>
      </c>
      <c r="P42" s="15"/>
      <c r="Q42" s="67"/>
    </row>
    <row r="43" spans="1:23">
      <c r="A43" s="384"/>
      <c r="B43" s="97"/>
      <c r="C43" s="70"/>
      <c r="D43" s="573"/>
      <c r="E43" s="1066"/>
      <c r="F43" s="573"/>
      <c r="G43" s="573"/>
      <c r="H43" s="1066"/>
      <c r="I43" s="573"/>
      <c r="J43" s="573"/>
      <c r="K43" s="1066"/>
      <c r="L43" s="573"/>
      <c r="M43" s="574"/>
      <c r="N43" s="1066"/>
      <c r="O43" s="67"/>
    </row>
    <row r="44" spans="1:23" ht="28.5" customHeight="1">
      <c r="A44" s="52"/>
      <c r="B44" s="941" t="s">
        <v>928</v>
      </c>
      <c r="C44" s="1452" t="s">
        <v>545</v>
      </c>
      <c r="D44" s="1452"/>
      <c r="E44" s="1452"/>
      <c r="F44" s="1452" t="s">
        <v>546</v>
      </c>
      <c r="G44" s="1452"/>
      <c r="H44" s="1452"/>
      <c r="I44" s="1454" t="s">
        <v>547</v>
      </c>
      <c r="J44" s="1454"/>
      <c r="K44" s="1454"/>
      <c r="L44" s="1454" t="s">
        <v>548</v>
      </c>
      <c r="M44" s="1454"/>
      <c r="N44" s="1454"/>
      <c r="O44" s="1463" t="s">
        <v>929</v>
      </c>
      <c r="Q44" s="67"/>
      <c r="R44" s="67"/>
    </row>
    <row r="45" spans="1:23" ht="28.5" customHeight="1">
      <c r="A45" s="52"/>
      <c r="B45" s="585" t="s">
        <v>905</v>
      </c>
      <c r="C45" s="588" t="s">
        <v>906</v>
      </c>
      <c r="D45" s="588" t="s">
        <v>907</v>
      </c>
      <c r="E45" s="588" t="s">
        <v>709</v>
      </c>
      <c r="F45" s="588" t="s">
        <v>906</v>
      </c>
      <c r="G45" s="588" t="s">
        <v>907</v>
      </c>
      <c r="H45" s="588" t="s">
        <v>709</v>
      </c>
      <c r="I45" s="588" t="s">
        <v>906</v>
      </c>
      <c r="J45" s="588" t="s">
        <v>907</v>
      </c>
      <c r="K45" s="588" t="s">
        <v>709</v>
      </c>
      <c r="L45" s="588" t="s">
        <v>906</v>
      </c>
      <c r="M45" s="588" t="s">
        <v>907</v>
      </c>
      <c r="N45" s="588" t="s">
        <v>709</v>
      </c>
      <c r="O45" s="1463"/>
      <c r="Q45" s="98" t="s">
        <v>908</v>
      </c>
      <c r="V45"/>
    </row>
    <row r="46" spans="1:23" ht="16.2">
      <c r="A46" s="52"/>
      <c r="B46" s="589" t="s">
        <v>930</v>
      </c>
      <c r="C46" s="1002"/>
      <c r="D46" s="1002"/>
      <c r="E46" s="1002"/>
      <c r="F46" s="590"/>
      <c r="G46" s="590"/>
      <c r="H46" s="590"/>
      <c r="I46" s="590"/>
      <c r="J46" s="590"/>
      <c r="K46" s="590"/>
      <c r="L46" s="590"/>
      <c r="M46" s="590"/>
      <c r="N46" s="591"/>
      <c r="O46" s="1466"/>
      <c r="P46" s="98"/>
    </row>
    <row r="47" spans="1:23" ht="16.2">
      <c r="A47" s="52"/>
      <c r="B47" s="592" t="s">
        <v>931</v>
      </c>
      <c r="C47" s="1000">
        <v>0</v>
      </c>
      <c r="D47" s="1000">
        <v>0</v>
      </c>
      <c r="E47" s="1000">
        <f t="shared" ref="E47:E55" si="18">SUM(C47:D47)</f>
        <v>0</v>
      </c>
      <c r="F47" s="711">
        <v>0</v>
      </c>
      <c r="G47" s="711">
        <v>0</v>
      </c>
      <c r="H47" s="711">
        <f>F47+G47</f>
        <v>0</v>
      </c>
      <c r="I47" s="711">
        <v>0</v>
      </c>
      <c r="J47" s="711">
        <v>0</v>
      </c>
      <c r="K47" s="711">
        <f>I47+J47</f>
        <v>0</v>
      </c>
      <c r="L47" s="711">
        <v>1</v>
      </c>
      <c r="M47" s="711">
        <v>0</v>
      </c>
      <c r="N47" s="711">
        <v>1</v>
      </c>
      <c r="O47" s="1466"/>
      <c r="P47" s="15"/>
      <c r="Q47" s="67"/>
    </row>
    <row r="48" spans="1:23" ht="16.2">
      <c r="A48" s="52"/>
      <c r="B48" s="592" t="s">
        <v>932</v>
      </c>
      <c r="C48" s="1000">
        <v>0</v>
      </c>
      <c r="D48" s="1000">
        <v>2</v>
      </c>
      <c r="E48" s="1000">
        <f t="shared" si="18"/>
        <v>2</v>
      </c>
      <c r="F48" s="711">
        <v>0</v>
      </c>
      <c r="G48" s="711">
        <v>3</v>
      </c>
      <c r="H48" s="711">
        <f>F48+G48</f>
        <v>3</v>
      </c>
      <c r="I48" s="711">
        <v>0</v>
      </c>
      <c r="J48" s="711">
        <v>3</v>
      </c>
      <c r="K48" s="711">
        <f>I48+J48</f>
        <v>3</v>
      </c>
      <c r="L48" s="711">
        <v>0</v>
      </c>
      <c r="M48" s="711">
        <v>2</v>
      </c>
      <c r="N48" s="711">
        <v>2</v>
      </c>
      <c r="O48" s="1466"/>
      <c r="P48" s="15"/>
      <c r="Q48" s="67"/>
    </row>
    <row r="49" spans="1:17" ht="16.2">
      <c r="A49" s="52"/>
      <c r="B49" s="592" t="s">
        <v>933</v>
      </c>
      <c r="C49" s="1000"/>
      <c r="D49" s="1000">
        <v>2</v>
      </c>
      <c r="E49" s="1000">
        <f t="shared" si="18"/>
        <v>2</v>
      </c>
      <c r="F49" s="711">
        <v>0</v>
      </c>
      <c r="G49" s="711">
        <v>2</v>
      </c>
      <c r="H49" s="711">
        <f>F49+G49</f>
        <v>2</v>
      </c>
      <c r="I49" s="711">
        <v>0</v>
      </c>
      <c r="J49" s="711">
        <v>2</v>
      </c>
      <c r="K49" s="711">
        <f>I49+J49</f>
        <v>2</v>
      </c>
      <c r="L49" s="711">
        <v>2</v>
      </c>
      <c r="M49" s="711">
        <v>4</v>
      </c>
      <c r="N49" s="711">
        <v>6</v>
      </c>
      <c r="O49" s="1466"/>
      <c r="P49" s="15"/>
      <c r="Q49" s="67"/>
    </row>
    <row r="50" spans="1:17" ht="16.2">
      <c r="B50" s="592" t="s">
        <v>934</v>
      </c>
      <c r="C50" s="1000">
        <v>4</v>
      </c>
      <c r="D50" s="1000">
        <v>1</v>
      </c>
      <c r="E50" s="1000">
        <f t="shared" si="18"/>
        <v>5</v>
      </c>
      <c r="F50" s="711">
        <v>3</v>
      </c>
      <c r="G50" s="711">
        <v>1</v>
      </c>
      <c r="H50" s="711">
        <f>F50+G50</f>
        <v>4</v>
      </c>
      <c r="I50" s="711">
        <v>3</v>
      </c>
      <c r="J50" s="711">
        <v>1</v>
      </c>
      <c r="K50" s="711">
        <f>I50+J50</f>
        <v>4</v>
      </c>
      <c r="L50" s="711">
        <v>0</v>
      </c>
      <c r="M50" s="711">
        <v>0</v>
      </c>
      <c r="N50" s="711">
        <v>0</v>
      </c>
      <c r="O50" s="1010"/>
      <c r="P50" s="15"/>
      <c r="Q50" s="67"/>
    </row>
    <row r="51" spans="1:17" ht="16.2">
      <c r="B51" s="594" t="s">
        <v>935</v>
      </c>
      <c r="C51" s="1001">
        <f>SUM(C47:C50)</f>
        <v>4</v>
      </c>
      <c r="D51" s="1001">
        <f>SUM(D47:D50)</f>
        <v>5</v>
      </c>
      <c r="E51" s="1001">
        <f t="shared" si="18"/>
        <v>9</v>
      </c>
      <c r="F51" s="712">
        <f t="shared" ref="F51:M51" si="19">SUM(F47:F50)</f>
        <v>3</v>
      </c>
      <c r="G51" s="712">
        <f t="shared" si="19"/>
        <v>6</v>
      </c>
      <c r="H51" s="712">
        <f t="shared" si="19"/>
        <v>9</v>
      </c>
      <c r="I51" s="712">
        <f t="shared" si="19"/>
        <v>3</v>
      </c>
      <c r="J51" s="712">
        <f t="shared" si="19"/>
        <v>6</v>
      </c>
      <c r="K51" s="712">
        <f t="shared" si="19"/>
        <v>9</v>
      </c>
      <c r="L51" s="712">
        <f t="shared" si="19"/>
        <v>3</v>
      </c>
      <c r="M51" s="712">
        <f t="shared" si="19"/>
        <v>6</v>
      </c>
      <c r="N51" s="712">
        <v>9</v>
      </c>
      <c r="O51" s="1009">
        <f>C51/E51</f>
        <v>0.44444444444444442</v>
      </c>
      <c r="P51" s="15"/>
      <c r="Q51" s="67"/>
    </row>
    <row r="52" spans="1:17" ht="16.2">
      <c r="A52" s="52"/>
      <c r="B52" s="595" t="s">
        <v>936</v>
      </c>
      <c r="C52" s="1000">
        <v>659</v>
      </c>
      <c r="D52" s="1000">
        <v>1284</v>
      </c>
      <c r="E52" s="1000">
        <f t="shared" si="18"/>
        <v>1943</v>
      </c>
      <c r="F52" s="713">
        <v>640</v>
      </c>
      <c r="G52" s="713">
        <v>1388</v>
      </c>
      <c r="H52" s="713">
        <f>F52+G52</f>
        <v>2028</v>
      </c>
      <c r="I52" s="713">
        <v>719</v>
      </c>
      <c r="J52" s="713">
        <v>1509</v>
      </c>
      <c r="K52" s="713">
        <f>I52+J52</f>
        <v>2228</v>
      </c>
      <c r="L52" s="713">
        <v>730</v>
      </c>
      <c r="M52" s="713">
        <v>1608</v>
      </c>
      <c r="N52" s="713">
        <f>L52+M52</f>
        <v>2338</v>
      </c>
      <c r="O52" s="1008">
        <f>C52/E52</f>
        <v>0.33916623777663407</v>
      </c>
      <c r="P52" s="15"/>
      <c r="Q52" s="67"/>
    </row>
    <row r="53" spans="1:17" ht="16.2">
      <c r="A53" s="52"/>
      <c r="B53" s="595" t="s">
        <v>937</v>
      </c>
      <c r="C53" s="1000">
        <v>1855</v>
      </c>
      <c r="D53" s="1000">
        <v>4090</v>
      </c>
      <c r="E53" s="1000">
        <f t="shared" si="18"/>
        <v>5945</v>
      </c>
      <c r="F53" s="1451">
        <v>1971</v>
      </c>
      <c r="G53" s="1451">
        <v>4463</v>
      </c>
      <c r="H53" s="1451">
        <f>F53+G53</f>
        <v>6434</v>
      </c>
      <c r="I53" s="1451">
        <v>2477</v>
      </c>
      <c r="J53" s="1451">
        <v>6050</v>
      </c>
      <c r="K53" s="1451">
        <f>I53+J53</f>
        <v>8527</v>
      </c>
      <c r="L53" s="1451">
        <v>2331</v>
      </c>
      <c r="M53" s="1451">
        <v>5927</v>
      </c>
      <c r="N53" s="1451">
        <f>L53+M53</f>
        <v>8258</v>
      </c>
      <c r="O53" s="1008">
        <f>C53/E53</f>
        <v>0.31202691337258198</v>
      </c>
      <c r="P53" s="15"/>
      <c r="Q53" s="67"/>
    </row>
    <row r="54" spans="1:17" ht="16.2">
      <c r="A54" s="52"/>
      <c r="B54" s="595" t="s">
        <v>938</v>
      </c>
      <c r="C54" s="1000">
        <v>917</v>
      </c>
      <c r="D54" s="1000">
        <v>2272</v>
      </c>
      <c r="E54" s="1000">
        <f t="shared" si="18"/>
        <v>3189</v>
      </c>
      <c r="F54" s="1451">
        <v>962</v>
      </c>
      <c r="G54" s="1451">
        <v>2456</v>
      </c>
      <c r="H54" s="1451">
        <f>F54+G54</f>
        <v>3418</v>
      </c>
      <c r="I54" s="1451"/>
      <c r="J54" s="1451"/>
      <c r="K54" s="1451"/>
      <c r="L54" s="1451"/>
      <c r="M54" s="1451"/>
      <c r="N54" s="1451"/>
      <c r="O54" s="1008">
        <f t="shared" ref="O54" si="20">C54/E54</f>
        <v>0.28755095641266853</v>
      </c>
      <c r="P54" s="15"/>
      <c r="Q54" s="67"/>
    </row>
    <row r="55" spans="1:17" ht="16.2">
      <c r="A55" s="52"/>
      <c r="B55" s="595" t="s">
        <v>939</v>
      </c>
      <c r="C55" s="1000">
        <v>118</v>
      </c>
      <c r="D55" s="1000">
        <v>415</v>
      </c>
      <c r="E55" s="1000">
        <f t="shared" si="18"/>
        <v>533</v>
      </c>
      <c r="F55" s="713">
        <v>123</v>
      </c>
      <c r="G55" s="713">
        <v>434</v>
      </c>
      <c r="H55" s="713">
        <f>F55+G55</f>
        <v>557</v>
      </c>
      <c r="I55" s="713">
        <v>703</v>
      </c>
      <c r="J55" s="713">
        <v>1972</v>
      </c>
      <c r="K55" s="713">
        <f>I55+J55</f>
        <v>2675</v>
      </c>
      <c r="L55" s="713">
        <v>722</v>
      </c>
      <c r="M55" s="713">
        <v>2322</v>
      </c>
      <c r="N55" s="713">
        <f>L55+M55</f>
        <v>3044</v>
      </c>
      <c r="O55" s="1008">
        <f>C55/E55</f>
        <v>0.22138836772983114</v>
      </c>
      <c r="P55" s="15"/>
      <c r="Q55" s="67"/>
    </row>
    <row r="56" spans="1:17" s="78" customFormat="1" ht="16.2">
      <c r="A56" s="377"/>
      <c r="B56" s="600" t="s">
        <v>940</v>
      </c>
      <c r="C56" s="1001">
        <f t="shared" ref="C56:N56" si="21">SUM(C52:C55)</f>
        <v>3549</v>
      </c>
      <c r="D56" s="1001">
        <f t="shared" si="21"/>
        <v>8061</v>
      </c>
      <c r="E56" s="1001">
        <f t="shared" si="21"/>
        <v>11610</v>
      </c>
      <c r="F56" s="714">
        <f t="shared" si="21"/>
        <v>3696</v>
      </c>
      <c r="G56" s="714">
        <f t="shared" si="21"/>
        <v>8741</v>
      </c>
      <c r="H56" s="714">
        <f t="shared" si="21"/>
        <v>12437</v>
      </c>
      <c r="I56" s="714">
        <f t="shared" si="21"/>
        <v>3899</v>
      </c>
      <c r="J56" s="714">
        <f t="shared" si="21"/>
        <v>9531</v>
      </c>
      <c r="K56" s="714">
        <f t="shared" si="21"/>
        <v>13430</v>
      </c>
      <c r="L56" s="714">
        <f t="shared" si="21"/>
        <v>3783</v>
      </c>
      <c r="M56" s="714">
        <f t="shared" si="21"/>
        <v>9857</v>
      </c>
      <c r="N56" s="714">
        <f t="shared" si="21"/>
        <v>13640</v>
      </c>
      <c r="O56" s="1009">
        <f>C56/E56</f>
        <v>0.30568475452196381</v>
      </c>
      <c r="Q56" s="79"/>
    </row>
    <row r="57" spans="1:17" ht="16.2">
      <c r="A57" s="52"/>
      <c r="B57" s="595" t="s">
        <v>941</v>
      </c>
      <c r="C57" s="1000"/>
      <c r="D57" s="1000"/>
      <c r="E57" s="1000">
        <v>75</v>
      </c>
      <c r="F57" s="713"/>
      <c r="G57" s="713"/>
      <c r="H57" s="713">
        <v>201</v>
      </c>
      <c r="I57" s="1077"/>
      <c r="J57" s="1077"/>
      <c r="K57" s="1077"/>
      <c r="L57" s="1077"/>
      <c r="M57" s="1077"/>
      <c r="N57" s="1077"/>
      <c r="O57" s="1008"/>
      <c r="P57" s="15"/>
      <c r="Q57" s="67"/>
    </row>
    <row r="58" spans="1:17" ht="16.2">
      <c r="A58" s="52"/>
      <c r="B58" s="1178"/>
      <c r="C58" s="1180"/>
      <c r="D58" s="1180"/>
      <c r="E58" s="1180"/>
      <c r="F58" s="1179"/>
      <c r="G58" s="1179"/>
      <c r="H58" s="1179"/>
      <c r="I58" s="1179"/>
      <c r="J58" s="1179"/>
      <c r="K58" s="1179"/>
      <c r="L58" s="1179"/>
      <c r="M58" s="1179"/>
      <c r="N58" s="1179"/>
      <c r="O58" s="1181"/>
      <c r="P58" s="15"/>
      <c r="Q58" s="67"/>
    </row>
    <row r="59" spans="1:17" ht="17.399999999999999">
      <c r="A59" s="52"/>
      <c r="B59" s="941" t="s">
        <v>942</v>
      </c>
      <c r="C59" s="1457" t="s">
        <v>545</v>
      </c>
      <c r="D59" s="1458"/>
      <c r="E59" s="1455" t="s">
        <v>546</v>
      </c>
      <c r="F59" s="1456"/>
      <c r="G59" s="1457" t="s">
        <v>547</v>
      </c>
      <c r="H59" s="1458"/>
      <c r="I59" s="1179"/>
      <c r="J59" s="1179"/>
      <c r="K59" s="1179"/>
      <c r="L59" s="1179"/>
      <c r="M59" s="1181"/>
      <c r="O59" s="67"/>
    </row>
    <row r="60" spans="1:17" ht="16.2">
      <c r="B60" s="1182" t="s">
        <v>943</v>
      </c>
      <c r="C60" s="1209" t="s">
        <v>944</v>
      </c>
      <c r="D60" s="1209" t="s">
        <v>945</v>
      </c>
      <c r="E60" s="1209" t="s">
        <v>944</v>
      </c>
      <c r="F60" s="1209" t="s">
        <v>945</v>
      </c>
      <c r="G60" s="1209" t="s">
        <v>944</v>
      </c>
      <c r="H60" s="1209" t="s">
        <v>945</v>
      </c>
      <c r="N60" s="2"/>
      <c r="O60" s="2"/>
    </row>
    <row r="61" spans="1:17" ht="16.2">
      <c r="A61" s="52"/>
      <c r="B61" s="595" t="s">
        <v>946</v>
      </c>
      <c r="C61" s="1000">
        <v>1</v>
      </c>
      <c r="D61" s="1274">
        <v>11</v>
      </c>
      <c r="E61" s="713">
        <v>1</v>
      </c>
      <c r="F61" s="1277">
        <v>11</v>
      </c>
      <c r="G61" s="713">
        <v>1</v>
      </c>
      <c r="H61" s="1277">
        <v>11</v>
      </c>
      <c r="I61" s="1179"/>
      <c r="J61" s="1195"/>
      <c r="K61" s="1179"/>
      <c r="L61" s="1179"/>
      <c r="M61" s="1181"/>
      <c r="O61" s="67"/>
    </row>
    <row r="62" spans="1:17" ht="16.2">
      <c r="A62" s="52"/>
      <c r="B62" s="595" t="s">
        <v>947</v>
      </c>
      <c r="C62" s="1000">
        <v>2</v>
      </c>
      <c r="D62" s="1274">
        <v>22</v>
      </c>
      <c r="E62" s="713">
        <v>2</v>
      </c>
      <c r="F62" s="1277">
        <v>22</v>
      </c>
      <c r="G62" s="713">
        <v>2</v>
      </c>
      <c r="H62" s="1277">
        <v>22</v>
      </c>
      <c r="I62" s="1179"/>
      <c r="J62" s="1196"/>
      <c r="K62" s="1179"/>
      <c r="L62" s="1179"/>
      <c r="M62" s="1181"/>
      <c r="O62" s="67"/>
    </row>
    <row r="63" spans="1:17" ht="16.2">
      <c r="A63" s="52"/>
      <c r="B63" s="1188" t="s">
        <v>948</v>
      </c>
      <c r="C63" s="1189">
        <v>6</v>
      </c>
      <c r="D63" s="1275">
        <v>67</v>
      </c>
      <c r="E63" s="1190">
        <v>6</v>
      </c>
      <c r="F63" s="1278">
        <v>67</v>
      </c>
      <c r="G63" s="1190">
        <v>6</v>
      </c>
      <c r="H63" s="1278">
        <v>67</v>
      </c>
      <c r="I63" s="1179"/>
      <c r="J63" s="1196"/>
      <c r="K63" s="1179"/>
      <c r="L63" s="1179"/>
      <c r="M63" s="1181"/>
      <c r="O63" s="67"/>
    </row>
    <row r="64" spans="1:17" ht="16.2">
      <c r="A64" s="52"/>
      <c r="B64" s="1191" t="s">
        <v>709</v>
      </c>
      <c r="C64" s="1001">
        <f t="shared" ref="C64:H64" si="22">SUM(C61:C63)</f>
        <v>9</v>
      </c>
      <c r="D64" s="1276">
        <f t="shared" si="22"/>
        <v>100</v>
      </c>
      <c r="E64" s="1192">
        <f t="shared" si="22"/>
        <v>9</v>
      </c>
      <c r="F64" s="1279">
        <f t="shared" si="22"/>
        <v>100</v>
      </c>
      <c r="G64" s="1192">
        <f t="shared" si="22"/>
        <v>9</v>
      </c>
      <c r="H64" s="1279">
        <f t="shared" si="22"/>
        <v>100</v>
      </c>
      <c r="I64" s="1179"/>
      <c r="J64" s="1179"/>
      <c r="K64" s="1179"/>
      <c r="L64" s="1179"/>
      <c r="M64" s="1181"/>
      <c r="O64" s="67"/>
    </row>
    <row r="65" spans="1:15" ht="16.2">
      <c r="A65" s="52"/>
      <c r="B65" s="1182" t="s">
        <v>949</v>
      </c>
      <c r="C65" s="1209" t="s">
        <v>944</v>
      </c>
      <c r="D65" s="1209" t="s">
        <v>945</v>
      </c>
      <c r="E65" s="1209" t="s">
        <v>944</v>
      </c>
      <c r="F65" s="1209" t="s">
        <v>945</v>
      </c>
      <c r="G65" s="1209" t="s">
        <v>944</v>
      </c>
      <c r="H65" s="1209" t="s">
        <v>945</v>
      </c>
      <c r="I65" s="1179"/>
      <c r="J65" s="1179"/>
      <c r="K65" s="1179"/>
      <c r="L65" s="1179"/>
      <c r="M65" s="1181"/>
      <c r="O65" s="67"/>
    </row>
    <row r="66" spans="1:15" ht="16.2">
      <c r="A66" s="52"/>
      <c r="B66" s="595" t="s">
        <v>950</v>
      </c>
      <c r="C66" s="1185">
        <v>2</v>
      </c>
      <c r="D66" s="1280">
        <v>28.6</v>
      </c>
      <c r="E66" s="1183">
        <v>1</v>
      </c>
      <c r="F66" s="1281">
        <v>14</v>
      </c>
      <c r="G66" s="1183">
        <v>4</v>
      </c>
      <c r="H66" s="1281">
        <v>57</v>
      </c>
      <c r="I66" s="1179"/>
      <c r="J66" s="1179"/>
      <c r="K66" s="1179"/>
      <c r="L66" s="1179"/>
      <c r="M66" s="1181"/>
      <c r="O66" s="67"/>
    </row>
    <row r="67" spans="1:15" ht="16.2">
      <c r="A67" s="52"/>
      <c r="B67" s="595" t="s">
        <v>951</v>
      </c>
      <c r="C67" s="1185">
        <v>4</v>
      </c>
      <c r="D67" s="1280">
        <v>57.1</v>
      </c>
      <c r="E67" s="1183">
        <v>5</v>
      </c>
      <c r="F67" s="1281">
        <v>72</v>
      </c>
      <c r="G67" s="1183">
        <v>3</v>
      </c>
      <c r="H67" s="1281">
        <v>43</v>
      </c>
      <c r="I67" s="1179"/>
      <c r="J67" s="1179"/>
      <c r="K67" s="1179"/>
      <c r="L67" s="1179"/>
      <c r="M67" s="1181"/>
      <c r="O67" s="67"/>
    </row>
    <row r="68" spans="1:15" ht="16.2">
      <c r="A68" s="52"/>
      <c r="B68" s="595" t="s">
        <v>952</v>
      </c>
      <c r="C68" s="1000">
        <v>1</v>
      </c>
      <c r="D68" s="1274">
        <v>14.3</v>
      </c>
      <c r="E68" s="713">
        <v>1</v>
      </c>
      <c r="F68" s="1277">
        <v>14</v>
      </c>
      <c r="G68" s="1186">
        <v>0</v>
      </c>
      <c r="H68" s="1277">
        <v>0</v>
      </c>
      <c r="I68" s="1179"/>
      <c r="J68" s="1179"/>
      <c r="K68" s="1179"/>
      <c r="L68" s="1179"/>
      <c r="M68" s="1181"/>
      <c r="O68" s="67"/>
    </row>
    <row r="69" spans="1:15" ht="16.2">
      <c r="A69" s="52"/>
      <c r="B69" s="1191" t="s">
        <v>709</v>
      </c>
      <c r="C69" s="1001">
        <f t="shared" ref="C69:H69" si="23">SUM(C66:C68)</f>
        <v>7</v>
      </c>
      <c r="D69" s="1276">
        <f t="shared" si="23"/>
        <v>100</v>
      </c>
      <c r="E69" s="1192">
        <f t="shared" si="23"/>
        <v>7</v>
      </c>
      <c r="F69" s="1279">
        <f t="shared" si="23"/>
        <v>100</v>
      </c>
      <c r="G69" s="1192">
        <f t="shared" si="23"/>
        <v>7</v>
      </c>
      <c r="H69" s="1279">
        <f t="shared" si="23"/>
        <v>100</v>
      </c>
      <c r="I69" s="1179"/>
      <c r="J69" s="1179"/>
      <c r="K69" s="1179"/>
      <c r="L69" s="1179"/>
      <c r="M69" s="1181"/>
      <c r="O69" s="67"/>
    </row>
    <row r="70" spans="1:15" ht="16.2">
      <c r="A70" s="52"/>
      <c r="B70" s="1182" t="s">
        <v>953</v>
      </c>
      <c r="C70" s="1209" t="s">
        <v>944</v>
      </c>
      <c r="D70" s="1209" t="s">
        <v>945</v>
      </c>
      <c r="E70" s="1209" t="s">
        <v>944</v>
      </c>
      <c r="F70" s="1209" t="s">
        <v>945</v>
      </c>
      <c r="G70" s="1209" t="s">
        <v>944</v>
      </c>
      <c r="H70" s="1209" t="s">
        <v>945</v>
      </c>
      <c r="I70" s="1179"/>
      <c r="J70" s="1179"/>
      <c r="K70" s="1179"/>
      <c r="L70" s="1179"/>
      <c r="M70" s="1181"/>
      <c r="O70" s="67"/>
    </row>
    <row r="71" spans="1:15" ht="16.2">
      <c r="A71" s="52"/>
      <c r="B71" s="623" t="s">
        <v>954</v>
      </c>
      <c r="C71" s="1185">
        <v>4</v>
      </c>
      <c r="D71" s="1280">
        <v>44.5</v>
      </c>
      <c r="E71" s="1184">
        <v>5</v>
      </c>
      <c r="F71" s="1282">
        <v>56</v>
      </c>
      <c r="G71" s="1184">
        <v>5</v>
      </c>
      <c r="H71" s="1282">
        <v>56</v>
      </c>
      <c r="I71" s="1179"/>
      <c r="J71" s="1179"/>
      <c r="K71" s="1179"/>
      <c r="L71" s="1179"/>
      <c r="M71" s="1181"/>
      <c r="O71" s="67"/>
    </row>
    <row r="72" spans="1:15" ht="16.2">
      <c r="A72" s="52"/>
      <c r="B72" s="623" t="s">
        <v>955</v>
      </c>
      <c r="C72" s="1185">
        <v>2</v>
      </c>
      <c r="D72" s="1280">
        <v>22.2</v>
      </c>
      <c r="E72" s="1184">
        <v>2</v>
      </c>
      <c r="F72" s="1282">
        <v>22</v>
      </c>
      <c r="G72" s="1184">
        <v>2</v>
      </c>
      <c r="H72" s="1282">
        <v>22</v>
      </c>
      <c r="I72" s="1179"/>
      <c r="J72" s="1179"/>
      <c r="K72" s="1179"/>
      <c r="L72" s="1179"/>
      <c r="M72" s="1181"/>
      <c r="O72" s="67"/>
    </row>
    <row r="73" spans="1:15" ht="16.2">
      <c r="A73" s="52"/>
      <c r="B73" s="623" t="s">
        <v>956</v>
      </c>
      <c r="C73" s="1185">
        <v>2</v>
      </c>
      <c r="D73" s="1280">
        <v>22.2</v>
      </c>
      <c r="E73" s="1184">
        <v>2</v>
      </c>
      <c r="F73" s="1282">
        <v>22</v>
      </c>
      <c r="G73" s="1184">
        <v>2</v>
      </c>
      <c r="H73" s="1282">
        <v>22</v>
      </c>
      <c r="I73" s="1179"/>
      <c r="J73" s="1179"/>
      <c r="K73" s="1179"/>
      <c r="L73" s="1179"/>
      <c r="M73" s="1181"/>
      <c r="O73" s="67"/>
    </row>
    <row r="74" spans="1:15" ht="16.2">
      <c r="A74" s="52"/>
      <c r="B74" s="623" t="s">
        <v>957</v>
      </c>
      <c r="C74" s="1185">
        <v>1</v>
      </c>
      <c r="D74" s="1280">
        <v>11.1</v>
      </c>
      <c r="E74" s="1184">
        <v>0</v>
      </c>
      <c r="F74" s="1282">
        <v>0</v>
      </c>
      <c r="G74" s="1184">
        <v>0</v>
      </c>
      <c r="H74" s="1282">
        <v>0</v>
      </c>
      <c r="I74" s="1179"/>
      <c r="J74" s="1179"/>
      <c r="K74" s="1179"/>
      <c r="L74" s="1179"/>
      <c r="M74" s="1181"/>
      <c r="O74" s="67"/>
    </row>
    <row r="75" spans="1:15" ht="16.2">
      <c r="A75" s="52"/>
      <c r="B75" s="1191" t="s">
        <v>709</v>
      </c>
      <c r="C75" s="1001">
        <f t="shared" ref="C75:H75" si="24">SUM(C71:C74)</f>
        <v>9</v>
      </c>
      <c r="D75" s="1276">
        <f t="shared" si="24"/>
        <v>100</v>
      </c>
      <c r="E75" s="712">
        <f t="shared" si="24"/>
        <v>9</v>
      </c>
      <c r="F75" s="1283">
        <f t="shared" si="24"/>
        <v>100</v>
      </c>
      <c r="G75" s="712">
        <f t="shared" si="24"/>
        <v>9</v>
      </c>
      <c r="H75" s="1283">
        <f t="shared" si="24"/>
        <v>100</v>
      </c>
      <c r="I75" s="1179"/>
      <c r="J75" s="1179"/>
      <c r="K75" s="1179"/>
      <c r="L75" s="1179"/>
      <c r="M75" s="1181"/>
      <c r="O75" s="67"/>
    </row>
    <row r="76" spans="1:15" ht="16.2">
      <c r="A76" s="52"/>
      <c r="B76" s="1182" t="s">
        <v>958</v>
      </c>
      <c r="C76" s="1209" t="s">
        <v>944</v>
      </c>
      <c r="D76" s="1209" t="s">
        <v>945</v>
      </c>
      <c r="E76" s="1209" t="s">
        <v>944</v>
      </c>
      <c r="F76" s="1209" t="s">
        <v>945</v>
      </c>
      <c r="G76" s="1209" t="s">
        <v>944</v>
      </c>
      <c r="H76" s="1209" t="s">
        <v>945</v>
      </c>
      <c r="I76" s="1179"/>
      <c r="J76" s="1179"/>
      <c r="K76" s="1179"/>
      <c r="L76" s="1179"/>
      <c r="M76" s="1181"/>
      <c r="O76" s="67"/>
    </row>
    <row r="77" spans="1:15" ht="16.2">
      <c r="A77" s="52"/>
      <c r="B77" s="623" t="s">
        <v>959</v>
      </c>
      <c r="C77" s="1185">
        <v>8</v>
      </c>
      <c r="D77" s="1280">
        <v>88.9</v>
      </c>
      <c r="E77" s="717">
        <v>8</v>
      </c>
      <c r="F77" s="1285">
        <v>88.9</v>
      </c>
      <c r="G77" s="1078"/>
      <c r="H77" s="1078"/>
      <c r="I77" s="1179"/>
      <c r="J77" s="1179"/>
      <c r="K77" s="1179"/>
      <c r="L77" s="1179"/>
      <c r="M77" s="1181"/>
      <c r="O77" s="67"/>
    </row>
    <row r="78" spans="1:15" ht="16.2">
      <c r="A78" s="52"/>
      <c r="B78" s="623" t="s">
        <v>960</v>
      </c>
      <c r="C78" s="1185">
        <v>0</v>
      </c>
      <c r="D78" s="1280">
        <v>0</v>
      </c>
      <c r="E78" s="717">
        <v>0</v>
      </c>
      <c r="F78" s="1285">
        <v>0</v>
      </c>
      <c r="G78" s="1078"/>
      <c r="H78" s="1078"/>
      <c r="I78" s="1179"/>
      <c r="J78" s="1179"/>
      <c r="K78" s="1179"/>
      <c r="L78" s="1179"/>
      <c r="M78" s="1181"/>
      <c r="O78" s="67"/>
    </row>
    <row r="79" spans="1:15" ht="16.2">
      <c r="A79" s="52"/>
      <c r="B79" s="623" t="s">
        <v>961</v>
      </c>
      <c r="C79" s="1185">
        <v>1</v>
      </c>
      <c r="D79" s="1280">
        <v>11.1</v>
      </c>
      <c r="E79" s="717">
        <v>1</v>
      </c>
      <c r="F79" s="1285">
        <v>11.1</v>
      </c>
      <c r="G79" s="1078"/>
      <c r="H79" s="1078"/>
      <c r="I79" s="1179"/>
      <c r="J79" s="1179"/>
      <c r="K79" s="1179"/>
      <c r="L79" s="1179"/>
      <c r="M79" s="1181"/>
      <c r="O79" s="67"/>
    </row>
    <row r="80" spans="1:15" ht="16.2">
      <c r="A80" s="52"/>
      <c r="B80" s="623" t="s">
        <v>962</v>
      </c>
      <c r="C80" s="1185">
        <v>0</v>
      </c>
      <c r="D80" s="1280">
        <v>0</v>
      </c>
      <c r="E80" s="717">
        <v>0</v>
      </c>
      <c r="F80" s="1285">
        <v>0</v>
      </c>
      <c r="G80" s="1078"/>
      <c r="H80" s="1078"/>
      <c r="I80" s="1179"/>
      <c r="J80" s="1179"/>
      <c r="K80" s="1179"/>
      <c r="L80" s="1179"/>
      <c r="M80" s="1181"/>
      <c r="O80" s="67"/>
    </row>
    <row r="81" spans="1:18" ht="16.2">
      <c r="A81" s="52"/>
      <c r="B81" s="622" t="s">
        <v>963</v>
      </c>
      <c r="C81" s="1185">
        <v>0</v>
      </c>
      <c r="D81" s="1280">
        <v>0</v>
      </c>
      <c r="E81" s="717">
        <v>0</v>
      </c>
      <c r="F81" s="1285">
        <v>0</v>
      </c>
      <c r="G81" s="1078"/>
      <c r="H81" s="1078"/>
      <c r="I81" s="1179"/>
      <c r="J81" s="1179"/>
      <c r="K81" s="1179"/>
      <c r="L81" s="1179"/>
      <c r="M81" s="1181"/>
      <c r="O81" s="67"/>
    </row>
    <row r="82" spans="1:18" ht="16.2">
      <c r="A82" s="52"/>
      <c r="B82" s="595" t="s">
        <v>964</v>
      </c>
      <c r="C82" s="1185">
        <v>0</v>
      </c>
      <c r="D82" s="1280">
        <v>0</v>
      </c>
      <c r="E82" s="717">
        <v>0</v>
      </c>
      <c r="F82" s="1285">
        <v>0</v>
      </c>
      <c r="G82" s="1078"/>
      <c r="H82" s="1078"/>
      <c r="I82" s="1179"/>
      <c r="J82" s="1179"/>
      <c r="K82" s="1179"/>
      <c r="L82" s="1179"/>
      <c r="M82" s="1181"/>
      <c r="O82" s="67"/>
    </row>
    <row r="83" spans="1:18" ht="16.2">
      <c r="A83" s="52"/>
      <c r="B83" s="1197" t="s">
        <v>709</v>
      </c>
      <c r="C83" s="1250">
        <f t="shared" ref="C83:F83" si="25">SUM(C77:C82)</f>
        <v>9</v>
      </c>
      <c r="D83" s="1284">
        <f t="shared" si="25"/>
        <v>100</v>
      </c>
      <c r="E83" s="1193">
        <f t="shared" si="25"/>
        <v>9</v>
      </c>
      <c r="F83" s="1286">
        <f t="shared" si="25"/>
        <v>100</v>
      </c>
      <c r="G83" s="1078"/>
      <c r="H83" s="1078"/>
      <c r="I83" s="1179"/>
      <c r="J83" s="1179"/>
      <c r="K83" s="1179"/>
      <c r="L83" s="1179"/>
      <c r="M83" s="1181"/>
      <c r="O83" s="67"/>
    </row>
    <row r="84" spans="1:18" s="78" customFormat="1">
      <c r="A84" s="377"/>
      <c r="B84" s="576"/>
      <c r="C84" s="577"/>
      <c r="D84" s="575"/>
      <c r="E84" s="575"/>
      <c r="F84" s="577"/>
      <c r="G84" s="575"/>
      <c r="H84" s="575"/>
      <c r="I84" s="575"/>
      <c r="J84" s="575"/>
      <c r="K84" s="575"/>
      <c r="L84" s="575"/>
      <c r="M84" s="575"/>
      <c r="N84" s="575"/>
      <c r="O84" s="575"/>
      <c r="P84" s="574"/>
      <c r="R84" s="79"/>
    </row>
    <row r="85" spans="1:18" ht="17.399999999999999">
      <c r="B85" s="941" t="s">
        <v>965</v>
      </c>
      <c r="C85" s="1452" t="s">
        <v>545</v>
      </c>
      <c r="D85" s="1452"/>
      <c r="E85" s="1452"/>
      <c r="F85" s="1452" t="s">
        <v>546</v>
      </c>
      <c r="G85" s="1452"/>
      <c r="H85" s="1452"/>
      <c r="I85" s="1454" t="s">
        <v>547</v>
      </c>
      <c r="J85" s="1454"/>
      <c r="K85" s="1454"/>
      <c r="L85" s="1454" t="s">
        <v>548</v>
      </c>
      <c r="M85" s="1454"/>
      <c r="N85" s="1454"/>
      <c r="O85" s="584"/>
      <c r="P85" s="15"/>
      <c r="Q85" s="67"/>
      <c r="R85" s="67"/>
    </row>
    <row r="86" spans="1:18" ht="16.2">
      <c r="A86" s="15"/>
      <c r="B86" s="585" t="s">
        <v>905</v>
      </c>
      <c r="C86" s="586" t="s">
        <v>906</v>
      </c>
      <c r="D86" s="586" t="s">
        <v>907</v>
      </c>
      <c r="E86" s="586" t="s">
        <v>709</v>
      </c>
      <c r="F86" s="586" t="s">
        <v>906</v>
      </c>
      <c r="G86" s="586" t="s">
        <v>907</v>
      </c>
      <c r="H86" s="586" t="s">
        <v>709</v>
      </c>
      <c r="I86" s="586" t="s">
        <v>906</v>
      </c>
      <c r="J86" s="586" t="s">
        <v>907</v>
      </c>
      <c r="K86" s="586" t="s">
        <v>709</v>
      </c>
      <c r="L86" s="586" t="s">
        <v>906</v>
      </c>
      <c r="M86" s="586" t="s">
        <v>907</v>
      </c>
      <c r="N86" s="586" t="s">
        <v>709</v>
      </c>
      <c r="O86" s="584"/>
      <c r="P86" s="15"/>
      <c r="Q86" s="98" t="s">
        <v>908</v>
      </c>
    </row>
    <row r="87" spans="1:18" ht="16.2">
      <c r="B87" s="602" t="s">
        <v>927</v>
      </c>
      <c r="C87" s="1000">
        <v>765</v>
      </c>
      <c r="D87" s="1000">
        <v>1232</v>
      </c>
      <c r="E87" s="1000">
        <f>SUM(C87:D87)</f>
        <v>1997</v>
      </c>
      <c r="F87" s="713">
        <v>748</v>
      </c>
      <c r="G87" s="713">
        <v>1496</v>
      </c>
      <c r="H87" s="991">
        <f>F87+G87</f>
        <v>2244</v>
      </c>
      <c r="I87" s="713">
        <v>718</v>
      </c>
      <c r="J87" s="713">
        <v>1355</v>
      </c>
      <c r="K87" s="713">
        <f>I87+J87</f>
        <v>2073</v>
      </c>
      <c r="L87" s="713">
        <v>475</v>
      </c>
      <c r="M87" s="713">
        <v>1117</v>
      </c>
      <c r="N87" s="713">
        <f>L87+M87</f>
        <v>1592</v>
      </c>
      <c r="O87" s="67"/>
      <c r="P87" s="15"/>
      <c r="Q87" s="67"/>
    </row>
    <row r="88" spans="1:18" ht="16.2">
      <c r="B88" s="602" t="s">
        <v>966</v>
      </c>
      <c r="C88" s="1000">
        <v>405</v>
      </c>
      <c r="D88" s="1000">
        <v>817</v>
      </c>
      <c r="E88" s="1000">
        <f>SUM(C88:D88)</f>
        <v>1222</v>
      </c>
      <c r="F88" s="713">
        <v>449</v>
      </c>
      <c r="G88" s="713">
        <v>1082</v>
      </c>
      <c r="H88" s="991">
        <f>F88+G88</f>
        <v>1531</v>
      </c>
      <c r="I88" s="713">
        <v>444</v>
      </c>
      <c r="J88" s="713">
        <v>1115</v>
      </c>
      <c r="K88" s="713">
        <f>I88+J88</f>
        <v>1559</v>
      </c>
      <c r="L88" s="713">
        <v>317</v>
      </c>
      <c r="M88" s="713">
        <v>797</v>
      </c>
      <c r="N88" s="713">
        <f>L88+M88</f>
        <v>1114</v>
      </c>
      <c r="O88" s="67"/>
      <c r="P88" s="15"/>
      <c r="Q88" s="67"/>
    </row>
    <row r="89" spans="1:18" ht="16.2" hidden="1">
      <c r="B89" s="702" t="s">
        <v>967</v>
      </c>
      <c r="C89" s="1000">
        <v>2</v>
      </c>
      <c r="D89" s="1000">
        <v>0</v>
      </c>
      <c r="E89" s="1000">
        <f>SUM(C89:D89)</f>
        <v>2</v>
      </c>
      <c r="F89" s="713"/>
      <c r="G89" s="713"/>
      <c r="H89" s="991"/>
      <c r="I89" s="713"/>
      <c r="J89" s="713"/>
      <c r="K89" s="713"/>
      <c r="L89" s="713"/>
      <c r="M89" s="713"/>
      <c r="N89" s="713"/>
      <c r="O89" s="67"/>
      <c r="P89" s="15"/>
      <c r="Q89" s="67"/>
    </row>
    <row r="90" spans="1:18" ht="16.2">
      <c r="B90" s="602" t="s">
        <v>968</v>
      </c>
      <c r="C90" s="1000">
        <v>442</v>
      </c>
      <c r="D90" s="1000">
        <v>1025</v>
      </c>
      <c r="E90" s="1000">
        <f>SUM(C90:D90)</f>
        <v>1467</v>
      </c>
      <c r="F90" s="713">
        <v>375</v>
      </c>
      <c r="G90" s="713">
        <v>996</v>
      </c>
      <c r="H90" s="991">
        <f>F90+G90</f>
        <v>1371</v>
      </c>
      <c r="I90" s="713">
        <v>115</v>
      </c>
      <c r="J90" s="713">
        <v>396</v>
      </c>
      <c r="K90" s="713">
        <f>I90+J90</f>
        <v>511</v>
      </c>
      <c r="L90" s="713">
        <v>230</v>
      </c>
      <c r="M90" s="713">
        <v>782</v>
      </c>
      <c r="N90" s="713">
        <f>L90+M90</f>
        <v>1012</v>
      </c>
      <c r="O90" s="67"/>
      <c r="P90" s="15"/>
      <c r="Q90" s="67"/>
    </row>
    <row r="91" spans="1:18" ht="16.2" hidden="1">
      <c r="B91" s="702" t="s">
        <v>969</v>
      </c>
      <c r="C91" s="1000">
        <v>36</v>
      </c>
      <c r="D91" s="1000">
        <v>15</v>
      </c>
      <c r="E91" s="1000">
        <f>SUM(C91:D91)</f>
        <v>51</v>
      </c>
      <c r="F91" s="713"/>
      <c r="G91" s="713"/>
      <c r="H91" s="991"/>
      <c r="I91" s="713"/>
      <c r="J91" s="713"/>
      <c r="K91" s="713"/>
      <c r="L91" s="713"/>
      <c r="M91" s="713"/>
      <c r="N91" s="713"/>
      <c r="O91" s="67"/>
      <c r="P91" s="15"/>
      <c r="Q91" s="67"/>
    </row>
    <row r="92" spans="1:18" ht="16.2">
      <c r="B92" s="614" t="s">
        <v>970</v>
      </c>
      <c r="C92" s="1288">
        <v>0.114</v>
      </c>
      <c r="D92" s="1288">
        <v>9.7000000000000003E-2</v>
      </c>
      <c r="E92" s="1288">
        <v>0.105</v>
      </c>
      <c r="F92" s="1290">
        <v>0.123</v>
      </c>
      <c r="G92" s="1290">
        <v>0.121</v>
      </c>
      <c r="H92" s="1290">
        <v>0.122</v>
      </c>
      <c r="I92" s="1453">
        <v>0.11550000000000001</v>
      </c>
      <c r="J92" s="1453"/>
      <c r="K92" s="1453"/>
      <c r="L92" s="1453">
        <v>8.2000000000000003E-2</v>
      </c>
      <c r="M92" s="1453"/>
      <c r="N92" s="1453"/>
      <c r="O92" s="67"/>
      <c r="P92" s="15"/>
      <c r="Q92" s="67"/>
    </row>
    <row r="93" spans="1:18" ht="16.2">
      <c r="B93" s="614" t="s">
        <v>971</v>
      </c>
      <c r="C93" s="1288">
        <v>0.127</v>
      </c>
      <c r="D93" s="1288">
        <v>0.125</v>
      </c>
      <c r="E93" s="1288">
        <v>0.126</v>
      </c>
      <c r="F93" s="1290">
        <v>0.10299999999999999</v>
      </c>
      <c r="G93" s="1290">
        <v>0.111</v>
      </c>
      <c r="H93" s="1290">
        <v>0.109</v>
      </c>
      <c r="I93" s="1453">
        <v>3.7900000000000003E-2</v>
      </c>
      <c r="J93" s="1453"/>
      <c r="K93" s="1453"/>
      <c r="L93" s="1453">
        <v>7.4999999999999997E-2</v>
      </c>
      <c r="M93" s="1453"/>
      <c r="N93" s="1453"/>
      <c r="O93" s="67"/>
      <c r="P93" s="15"/>
      <c r="Q93" s="67"/>
    </row>
    <row r="94" spans="1:18" ht="16.2">
      <c r="B94" s="601" t="s">
        <v>972</v>
      </c>
      <c r="C94" s="1289">
        <f t="shared" ref="C94:I94" si="26">C92+C93</f>
        <v>0.24099999999999999</v>
      </c>
      <c r="D94" s="1289">
        <f t="shared" si="26"/>
        <v>0.222</v>
      </c>
      <c r="E94" s="1289">
        <f t="shared" si="26"/>
        <v>0.23099999999999998</v>
      </c>
      <c r="F94" s="1291">
        <f t="shared" si="26"/>
        <v>0.22599999999999998</v>
      </c>
      <c r="G94" s="1291">
        <f t="shared" si="26"/>
        <v>0.23199999999999998</v>
      </c>
      <c r="H94" s="1291">
        <f t="shared" si="26"/>
        <v>0.23099999999999998</v>
      </c>
      <c r="I94" s="1467">
        <f t="shared" si="26"/>
        <v>0.15340000000000001</v>
      </c>
      <c r="J94" s="1467"/>
      <c r="K94" s="1467"/>
      <c r="L94" s="1467">
        <f>L92+L93</f>
        <v>0.157</v>
      </c>
      <c r="M94" s="1467"/>
      <c r="N94" s="1467"/>
      <c r="O94" s="67"/>
      <c r="P94" s="15"/>
      <c r="Q94" s="67"/>
    </row>
    <row r="95" spans="1:18">
      <c r="B95" s="1115" t="s">
        <v>973</v>
      </c>
      <c r="C95" s="102"/>
      <c r="D95" s="69"/>
      <c r="E95" s="69"/>
      <c r="F95" s="69"/>
      <c r="G95" s="1051"/>
      <c r="H95" s="69"/>
      <c r="I95" s="69"/>
      <c r="J95" s="69"/>
      <c r="K95" s="69"/>
      <c r="L95" s="69"/>
      <c r="M95" s="69"/>
      <c r="O95" s="67"/>
      <c r="P95" s="67"/>
    </row>
    <row r="96" spans="1:18" hidden="1">
      <c r="B96" s="1115" t="s">
        <v>974</v>
      </c>
      <c r="C96" s="102"/>
      <c r="D96" s="69"/>
      <c r="E96" s="69"/>
      <c r="F96" s="69"/>
      <c r="G96" s="1051"/>
      <c r="H96" s="69"/>
      <c r="I96" s="69"/>
      <c r="J96" s="69"/>
      <c r="K96" s="69"/>
      <c r="L96" s="69"/>
      <c r="M96" s="69"/>
      <c r="O96" s="67"/>
      <c r="P96" s="67"/>
    </row>
    <row r="97" spans="2:16" hidden="1">
      <c r="B97" s="67"/>
      <c r="C97" s="67"/>
      <c r="D97" s="67"/>
      <c r="E97" s="67"/>
      <c r="F97" s="67"/>
      <c r="G97" s="67"/>
      <c r="H97" s="67"/>
      <c r="I97" s="67"/>
      <c r="J97" s="67"/>
      <c r="K97" s="67"/>
      <c r="L97" s="67"/>
      <c r="M97" s="67"/>
      <c r="O97" s="67"/>
      <c r="P97" s="67"/>
    </row>
    <row r="98" spans="2:16" hidden="1">
      <c r="B98" s="1460" t="s">
        <v>975</v>
      </c>
      <c r="C98" s="1452" t="s">
        <v>545</v>
      </c>
      <c r="D98" s="1452"/>
      <c r="E98" s="1452"/>
      <c r="F98" s="1452" t="s">
        <v>546</v>
      </c>
      <c r="G98" s="1452"/>
      <c r="H98" s="1452"/>
      <c r="I98" s="69"/>
      <c r="J98" s="69"/>
      <c r="K98" s="69"/>
      <c r="M98" s="69"/>
      <c r="N98" s="2"/>
      <c r="O98" s="2"/>
    </row>
    <row r="99" spans="2:16" ht="55.2" hidden="1">
      <c r="B99" s="1460"/>
      <c r="C99" s="942" t="s">
        <v>976</v>
      </c>
      <c r="D99" s="940" t="s">
        <v>977</v>
      </c>
      <c r="E99" s="940" t="s">
        <v>978</v>
      </c>
      <c r="F99" s="942" t="s">
        <v>976</v>
      </c>
      <c r="G99" s="940" t="s">
        <v>977</v>
      </c>
      <c r="H99" s="940" t="s">
        <v>978</v>
      </c>
      <c r="I99" s="69"/>
      <c r="J99" s="69"/>
      <c r="M99" s="69"/>
      <c r="N99" s="2"/>
      <c r="O99" s="2"/>
    </row>
    <row r="100" spans="2:16" ht="16.2" hidden="1">
      <c r="B100" s="599" t="s">
        <v>910</v>
      </c>
      <c r="C100" s="1003">
        <v>4035</v>
      </c>
      <c r="D100" s="1004">
        <v>810</v>
      </c>
      <c r="E100" s="1005">
        <f>D100/C100</f>
        <v>0.20074349442379183</v>
      </c>
      <c r="F100" s="1011">
        <v>4162</v>
      </c>
      <c r="G100" s="604">
        <v>893</v>
      </c>
      <c r="H100" s="1012">
        <f t="shared" ref="H100:H105" si="27">G100/(F100)</f>
        <v>0.2145603075444498</v>
      </c>
      <c r="I100" s="69"/>
      <c r="J100" s="69"/>
      <c r="K100" s="69"/>
      <c r="L100" s="69"/>
      <c r="M100" s="69"/>
      <c r="N100" s="2"/>
      <c r="O100" s="2"/>
    </row>
    <row r="101" spans="2:16" ht="16.2" hidden="1">
      <c r="B101" s="599" t="s">
        <v>911</v>
      </c>
      <c r="C101" s="1003">
        <v>2840</v>
      </c>
      <c r="D101" s="1004">
        <v>709</v>
      </c>
      <c r="E101" s="1005">
        <f t="shared" ref="E101:E104" si="28">D101/C101</f>
        <v>0.24964788732394366</v>
      </c>
      <c r="F101" s="1011">
        <v>2734</v>
      </c>
      <c r="G101" s="604">
        <v>668</v>
      </c>
      <c r="H101" s="1012">
        <f t="shared" si="27"/>
        <v>0.24433065106071689</v>
      </c>
      <c r="I101" s="357"/>
      <c r="J101" s="69"/>
      <c r="K101" s="69"/>
      <c r="L101" s="69"/>
      <c r="M101" s="69"/>
      <c r="N101" s="2"/>
      <c r="O101" s="2"/>
    </row>
    <row r="102" spans="2:16" ht="16.2" hidden="1">
      <c r="B102" s="599" t="s">
        <v>912</v>
      </c>
      <c r="C102" s="1003">
        <v>2025</v>
      </c>
      <c r="D102" s="1004">
        <v>407</v>
      </c>
      <c r="E102" s="1005">
        <f t="shared" si="28"/>
        <v>0.20098765432098764</v>
      </c>
      <c r="F102" s="1011">
        <v>2271</v>
      </c>
      <c r="G102" s="604">
        <v>397</v>
      </c>
      <c r="H102" s="1012">
        <f t="shared" si="27"/>
        <v>0.17481285777190664</v>
      </c>
      <c r="I102" s="357"/>
      <c r="J102" s="69"/>
      <c r="K102" s="69"/>
      <c r="L102" s="69"/>
      <c r="M102" s="69"/>
      <c r="N102" s="2"/>
      <c r="O102" s="2"/>
    </row>
    <row r="103" spans="2:16" ht="16.2" hidden="1">
      <c r="B103" s="599" t="s">
        <v>913</v>
      </c>
      <c r="C103" s="1003">
        <v>2384</v>
      </c>
      <c r="D103" s="1004">
        <v>677</v>
      </c>
      <c r="E103" s="1005">
        <f t="shared" si="28"/>
        <v>0.28397651006711411</v>
      </c>
      <c r="F103" s="1011">
        <v>2442</v>
      </c>
      <c r="G103" s="604">
        <v>660</v>
      </c>
      <c r="H103" s="1012">
        <f t="shared" si="27"/>
        <v>0.27027027027027029</v>
      </c>
      <c r="I103" s="357"/>
      <c r="J103" s="69"/>
      <c r="K103" s="69"/>
      <c r="L103" s="69"/>
      <c r="M103" s="69"/>
      <c r="N103" s="2"/>
      <c r="O103" s="2"/>
    </row>
    <row r="104" spans="2:16" ht="16.2" hidden="1">
      <c r="B104" s="599" t="s">
        <v>914</v>
      </c>
      <c r="C104" s="1003">
        <v>824</v>
      </c>
      <c r="D104" s="1004">
        <v>411</v>
      </c>
      <c r="E104" s="1005">
        <f t="shared" si="28"/>
        <v>0.49878640776699029</v>
      </c>
      <c r="F104" s="1011">
        <v>1057</v>
      </c>
      <c r="G104" s="604">
        <v>545</v>
      </c>
      <c r="H104" s="1012">
        <f t="shared" si="27"/>
        <v>0.51561021759697256</v>
      </c>
      <c r="I104" s="357"/>
      <c r="J104" s="69"/>
      <c r="K104" s="69"/>
      <c r="L104" s="69"/>
      <c r="M104" s="69"/>
      <c r="N104" s="2"/>
      <c r="O104" s="2"/>
    </row>
    <row r="105" spans="2:16" ht="16.2" hidden="1">
      <c r="B105" s="707" t="s">
        <v>979</v>
      </c>
      <c r="C105" s="1004">
        <v>12206</v>
      </c>
      <c r="D105" s="1004">
        <f>SUM(D100:D104)</f>
        <v>3014</v>
      </c>
      <c r="E105" s="1005">
        <f>D105/C105</f>
        <v>0.24692774045551369</v>
      </c>
      <c r="F105" s="604">
        <f>SUM(F100:F104)</f>
        <v>12666</v>
      </c>
      <c r="G105" s="604">
        <f>SUM(G100:G104)</f>
        <v>3163</v>
      </c>
      <c r="H105" s="1012">
        <f t="shared" si="27"/>
        <v>0.24972366966682458</v>
      </c>
      <c r="I105" s="357"/>
      <c r="J105" s="69"/>
      <c r="K105" s="69"/>
      <c r="L105" s="69"/>
      <c r="M105" s="69"/>
      <c r="N105" s="2"/>
      <c r="O105" s="2"/>
    </row>
    <row r="106" spans="2:16">
      <c r="C106" s="97"/>
    </row>
    <row r="107" spans="2:16">
      <c r="B107" s="1461" t="s">
        <v>975</v>
      </c>
      <c r="C107" s="1462" t="s">
        <v>545</v>
      </c>
      <c r="D107" s="1462"/>
      <c r="E107" s="1462"/>
      <c r="F107" s="1462" t="s">
        <v>546</v>
      </c>
      <c r="G107" s="1462"/>
      <c r="H107" s="1462"/>
    </row>
    <row r="108" spans="2:16" ht="45.6" customHeight="1">
      <c r="B108" s="1461"/>
      <c r="C108" s="1091" t="s">
        <v>920</v>
      </c>
      <c r="D108" s="607" t="s">
        <v>980</v>
      </c>
      <c r="E108" s="607" t="s">
        <v>978</v>
      </c>
      <c r="F108" s="1091" t="s">
        <v>920</v>
      </c>
      <c r="G108" s="607" t="s">
        <v>980</v>
      </c>
      <c r="H108" s="607" t="s">
        <v>978</v>
      </c>
    </row>
    <row r="109" spans="2:16" ht="16.2">
      <c r="B109" s="599" t="s">
        <v>910</v>
      </c>
      <c r="C109" s="1003">
        <v>3879</v>
      </c>
      <c r="D109" s="1004">
        <v>775</v>
      </c>
      <c r="E109" s="1005">
        <f>D109/C109</f>
        <v>0.19979376127868007</v>
      </c>
      <c r="F109" s="1011">
        <v>4079</v>
      </c>
      <c r="G109" s="604">
        <v>835</v>
      </c>
      <c r="H109" s="1012">
        <f t="shared" ref="H109:H115" si="29">G109/(F109)</f>
        <v>0.20470703603824467</v>
      </c>
    </row>
    <row r="110" spans="2:16" ht="16.2">
      <c r="B110" s="599" t="s">
        <v>911</v>
      </c>
      <c r="C110" s="1003">
        <v>2876</v>
      </c>
      <c r="D110" s="1004">
        <v>722</v>
      </c>
      <c r="E110" s="1005">
        <f t="shared" ref="E110:E114" si="30">D110/C110</f>
        <v>0.25104311543810848</v>
      </c>
      <c r="F110" s="1011">
        <v>2858</v>
      </c>
      <c r="G110" s="604">
        <v>688</v>
      </c>
      <c r="H110" s="1012">
        <f t="shared" si="29"/>
        <v>0.24072778166550035</v>
      </c>
    </row>
    <row r="111" spans="2:16" ht="16.2">
      <c r="B111" s="599" t="s">
        <v>912</v>
      </c>
      <c r="C111" s="1003">
        <v>2014</v>
      </c>
      <c r="D111" s="1004">
        <v>400</v>
      </c>
      <c r="E111" s="1005">
        <f t="shared" si="30"/>
        <v>0.19860973187686196</v>
      </c>
      <c r="F111" s="1011">
        <v>2186</v>
      </c>
      <c r="G111" s="604">
        <v>419</v>
      </c>
      <c r="H111" s="1012">
        <f t="shared" si="29"/>
        <v>0.19167429094236046</v>
      </c>
    </row>
    <row r="112" spans="2:16" ht="16.2">
      <c r="B112" s="599" t="s">
        <v>913</v>
      </c>
      <c r="C112" s="1003">
        <f>1361+936</f>
        <v>2297</v>
      </c>
      <c r="D112" s="1004">
        <v>689</v>
      </c>
      <c r="E112" s="1005">
        <f>D112/C112</f>
        <v>0.29995646495428818</v>
      </c>
      <c r="F112" s="1011">
        <f>1404+1055</f>
        <v>2459</v>
      </c>
      <c r="G112" s="604">
        <v>664</v>
      </c>
      <c r="H112" s="1012">
        <f t="shared" si="29"/>
        <v>0.27002846685644571</v>
      </c>
    </row>
    <row r="113" spans="1:18" ht="16.2" hidden="1">
      <c r="B113" s="599" t="s">
        <v>918</v>
      </c>
      <c r="C113" s="1003">
        <v>936</v>
      </c>
      <c r="D113" s="1004">
        <v>0</v>
      </c>
      <c r="E113" s="1005">
        <f>D113/C113</f>
        <v>0</v>
      </c>
      <c r="F113" s="1011">
        <v>1055</v>
      </c>
      <c r="G113" s="604">
        <v>0</v>
      </c>
      <c r="H113" s="1012">
        <f>G113/(F113)</f>
        <v>0</v>
      </c>
    </row>
    <row r="114" spans="1:18" ht="16.2">
      <c r="B114" s="599" t="s">
        <v>914</v>
      </c>
      <c r="C114" s="1003">
        <v>619</v>
      </c>
      <c r="D114" s="1004">
        <v>278</v>
      </c>
      <c r="E114" s="1005">
        <f t="shared" si="30"/>
        <v>0.44911147011308561</v>
      </c>
      <c r="F114" s="1011">
        <v>1056</v>
      </c>
      <c r="G114" s="604">
        <v>538</v>
      </c>
      <c r="H114" s="1012">
        <f t="shared" si="29"/>
        <v>0.50946969696969702</v>
      </c>
    </row>
    <row r="115" spans="1:18" ht="16.2">
      <c r="B115" s="707" t="s">
        <v>979</v>
      </c>
      <c r="C115" s="1004">
        <v>11685</v>
      </c>
      <c r="D115" s="1004">
        <v>2864</v>
      </c>
      <c r="E115" s="1005">
        <f>D115/C115</f>
        <v>0.24510055626872057</v>
      </c>
      <c r="F115" s="604">
        <v>12638</v>
      </c>
      <c r="G115" s="604">
        <f>SUM(G109:G114)</f>
        <v>3144</v>
      </c>
      <c r="H115" s="1012">
        <f t="shared" si="29"/>
        <v>0.24877354011710714</v>
      </c>
    </row>
    <row r="116" spans="1:18" ht="16.2">
      <c r="B116" s="1055"/>
      <c r="C116" s="1055"/>
      <c r="D116" s="1055"/>
      <c r="E116" s="1055"/>
      <c r="F116" s="1055"/>
      <c r="G116" s="1055"/>
      <c r="H116" s="1055"/>
      <c r="I116" s="1055"/>
      <c r="J116" s="1055"/>
    </row>
    <row r="117" spans="1:18" ht="17.399999999999999">
      <c r="B117" s="937" t="s">
        <v>981</v>
      </c>
      <c r="C117" s="1452" t="s">
        <v>545</v>
      </c>
      <c r="D117" s="1452"/>
      <c r="E117" s="1452"/>
      <c r="F117" s="1452"/>
      <c r="G117" s="1452" t="s">
        <v>546</v>
      </c>
      <c r="H117" s="1452"/>
      <c r="I117" s="1452"/>
      <c r="J117" s="1452"/>
      <c r="P117" s="15"/>
      <c r="Q117" s="15"/>
      <c r="R117" s="15"/>
    </row>
    <row r="118" spans="1:18" ht="16.2">
      <c r="B118" s="585" t="s">
        <v>905</v>
      </c>
      <c r="C118" s="586" t="s">
        <v>906</v>
      </c>
      <c r="D118" s="586" t="s">
        <v>907</v>
      </c>
      <c r="E118" s="586" t="s">
        <v>709</v>
      </c>
      <c r="F118" s="586" t="s">
        <v>982</v>
      </c>
      <c r="G118" s="586" t="s">
        <v>906</v>
      </c>
      <c r="H118" s="586" t="s">
        <v>907</v>
      </c>
      <c r="I118" s="586" t="s">
        <v>709</v>
      </c>
      <c r="J118" s="586" t="s">
        <v>982</v>
      </c>
      <c r="P118" s="15"/>
      <c r="Q118" s="15"/>
      <c r="R118" s="15"/>
    </row>
    <row r="119" spans="1:18" ht="16.2">
      <c r="B119" s="599" t="s">
        <v>910</v>
      </c>
      <c r="C119" s="1000">
        <v>135</v>
      </c>
      <c r="D119" s="1000">
        <v>271</v>
      </c>
      <c r="E119" s="1000">
        <f t="shared" ref="E119:E124" si="31">SUM(C119:D119)</f>
        <v>406</v>
      </c>
      <c r="F119" s="1287">
        <f t="shared" ref="F119:F124" si="32">E119/E31</f>
        <v>0.10466615106986336</v>
      </c>
      <c r="G119" s="713">
        <v>215</v>
      </c>
      <c r="H119" s="713">
        <v>370</v>
      </c>
      <c r="I119" s="713">
        <v>585</v>
      </c>
      <c r="J119" s="992">
        <f t="shared" ref="J119:J124" si="33">I119/H31</f>
        <v>0.14341750429026723</v>
      </c>
      <c r="P119" s="15"/>
      <c r="Q119" s="15"/>
      <c r="R119" s="15"/>
    </row>
    <row r="120" spans="1:18" ht="16.2">
      <c r="B120" s="599" t="s">
        <v>911</v>
      </c>
      <c r="C120" s="1000">
        <v>76</v>
      </c>
      <c r="D120" s="1000">
        <v>113</v>
      </c>
      <c r="E120" s="1000">
        <f t="shared" si="31"/>
        <v>189</v>
      </c>
      <c r="F120" s="1287">
        <f t="shared" si="32"/>
        <v>6.5716272600834486E-2</v>
      </c>
      <c r="G120" s="713">
        <v>83</v>
      </c>
      <c r="H120" s="713">
        <v>102</v>
      </c>
      <c r="I120" s="713">
        <v>185</v>
      </c>
      <c r="J120" s="992">
        <f t="shared" si="33"/>
        <v>6.4730580825752268E-2</v>
      </c>
      <c r="P120" s="15"/>
      <c r="Q120" s="15"/>
      <c r="R120" s="15"/>
    </row>
    <row r="121" spans="1:18" ht="16.2">
      <c r="B121" s="599" t="s">
        <v>912</v>
      </c>
      <c r="C121" s="1000">
        <v>77</v>
      </c>
      <c r="D121" s="1000">
        <v>252</v>
      </c>
      <c r="E121" s="1000">
        <f t="shared" si="31"/>
        <v>329</v>
      </c>
      <c r="F121" s="1287">
        <f t="shared" si="32"/>
        <v>0.16335650446871897</v>
      </c>
      <c r="G121" s="713">
        <v>99</v>
      </c>
      <c r="H121" s="713">
        <v>205</v>
      </c>
      <c r="I121" s="713">
        <v>304</v>
      </c>
      <c r="J121" s="992">
        <f t="shared" si="33"/>
        <v>0.13906678865507777</v>
      </c>
      <c r="P121" s="15"/>
      <c r="Q121" s="15"/>
      <c r="R121" s="15"/>
    </row>
    <row r="122" spans="1:18" ht="16.2">
      <c r="B122" s="599" t="s">
        <v>913</v>
      </c>
      <c r="C122" s="1000">
        <v>43</v>
      </c>
      <c r="D122" s="1000">
        <v>133</v>
      </c>
      <c r="E122" s="1000">
        <f t="shared" si="31"/>
        <v>176</v>
      </c>
      <c r="F122" s="1287">
        <f t="shared" si="32"/>
        <v>7.6621680452764476E-2</v>
      </c>
      <c r="G122" s="713">
        <v>42</v>
      </c>
      <c r="H122" s="713">
        <v>111</v>
      </c>
      <c r="I122" s="713">
        <v>153</v>
      </c>
      <c r="J122" s="992">
        <f t="shared" si="33"/>
        <v>6.2220414802765349E-2</v>
      </c>
      <c r="P122" s="15"/>
      <c r="Q122" s="15"/>
      <c r="R122" s="15"/>
    </row>
    <row r="123" spans="1:18" ht="16.2">
      <c r="B123" s="599" t="s">
        <v>914</v>
      </c>
      <c r="C123" s="1000">
        <v>10</v>
      </c>
      <c r="D123" s="1000">
        <v>71</v>
      </c>
      <c r="E123" s="1000">
        <f t="shared" si="31"/>
        <v>81</v>
      </c>
      <c r="F123" s="1287">
        <f t="shared" si="32"/>
        <v>0.13085621970920841</v>
      </c>
      <c r="G123" s="713">
        <v>13</v>
      </c>
      <c r="H123" s="713">
        <v>38</v>
      </c>
      <c r="I123" s="713">
        <v>51</v>
      </c>
      <c r="J123" s="992">
        <f t="shared" si="33"/>
        <v>4.8295454545454544E-2</v>
      </c>
      <c r="P123" s="15"/>
      <c r="Q123" s="15"/>
      <c r="R123" s="15"/>
    </row>
    <row r="124" spans="1:18" ht="16.2">
      <c r="B124" s="707" t="s">
        <v>979</v>
      </c>
      <c r="C124" s="1006">
        <v>341</v>
      </c>
      <c r="D124" s="1006">
        <v>840</v>
      </c>
      <c r="E124" s="1000">
        <f t="shared" si="31"/>
        <v>1181</v>
      </c>
      <c r="F124" s="1287">
        <f t="shared" si="32"/>
        <v>0.10106974753958066</v>
      </c>
      <c r="G124" s="993">
        <f>SUM(G119:G123)</f>
        <v>452</v>
      </c>
      <c r="H124" s="993">
        <f>SUM(H119:H123)</f>
        <v>826</v>
      </c>
      <c r="I124" s="991">
        <f>SUM(I119:I123)</f>
        <v>1278</v>
      </c>
      <c r="J124" s="992">
        <f t="shared" si="33"/>
        <v>0.10112359550561797</v>
      </c>
      <c r="P124" s="15"/>
      <c r="Q124" s="15"/>
      <c r="R124" s="15"/>
    </row>
    <row r="125" spans="1:18">
      <c r="C125" s="97"/>
    </row>
    <row r="126" spans="1:18" ht="17.399999999999999">
      <c r="B126" s="937" t="s">
        <v>983</v>
      </c>
      <c r="C126" s="1452" t="s">
        <v>545</v>
      </c>
      <c r="D126" s="1452"/>
      <c r="E126" s="1452"/>
      <c r="F126" s="1452" t="s">
        <v>546</v>
      </c>
      <c r="G126" s="1452"/>
      <c r="H126" s="1452"/>
    </row>
    <row r="127" spans="1:18" ht="16.2">
      <c r="A127" s="15"/>
      <c r="B127" s="585" t="s">
        <v>905</v>
      </c>
      <c r="C127" s="586" t="s">
        <v>906</v>
      </c>
      <c r="D127" s="586" t="s">
        <v>907</v>
      </c>
      <c r="E127" s="586" t="s">
        <v>709</v>
      </c>
      <c r="F127" s="586" t="s">
        <v>906</v>
      </c>
      <c r="G127" s="586" t="s">
        <v>907</v>
      </c>
      <c r="H127" s="586" t="s">
        <v>709</v>
      </c>
    </row>
    <row r="128" spans="1:18" ht="16.2">
      <c r="B128" s="705" t="s">
        <v>984</v>
      </c>
      <c r="C128" s="1000">
        <v>37</v>
      </c>
      <c r="D128" s="1000">
        <v>118</v>
      </c>
      <c r="E128" s="1000">
        <f>SUM(C128:D128)</f>
        <v>155</v>
      </c>
      <c r="F128" s="713">
        <v>14</v>
      </c>
      <c r="G128" s="713">
        <v>85</v>
      </c>
      <c r="H128" s="713">
        <f>SUM(F128:G128)</f>
        <v>99</v>
      </c>
    </row>
    <row r="129" spans="1:20" ht="32.4">
      <c r="B129" s="613" t="s">
        <v>985</v>
      </c>
      <c r="C129" s="1000">
        <v>20</v>
      </c>
      <c r="D129" s="1000">
        <v>114</v>
      </c>
      <c r="E129" s="1000">
        <f>SUM(C129:D129)</f>
        <v>134</v>
      </c>
      <c r="F129" s="713">
        <v>14</v>
      </c>
      <c r="G129" s="713">
        <v>85</v>
      </c>
      <c r="H129" s="713">
        <f>SUM(F129:G129)</f>
        <v>99</v>
      </c>
    </row>
    <row r="130" spans="1:20" ht="32.4" hidden="1">
      <c r="B130" s="613" t="s">
        <v>986</v>
      </c>
      <c r="C130" s="556"/>
      <c r="D130" s="556"/>
      <c r="E130" s="556"/>
      <c r="F130" s="556"/>
      <c r="G130" s="556"/>
      <c r="H130" s="556"/>
    </row>
    <row r="131" spans="1:20" ht="16.2" hidden="1">
      <c r="B131" s="705" t="s">
        <v>987</v>
      </c>
      <c r="C131" s="557"/>
      <c r="D131" s="557"/>
      <c r="E131" s="556"/>
      <c r="F131" s="557"/>
      <c r="G131" s="557"/>
      <c r="H131" s="556"/>
    </row>
    <row r="132" spans="1:20">
      <c r="C132" s="97"/>
    </row>
    <row r="133" spans="1:20" ht="17.399999999999999">
      <c r="B133" s="937" t="s">
        <v>988</v>
      </c>
      <c r="C133" s="1452" t="s">
        <v>545</v>
      </c>
      <c r="D133" s="1452"/>
      <c r="E133" s="1452"/>
      <c r="F133" s="1452" t="s">
        <v>545</v>
      </c>
      <c r="G133" s="1452"/>
      <c r="H133" s="1452"/>
      <c r="I133" s="1452" t="s">
        <v>546</v>
      </c>
      <c r="J133" s="1452"/>
      <c r="K133" s="1452"/>
      <c r="L133" s="1452" t="s">
        <v>546</v>
      </c>
      <c r="M133" s="1452"/>
      <c r="N133" s="1452"/>
      <c r="P133" s="15"/>
      <c r="Q133" s="15"/>
      <c r="R133" s="15"/>
      <c r="S133" s="15"/>
      <c r="T133" s="15"/>
    </row>
    <row r="134" spans="1:20" ht="16.2">
      <c r="A134" s="1459"/>
      <c r="B134" s="585" t="s">
        <v>905</v>
      </c>
      <c r="C134" s="586" t="s">
        <v>906</v>
      </c>
      <c r="D134" s="586" t="s">
        <v>907</v>
      </c>
      <c r="E134" s="586" t="s">
        <v>709</v>
      </c>
      <c r="F134" s="586" t="s">
        <v>906</v>
      </c>
      <c r="G134" s="586" t="s">
        <v>907</v>
      </c>
      <c r="H134" s="586" t="s">
        <v>709</v>
      </c>
      <c r="I134" s="586" t="s">
        <v>906</v>
      </c>
      <c r="J134" s="586" t="s">
        <v>907</v>
      </c>
      <c r="K134" s="586" t="s">
        <v>709</v>
      </c>
      <c r="L134" s="586" t="s">
        <v>906</v>
      </c>
      <c r="M134" s="586" t="s">
        <v>907</v>
      </c>
      <c r="N134" s="586" t="s">
        <v>709</v>
      </c>
      <c r="P134" s="15"/>
      <c r="Q134" s="15"/>
      <c r="R134" s="15"/>
      <c r="S134" s="15"/>
      <c r="T134" s="15"/>
    </row>
    <row r="135" spans="1:20" ht="16.2">
      <c r="A135" s="1459"/>
      <c r="B135" s="705" t="s">
        <v>989</v>
      </c>
      <c r="C135" s="1000">
        <v>3181</v>
      </c>
      <c r="D135" s="1000">
        <v>6748</v>
      </c>
      <c r="E135" s="1000">
        <f>SUM(C135:D135)</f>
        <v>9929</v>
      </c>
      <c r="F135" s="1288">
        <v>0.94799999999999995</v>
      </c>
      <c r="G135" s="1288">
        <v>0.92500000000000004</v>
      </c>
      <c r="H135" s="1288">
        <v>0.93300000000000005</v>
      </c>
      <c r="I135" s="713">
        <v>3509</v>
      </c>
      <c r="J135" s="713">
        <v>7737</v>
      </c>
      <c r="K135" s="713">
        <v>11246</v>
      </c>
      <c r="L135" s="995">
        <v>0.98199999999999998</v>
      </c>
      <c r="M135" s="995">
        <v>0.89900000000000002</v>
      </c>
      <c r="N135" s="995">
        <v>0.92300000000000004</v>
      </c>
      <c r="P135" s="15"/>
      <c r="Q135" s="15"/>
      <c r="R135" s="15"/>
      <c r="S135" s="15"/>
      <c r="T135" s="15"/>
    </row>
    <row r="136" spans="1:20" ht="16.2">
      <c r="B136" s="613" t="s">
        <v>990</v>
      </c>
      <c r="C136" s="1000">
        <v>188</v>
      </c>
      <c r="D136" s="1000">
        <v>212</v>
      </c>
      <c r="E136" s="1000">
        <f>SUM(C136:D136)</f>
        <v>400</v>
      </c>
      <c r="F136" s="1288">
        <v>0.70699999999999996</v>
      </c>
      <c r="G136" s="1288">
        <v>0.75900000000000001</v>
      </c>
      <c r="H136" s="1288">
        <v>0.73499999999999999</v>
      </c>
      <c r="I136" s="713">
        <v>182</v>
      </c>
      <c r="J136" s="713">
        <v>230</v>
      </c>
      <c r="K136" s="713">
        <v>412</v>
      </c>
      <c r="L136" s="995">
        <v>0.91900000000000004</v>
      </c>
      <c r="M136" s="995">
        <v>0.89800000000000002</v>
      </c>
      <c r="N136" s="995">
        <v>0.90700000000000003</v>
      </c>
      <c r="P136" s="15"/>
      <c r="Q136" s="15"/>
      <c r="R136" s="15"/>
      <c r="S136" s="15"/>
      <c r="T136" s="15"/>
    </row>
    <row r="137" spans="1:20" ht="16.2">
      <c r="B137" s="613" t="s">
        <v>991</v>
      </c>
      <c r="C137" s="1001">
        <f>SUM(C135:C136)</f>
        <v>3369</v>
      </c>
      <c r="D137" s="1001">
        <f>SUM(D135:D136)</f>
        <v>6960</v>
      </c>
      <c r="E137" s="1001">
        <f>SUM(E135:E136)</f>
        <v>10329</v>
      </c>
      <c r="F137" s="1289">
        <v>0.93500000000000005</v>
      </c>
      <c r="G137" s="1289">
        <v>0.84699999999999998</v>
      </c>
      <c r="H137" s="1289">
        <v>0.92500000000000004</v>
      </c>
      <c r="I137" s="714">
        <v>3691</v>
      </c>
      <c r="J137" s="714">
        <v>7967</v>
      </c>
      <c r="K137" s="714">
        <v>11658</v>
      </c>
      <c r="L137" s="992">
        <v>0.97799999999999998</v>
      </c>
      <c r="M137" s="992">
        <v>0.89900000000000002</v>
      </c>
      <c r="N137" s="992">
        <v>0.92200000000000004</v>
      </c>
      <c r="O137" s="479"/>
      <c r="P137" s="15"/>
      <c r="Q137" s="15"/>
      <c r="R137" s="15"/>
      <c r="S137" s="15"/>
      <c r="T137" s="15"/>
    </row>
    <row r="138" spans="1:20">
      <c r="C138" s="97"/>
    </row>
    <row r="139" spans="1:20" ht="17.399999999999999">
      <c r="B139" s="941" t="s">
        <v>992</v>
      </c>
      <c r="C139" s="943" t="s">
        <v>545</v>
      </c>
      <c r="D139" s="943" t="s">
        <v>546</v>
      </c>
    </row>
    <row r="140" spans="1:20" ht="16.2">
      <c r="A140" s="579"/>
      <c r="B140" s="1092" t="s">
        <v>993</v>
      </c>
      <c r="C140" s="1087">
        <v>20.5</v>
      </c>
      <c r="D140" s="1477">
        <v>25.52</v>
      </c>
      <c r="N140" s="67"/>
      <c r="O140" s="67"/>
    </row>
    <row r="141" spans="1:20" ht="16.2">
      <c r="A141" s="579"/>
      <c r="B141" s="1092" t="s">
        <v>994</v>
      </c>
      <c r="C141" s="1087">
        <v>6.3</v>
      </c>
      <c r="D141" s="1478"/>
      <c r="N141" s="67"/>
      <c r="O141" s="67"/>
    </row>
    <row r="142" spans="1:20" ht="16.2">
      <c r="A142" s="579"/>
      <c r="B142" s="708" t="s">
        <v>995</v>
      </c>
      <c r="C142" s="1081">
        <v>51</v>
      </c>
      <c r="D142" s="994">
        <v>52</v>
      </c>
      <c r="N142" s="67"/>
      <c r="O142" s="67"/>
    </row>
    <row r="143" spans="1:20" ht="16.2">
      <c r="A143" s="579"/>
      <c r="B143" s="708" t="s">
        <v>996</v>
      </c>
      <c r="C143" s="1081">
        <v>5405</v>
      </c>
      <c r="D143" s="994">
        <v>3059</v>
      </c>
      <c r="N143" s="67"/>
      <c r="O143" s="67"/>
    </row>
    <row r="144" spans="1:20" ht="16.2">
      <c r="A144" s="579"/>
      <c r="B144" s="708" t="s">
        <v>997</v>
      </c>
      <c r="C144" s="1081">
        <v>3544</v>
      </c>
      <c r="D144" s="994">
        <v>134</v>
      </c>
      <c r="N144" s="67"/>
      <c r="O144" s="67"/>
    </row>
    <row r="145" spans="1:17">
      <c r="A145" s="579"/>
      <c r="B145" s="2"/>
      <c r="C145" s="70"/>
      <c r="D145" s="578"/>
      <c r="N145" s="67"/>
      <c r="O145" s="67"/>
    </row>
    <row r="146" spans="1:17">
      <c r="A146" s="579"/>
      <c r="B146" s="1472" t="s">
        <v>998</v>
      </c>
      <c r="C146" s="1464" t="s">
        <v>545</v>
      </c>
      <c r="D146" s="1465"/>
      <c r="E146" s="1464" t="s">
        <v>546</v>
      </c>
      <c r="F146" s="1465"/>
      <c r="P146" s="67"/>
      <c r="Q146" s="67"/>
    </row>
    <row r="147" spans="1:17" ht="35.1" customHeight="1">
      <c r="A147" s="579"/>
      <c r="B147" s="1473"/>
      <c r="C147" s="607" t="s">
        <v>999</v>
      </c>
      <c r="D147" s="607" t="s">
        <v>1000</v>
      </c>
      <c r="E147" s="607" t="s">
        <v>999</v>
      </c>
      <c r="F147" s="607" t="s">
        <v>1000</v>
      </c>
      <c r="P147" s="67"/>
      <c r="Q147" s="67"/>
    </row>
    <row r="148" spans="1:17" ht="16.2">
      <c r="A148" s="579"/>
      <c r="B148" s="708" t="s">
        <v>1001</v>
      </c>
      <c r="C148" s="1081">
        <v>11719</v>
      </c>
      <c r="D148" s="1082">
        <v>0.873</v>
      </c>
      <c r="E148" s="994">
        <v>11701</v>
      </c>
      <c r="F148" s="995">
        <v>0.84</v>
      </c>
      <c r="G148" s="710"/>
      <c r="H148" s="1080"/>
      <c r="I148" s="1080"/>
      <c r="P148" s="67"/>
      <c r="Q148" s="67"/>
    </row>
    <row r="149" spans="1:17" ht="16.2">
      <c r="A149" s="579"/>
      <c r="B149" s="708" t="s">
        <v>1002</v>
      </c>
      <c r="C149" s="1081">
        <v>2780</v>
      </c>
      <c r="D149" s="1082">
        <v>0.8</v>
      </c>
      <c r="E149" s="994">
        <v>6123</v>
      </c>
      <c r="F149" s="995">
        <v>0.64</v>
      </c>
      <c r="G149" s="710"/>
      <c r="H149" s="1080"/>
      <c r="I149" s="1080"/>
      <c r="P149" s="67"/>
      <c r="Q149" s="67"/>
    </row>
    <row r="150" spans="1:17" ht="16.2">
      <c r="A150" s="579"/>
      <c r="B150" s="708" t="s">
        <v>1003</v>
      </c>
      <c r="C150" s="1081">
        <v>611</v>
      </c>
      <c r="D150" s="1082">
        <v>0.9</v>
      </c>
      <c r="E150" s="994">
        <v>3240</v>
      </c>
      <c r="F150" s="995">
        <v>0.72</v>
      </c>
      <c r="G150" s="710"/>
      <c r="H150" s="1080"/>
      <c r="I150" s="1080"/>
      <c r="P150" s="67"/>
      <c r="Q150" s="67"/>
    </row>
    <row r="151" spans="1:17" ht="16.2">
      <c r="B151" s="708" t="s">
        <v>1004</v>
      </c>
      <c r="C151" s="1081">
        <v>3122</v>
      </c>
      <c r="D151" s="1082">
        <v>0.35</v>
      </c>
      <c r="E151" s="994"/>
      <c r="F151" s="995"/>
      <c r="G151" s="710"/>
      <c r="H151" s="710"/>
      <c r="I151" s="710"/>
    </row>
    <row r="152" spans="1:17" ht="16.2">
      <c r="B152" s="708" t="s">
        <v>1005</v>
      </c>
      <c r="C152" s="1081">
        <v>2258</v>
      </c>
      <c r="D152" s="1082">
        <v>0.83</v>
      </c>
      <c r="E152" s="994"/>
      <c r="F152" s="995"/>
      <c r="G152" s="710"/>
      <c r="H152" s="1090"/>
      <c r="I152" s="1080"/>
    </row>
    <row r="153" spans="1:17" ht="16.2">
      <c r="B153" s="708" t="s">
        <v>1006</v>
      </c>
      <c r="C153" s="1081">
        <v>11004</v>
      </c>
      <c r="D153" s="1082">
        <v>0.82</v>
      </c>
      <c r="E153" s="994"/>
      <c r="F153" s="995"/>
      <c r="G153" s="710"/>
      <c r="H153" s="1080"/>
      <c r="I153" s="1080"/>
    </row>
    <row r="154" spans="1:17" ht="16.2">
      <c r="B154" s="1479" t="s">
        <v>1007</v>
      </c>
      <c r="C154" s="1479"/>
      <c r="D154" s="1479"/>
      <c r="E154" s="1479"/>
      <c r="F154" s="1479"/>
      <c r="G154" s="710"/>
      <c r="H154" s="1080"/>
      <c r="I154" s="1080"/>
    </row>
    <row r="155" spans="1:17" ht="16.2">
      <c r="B155" s="2"/>
      <c r="C155" s="2"/>
      <c r="D155" s="2"/>
      <c r="E155" s="2"/>
      <c r="F155" s="2"/>
      <c r="G155" s="710"/>
      <c r="H155" s="1080"/>
      <c r="I155" s="1080"/>
    </row>
    <row r="156" spans="1:17" ht="17.399999999999999">
      <c r="B156" s="941" t="s">
        <v>1008</v>
      </c>
      <c r="C156" s="943" t="s">
        <v>545</v>
      </c>
      <c r="D156" s="943" t="s">
        <v>546</v>
      </c>
      <c r="E156" s="943" t="s">
        <v>547</v>
      </c>
      <c r="F156" s="943" t="s">
        <v>548</v>
      </c>
      <c r="G156" s="943" t="s">
        <v>549</v>
      </c>
    </row>
    <row r="157" spans="1:17" ht="16.2">
      <c r="B157" s="707" t="s">
        <v>1009</v>
      </c>
      <c r="C157" s="1045">
        <v>0.73</v>
      </c>
      <c r="D157" s="709">
        <v>0.75</v>
      </c>
      <c r="E157" s="1474" t="s">
        <v>1010</v>
      </c>
      <c r="F157" s="695">
        <v>0.74</v>
      </c>
      <c r="G157" s="695">
        <v>0.64</v>
      </c>
    </row>
    <row r="158" spans="1:17" ht="16.2">
      <c r="B158" s="599" t="s">
        <v>1011</v>
      </c>
      <c r="C158" s="1086"/>
      <c r="D158" s="1086"/>
      <c r="E158" s="1475"/>
      <c r="F158" s="695">
        <v>0.65</v>
      </c>
      <c r="G158" s="695">
        <v>0.63</v>
      </c>
    </row>
    <row r="159" spans="1:17" ht="16.2">
      <c r="B159" s="599" t="s">
        <v>1012</v>
      </c>
      <c r="C159" s="1086"/>
      <c r="D159" s="1050">
        <v>6.9</v>
      </c>
      <c r="E159" s="1475"/>
      <c r="F159" s="1086"/>
      <c r="G159" s="1086"/>
    </row>
    <row r="160" spans="1:17" ht="16.2">
      <c r="B160" s="599" t="s">
        <v>1013</v>
      </c>
      <c r="C160" s="1087">
        <v>7.2</v>
      </c>
      <c r="D160" s="1086" t="s">
        <v>1010</v>
      </c>
      <c r="E160" s="1476"/>
      <c r="F160" s="1086" t="s">
        <v>1010</v>
      </c>
      <c r="G160" s="1086" t="s">
        <v>1010</v>
      </c>
    </row>
  </sheetData>
  <sheetProtection algorithmName="SHA-512" hashValue="ZRuc1HESzf/UXmLdR4Aj58lYriyWyfeb5ivkV6fYXRIPs5e8g1ap9HcR8MNMV8T8QcdzmXzm3+DvqK+buNYtxA==" saltValue="OZVHWDlCRtgfKD1qGcU0RQ==" spinCount="100000" sheet="1" objects="1" scenarios="1"/>
  <mergeCells count="85">
    <mergeCell ref="E157:E160"/>
    <mergeCell ref="D140:D141"/>
    <mergeCell ref="B154:F154"/>
    <mergeCell ref="B4:L4"/>
    <mergeCell ref="F14:H14"/>
    <mergeCell ref="C14:E14"/>
    <mergeCell ref="I14:K14"/>
    <mergeCell ref="K53:K54"/>
    <mergeCell ref="F31:F32"/>
    <mergeCell ref="G31:G32"/>
    <mergeCell ref="H31:H32"/>
    <mergeCell ref="I17:I18"/>
    <mergeCell ref="J17:J18"/>
    <mergeCell ref="K17:K18"/>
    <mergeCell ref="L17:L18"/>
    <mergeCell ref="L85:N85"/>
    <mergeCell ref="P17:P18"/>
    <mergeCell ref="Q17:Q18"/>
    <mergeCell ref="C146:D146"/>
    <mergeCell ref="B146:B147"/>
    <mergeCell ref="F17:F18"/>
    <mergeCell ref="G17:G18"/>
    <mergeCell ref="H17:H18"/>
    <mergeCell ref="F24:F25"/>
    <mergeCell ref="G24:G25"/>
    <mergeCell ref="H24:H25"/>
    <mergeCell ref="I24:I25"/>
    <mergeCell ref="J24:J25"/>
    <mergeCell ref="K24:K25"/>
    <mergeCell ref="I53:I54"/>
    <mergeCell ref="J53:J54"/>
    <mergeCell ref="M17:M18"/>
    <mergeCell ref="N31:N32"/>
    <mergeCell ref="L14:N14"/>
    <mergeCell ref="O14:O15"/>
    <mergeCell ref="I31:I32"/>
    <mergeCell ref="J31:J32"/>
    <mergeCell ref="K31:K32"/>
    <mergeCell ref="L31:L32"/>
    <mergeCell ref="M31:M32"/>
    <mergeCell ref="L24:L25"/>
    <mergeCell ref="M24:M25"/>
    <mergeCell ref="N24:N25"/>
    <mergeCell ref="N17:N18"/>
    <mergeCell ref="O44:O45"/>
    <mergeCell ref="L44:N44"/>
    <mergeCell ref="I133:K133"/>
    <mergeCell ref="L133:N133"/>
    <mergeCell ref="E146:F146"/>
    <mergeCell ref="I92:K92"/>
    <mergeCell ref="L92:N92"/>
    <mergeCell ref="L93:N93"/>
    <mergeCell ref="O46:O47"/>
    <mergeCell ref="O48:O49"/>
    <mergeCell ref="H53:H54"/>
    <mergeCell ref="F53:F54"/>
    <mergeCell ref="C44:E44"/>
    <mergeCell ref="C85:E85"/>
    <mergeCell ref="I94:K94"/>
    <mergeCell ref="L94:N94"/>
    <mergeCell ref="C117:F117"/>
    <mergeCell ref="C133:E133"/>
    <mergeCell ref="F133:H133"/>
    <mergeCell ref="G53:G54"/>
    <mergeCell ref="A134:A135"/>
    <mergeCell ref="G117:J117"/>
    <mergeCell ref="B98:B99"/>
    <mergeCell ref="F98:H98"/>
    <mergeCell ref="C98:E98"/>
    <mergeCell ref="C126:E126"/>
    <mergeCell ref="F126:H126"/>
    <mergeCell ref="B107:B108"/>
    <mergeCell ref="C107:E107"/>
    <mergeCell ref="F107:H107"/>
    <mergeCell ref="C59:D59"/>
    <mergeCell ref="L53:L54"/>
    <mergeCell ref="M53:M54"/>
    <mergeCell ref="N53:N54"/>
    <mergeCell ref="F44:H44"/>
    <mergeCell ref="I93:K93"/>
    <mergeCell ref="F85:H85"/>
    <mergeCell ref="I85:K85"/>
    <mergeCell ref="I44:K44"/>
    <mergeCell ref="E59:F59"/>
    <mergeCell ref="G59:H59"/>
  </mergeCells>
  <phoneticPr fontId="3" type="noConversion"/>
  <pageMargins left="0.70866141732283472" right="0.70866141732283472" top="0.74803149606299213" bottom="0.74803149606299213" header="0.31496062992125984" footer="0.31496062992125984"/>
  <pageSetup paperSize="9" scale="34"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7"/>
    <pageSetUpPr fitToPage="1"/>
  </sheetPr>
  <dimension ref="B1:V43"/>
  <sheetViews>
    <sheetView zoomScale="80" zoomScaleNormal="80" workbookViewId="0"/>
  </sheetViews>
  <sheetFormatPr defaultColWidth="8.88671875" defaultRowHeight="12.6"/>
  <cols>
    <col min="1" max="1" width="2.44140625" style="3" customWidth="1"/>
    <col min="2" max="2" width="73.33203125" style="3" customWidth="1"/>
    <col min="3" max="3" width="32.5546875" style="3" customWidth="1"/>
    <col min="4" max="4" width="16.109375" style="3" customWidth="1"/>
    <col min="5" max="13" width="16.33203125" style="3" customWidth="1"/>
    <col min="14" max="21" width="11.88671875" style="3" customWidth="1"/>
    <col min="22" max="16384" width="8.88671875" style="3"/>
  </cols>
  <sheetData>
    <row r="1" spans="2:13"/>
    <row r="2" spans="2:13" ht="60.9" customHeight="1">
      <c r="B2" s="1485" t="s">
        <v>1014</v>
      </c>
      <c r="C2" s="1444"/>
      <c r="D2" s="1444"/>
      <c r="E2" s="1444"/>
      <c r="F2" s="1444"/>
      <c r="G2" s="1444"/>
      <c r="H2" s="1444"/>
      <c r="I2" s="1444"/>
      <c r="J2" s="1444"/>
    </row>
    <row r="3" spans="2:13">
      <c r="B3" s="514"/>
    </row>
    <row r="5" spans="2:13" ht="29.1" customHeight="1">
      <c r="B5" s="1482" t="s">
        <v>1015</v>
      </c>
      <c r="C5" s="1482" t="s">
        <v>544</v>
      </c>
      <c r="D5" s="1483" t="s">
        <v>545</v>
      </c>
      <c r="E5" s="1483"/>
      <c r="F5" s="1481" t="s">
        <v>546</v>
      </c>
      <c r="G5" s="1481"/>
      <c r="H5" s="1481" t="s">
        <v>547</v>
      </c>
      <c r="I5" s="1481"/>
      <c r="J5" s="1481" t="s">
        <v>548</v>
      </c>
      <c r="K5" s="1481"/>
      <c r="L5" s="1481" t="s">
        <v>549</v>
      </c>
      <c r="M5" s="1481"/>
    </row>
    <row r="6" spans="2:13">
      <c r="B6" s="1482"/>
      <c r="C6" s="1482"/>
      <c r="D6" s="1013" t="s">
        <v>898</v>
      </c>
      <c r="E6" s="1014" t="s">
        <v>901</v>
      </c>
      <c r="F6" s="1015" t="s">
        <v>898</v>
      </c>
      <c r="G6" s="1016" t="s">
        <v>901</v>
      </c>
      <c r="H6" s="1015" t="s">
        <v>898</v>
      </c>
      <c r="I6" s="1016" t="s">
        <v>901</v>
      </c>
      <c r="J6" s="1015" t="s">
        <v>898</v>
      </c>
      <c r="K6" s="1016" t="s">
        <v>901</v>
      </c>
      <c r="L6" s="1015" t="s">
        <v>898</v>
      </c>
      <c r="M6" s="1016" t="s">
        <v>901</v>
      </c>
    </row>
    <row r="7" spans="2:13" ht="32.4">
      <c r="B7" s="623" t="s">
        <v>1016</v>
      </c>
      <c r="C7" s="613" t="s">
        <v>1017</v>
      </c>
      <c r="D7" s="1172">
        <v>17.11</v>
      </c>
      <c r="E7" s="1017" t="s">
        <v>1018</v>
      </c>
      <c r="F7" s="1018">
        <v>11.11</v>
      </c>
      <c r="G7" s="1018" t="s">
        <v>1019</v>
      </c>
      <c r="H7" s="1019">
        <v>11.8</v>
      </c>
      <c r="I7" s="1020" t="s">
        <v>1019</v>
      </c>
      <c r="J7" s="1019">
        <v>16.12</v>
      </c>
      <c r="K7" s="1020" t="s">
        <v>1019</v>
      </c>
      <c r="L7" s="1019">
        <v>18.443351047652378</v>
      </c>
      <c r="M7" s="1020" t="s">
        <v>1019</v>
      </c>
    </row>
    <row r="8" spans="2:13" ht="16.2">
      <c r="B8" s="623" t="s">
        <v>1020</v>
      </c>
      <c r="C8" s="623" t="s">
        <v>620</v>
      </c>
      <c r="D8" s="1172">
        <v>0.34</v>
      </c>
      <c r="E8" s="1017">
        <v>0.48</v>
      </c>
      <c r="F8" s="1018">
        <f>E25</f>
        <v>0.48</v>
      </c>
      <c r="G8" s="1018">
        <f>E26</f>
        <v>0.41</v>
      </c>
      <c r="H8" s="1020">
        <v>0.59</v>
      </c>
      <c r="I8" s="1020" t="s">
        <v>1021</v>
      </c>
      <c r="J8" s="1019">
        <v>0.56999999999999995</v>
      </c>
      <c r="K8" s="1020" t="s">
        <v>1021</v>
      </c>
      <c r="L8" s="1019">
        <v>0.78427488081668739</v>
      </c>
      <c r="M8" s="1020" t="s">
        <v>1021</v>
      </c>
    </row>
    <row r="9" spans="2:13" ht="16.2">
      <c r="B9" s="623" t="s">
        <v>1022</v>
      </c>
      <c r="C9" s="623" t="s">
        <v>1023</v>
      </c>
      <c r="D9" s="1173">
        <v>18</v>
      </c>
      <c r="E9" s="1017">
        <v>5</v>
      </c>
      <c r="F9" s="1018">
        <v>28</v>
      </c>
      <c r="G9" s="1018">
        <v>9</v>
      </c>
      <c r="H9" s="1020">
        <v>40</v>
      </c>
      <c r="I9" s="1020">
        <v>8</v>
      </c>
      <c r="J9" s="1020">
        <v>39</v>
      </c>
      <c r="K9" s="1020">
        <v>6</v>
      </c>
      <c r="L9" s="1020">
        <v>49</v>
      </c>
      <c r="M9" s="1020">
        <v>12</v>
      </c>
    </row>
    <row r="10" spans="2:13" ht="16.2">
      <c r="B10" s="623" t="s">
        <v>1024</v>
      </c>
      <c r="C10" s="623" t="s">
        <v>614</v>
      </c>
      <c r="D10" s="1172">
        <v>0.84</v>
      </c>
      <c r="E10" s="1017">
        <v>0.95</v>
      </c>
      <c r="F10" s="1171">
        <v>1.196</v>
      </c>
      <c r="G10" s="1018">
        <v>1.37</v>
      </c>
      <c r="H10" s="1020">
        <v>1.45</v>
      </c>
      <c r="I10" s="1020">
        <v>1.33</v>
      </c>
      <c r="J10" s="1019">
        <v>1.29</v>
      </c>
      <c r="K10" s="1019">
        <v>1.1299999999999999</v>
      </c>
      <c r="L10" s="1019">
        <v>1.4464112881567741</v>
      </c>
      <c r="M10" s="1019">
        <v>1.33</v>
      </c>
    </row>
    <row r="11" spans="2:13" ht="16.2">
      <c r="B11" s="623" t="s">
        <v>1025</v>
      </c>
      <c r="C11" s="623" t="s">
        <v>620</v>
      </c>
      <c r="D11" s="1172">
        <v>0.17</v>
      </c>
      <c r="E11" s="1017">
        <v>0.19</v>
      </c>
      <c r="F11" s="1018">
        <v>0.23</v>
      </c>
      <c r="G11" s="1018">
        <f>E22</f>
        <v>0.27</v>
      </c>
      <c r="H11" s="1019">
        <v>0.3</v>
      </c>
      <c r="I11" s="1020" t="s">
        <v>1021</v>
      </c>
      <c r="J11" s="1019">
        <v>0.28999999999999998</v>
      </c>
      <c r="K11" s="1020" t="s">
        <v>1021</v>
      </c>
      <c r="L11" s="1019">
        <v>0.34713806200082886</v>
      </c>
      <c r="M11" s="1020" t="s">
        <v>1021</v>
      </c>
    </row>
    <row r="12" spans="2:13" ht="32.4">
      <c r="B12" s="623" t="s">
        <v>1026</v>
      </c>
      <c r="C12" s="623" t="s">
        <v>614</v>
      </c>
      <c r="D12" s="1172">
        <v>0</v>
      </c>
      <c r="E12" s="1017" t="s">
        <v>1018</v>
      </c>
      <c r="F12" s="1018">
        <v>0.08</v>
      </c>
      <c r="G12" s="1018" t="s">
        <v>1019</v>
      </c>
      <c r="H12" s="1020">
        <v>0.16</v>
      </c>
      <c r="I12" s="1020" t="s">
        <v>1019</v>
      </c>
      <c r="J12" s="1019">
        <v>0.11</v>
      </c>
      <c r="K12" s="1020" t="s">
        <v>1019</v>
      </c>
      <c r="L12" s="1019">
        <v>0.44999462298210752</v>
      </c>
      <c r="M12" s="1020" t="s">
        <v>1019</v>
      </c>
    </row>
    <row r="13" spans="2:13" ht="24.9" hidden="1" customHeight="1">
      <c r="B13" s="515" t="s">
        <v>1027</v>
      </c>
      <c r="C13" s="515"/>
      <c r="F13" s="516"/>
      <c r="G13" s="495"/>
      <c r="H13" s="517"/>
      <c r="I13" s="516"/>
      <c r="J13" s="495"/>
      <c r="K13" s="517"/>
    </row>
    <row r="14" spans="2:13" ht="11.4" hidden="1" customHeight="1">
      <c r="B14" s="518" t="s">
        <v>1028</v>
      </c>
      <c r="C14" s="1052" t="s">
        <v>1029</v>
      </c>
      <c r="D14" s="1052"/>
      <c r="E14" s="1052"/>
      <c r="G14" s="519"/>
    </row>
    <row r="15" spans="2:13" ht="11.4" hidden="1" customHeight="1">
      <c r="B15" s="518" t="s">
        <v>1030</v>
      </c>
      <c r="C15" s="1484" t="s">
        <v>1031</v>
      </c>
      <c r="D15" s="1484"/>
      <c r="E15" s="1484"/>
      <c r="F15" s="1484"/>
      <c r="G15" s="519"/>
    </row>
    <row r="16" spans="2:13" ht="11.4" hidden="1" customHeight="1">
      <c r="B16" s="520" t="s">
        <v>1032</v>
      </c>
      <c r="C16" s="1484" t="s">
        <v>1033</v>
      </c>
      <c r="D16" s="1484"/>
      <c r="E16" s="1484"/>
      <c r="F16" s="1484"/>
      <c r="G16" s="519"/>
    </row>
    <row r="17" spans="2:22" ht="11.4" hidden="1" customHeight="1">
      <c r="B17" s="520" t="s">
        <v>1034</v>
      </c>
      <c r="C17" s="1484" t="s">
        <v>1035</v>
      </c>
      <c r="D17" s="1484"/>
      <c r="E17" s="1484"/>
      <c r="F17" s="1484"/>
      <c r="G17" s="519"/>
    </row>
    <row r="18" spans="2:22" ht="26.4" customHeight="1">
      <c r="G18" s="519"/>
    </row>
    <row r="19" spans="2:22" ht="40.65" customHeight="1">
      <c r="B19" s="944" t="s">
        <v>1015</v>
      </c>
      <c r="C19" s="947" t="s">
        <v>544</v>
      </c>
      <c r="D19" s="945" t="s">
        <v>545</v>
      </c>
      <c r="E19" s="946" t="s">
        <v>546</v>
      </c>
      <c r="F19" s="946" t="s">
        <v>547</v>
      </c>
      <c r="G19" s="946" t="s">
        <v>548</v>
      </c>
      <c r="H19" s="946" t="s">
        <v>549</v>
      </c>
      <c r="I19" s="946" t="s">
        <v>1036</v>
      </c>
      <c r="J19" s="945" t="s">
        <v>847</v>
      </c>
      <c r="K19" s="948" t="s">
        <v>1037</v>
      </c>
      <c r="O19" s="3" t="str">
        <f>I19</f>
        <v>2018/19</v>
      </c>
      <c r="P19" s="3" t="str">
        <f>H19</f>
        <v>2019/20</v>
      </c>
      <c r="Q19" s="3" t="str">
        <f>G19</f>
        <v>2020/21</v>
      </c>
      <c r="R19" s="3" t="str">
        <f>F19</f>
        <v>2021/22</v>
      </c>
      <c r="S19" s="3" t="str">
        <f>E19</f>
        <v>2022/23</v>
      </c>
      <c r="T19" s="3" t="str">
        <f>D19</f>
        <v>2023/24</v>
      </c>
    </row>
    <row r="20" spans="2:22" ht="32.4">
      <c r="B20" s="613" t="s">
        <v>1038</v>
      </c>
      <c r="C20" s="623" t="s">
        <v>620</v>
      </c>
      <c r="D20" s="1021">
        <v>0.17</v>
      </c>
      <c r="E20" s="717">
        <v>0.24</v>
      </c>
      <c r="F20" s="718">
        <v>0.3</v>
      </c>
      <c r="G20" s="717">
        <v>0.28000000000000003</v>
      </c>
      <c r="H20" s="717">
        <v>0.34</v>
      </c>
      <c r="I20" s="717">
        <v>0.56000000000000005</v>
      </c>
      <c r="J20" s="1029">
        <f>(D20-E20)/E20</f>
        <v>-0.29166666666666657</v>
      </c>
      <c r="K20" s="1027"/>
      <c r="M20" s="534"/>
      <c r="N20" s="534" t="str">
        <f>B20</f>
        <v>Lost Time Injury and Illness Rate (LTIIR) 
employees + contractors</v>
      </c>
      <c r="O20" s="3">
        <f>I20</f>
        <v>0.56000000000000005</v>
      </c>
      <c r="P20" s="3">
        <f>H20</f>
        <v>0.34</v>
      </c>
      <c r="Q20" s="3">
        <f>G20</f>
        <v>0.28000000000000003</v>
      </c>
      <c r="R20" s="1065">
        <f>F20</f>
        <v>0.3</v>
      </c>
      <c r="S20" s="3">
        <f>E20</f>
        <v>0.24</v>
      </c>
      <c r="T20" s="3">
        <f>D20</f>
        <v>0.17</v>
      </c>
      <c r="U20" s="534"/>
      <c r="V20" s="534"/>
    </row>
    <row r="21" spans="2:22" ht="16.2">
      <c r="B21" s="705" t="s">
        <v>1039</v>
      </c>
      <c r="C21" s="623" t="s">
        <v>620</v>
      </c>
      <c r="D21" s="1021">
        <v>0.17</v>
      </c>
      <c r="E21" s="717">
        <v>0.23</v>
      </c>
      <c r="F21" s="718">
        <v>0.3</v>
      </c>
      <c r="G21" s="717">
        <v>0.28999999999999998</v>
      </c>
      <c r="H21" s="717">
        <v>0.35</v>
      </c>
      <c r="I21" s="717">
        <v>0.56999999999999995</v>
      </c>
      <c r="J21" s="1029">
        <f t="shared" ref="J21:J29" si="0">(D21-E21)/E21</f>
        <v>-0.2608695652173913</v>
      </c>
      <c r="K21" s="1028"/>
      <c r="M21" s="534"/>
      <c r="N21" s="534"/>
      <c r="U21" s="534"/>
      <c r="V21" s="534"/>
    </row>
    <row r="22" spans="2:22" ht="16.2">
      <c r="B22" s="705" t="s">
        <v>1040</v>
      </c>
      <c r="C22" s="623" t="s">
        <v>620</v>
      </c>
      <c r="D22" s="1021">
        <v>0.19</v>
      </c>
      <c r="E22" s="717">
        <v>0.27</v>
      </c>
      <c r="F22" s="717">
        <v>0.27</v>
      </c>
      <c r="G22" s="717">
        <v>0.23</v>
      </c>
      <c r="H22" s="717">
        <v>0.27</v>
      </c>
      <c r="I22" s="717">
        <v>0.4</v>
      </c>
      <c r="J22" s="1029">
        <f t="shared" si="0"/>
        <v>-0.29629629629629634</v>
      </c>
      <c r="K22" s="1028"/>
      <c r="M22" s="534"/>
      <c r="N22" s="534"/>
      <c r="U22" s="534"/>
      <c r="V22" s="534"/>
    </row>
    <row r="23" spans="2:22" ht="32.4">
      <c r="B23" s="613" t="s">
        <v>1041</v>
      </c>
      <c r="C23" s="623" t="s">
        <v>620</v>
      </c>
      <c r="D23" s="1021">
        <v>0.36</v>
      </c>
      <c r="E23" s="717">
        <v>0.47</v>
      </c>
      <c r="F23" s="717">
        <v>0.59</v>
      </c>
      <c r="G23" s="717">
        <v>0.55000000000000004</v>
      </c>
      <c r="H23" s="717">
        <v>0.79</v>
      </c>
      <c r="I23" s="717">
        <v>0.97</v>
      </c>
      <c r="J23" s="1029">
        <f>(D23-E23)/E23</f>
        <v>-0.23404255319148934</v>
      </c>
      <c r="K23" s="1029">
        <f>(D23-H23)/(0.25-H23)</f>
        <v>0.79629629629629628</v>
      </c>
      <c r="N23" s="534" t="str">
        <f>B23</f>
        <v>Total Recordable Injury and Illness Rate (TRIIR)
employees + contractors</v>
      </c>
      <c r="O23" s="3">
        <f>I23</f>
        <v>0.97</v>
      </c>
      <c r="P23" s="3">
        <f>H23</f>
        <v>0.79</v>
      </c>
      <c r="Q23" s="3">
        <f>G23</f>
        <v>0.55000000000000004</v>
      </c>
      <c r="R23" s="3">
        <f>F23</f>
        <v>0.59</v>
      </c>
      <c r="S23" s="3">
        <f>E23</f>
        <v>0.47</v>
      </c>
      <c r="T23" s="3">
        <f>D23</f>
        <v>0.36</v>
      </c>
      <c r="U23" s="534"/>
      <c r="V23" s="534"/>
    </row>
    <row r="24" spans="2:22" ht="32.4">
      <c r="B24" s="613" t="s">
        <v>1042</v>
      </c>
      <c r="C24" s="623" t="s">
        <v>894</v>
      </c>
      <c r="D24" s="1021">
        <v>50</v>
      </c>
      <c r="E24" s="717">
        <v>71</v>
      </c>
      <c r="F24" s="717">
        <v>98</v>
      </c>
      <c r="G24" s="717">
        <v>89</v>
      </c>
      <c r="H24" s="717">
        <v>144</v>
      </c>
      <c r="I24" s="717">
        <v>160</v>
      </c>
      <c r="J24" s="1029">
        <f t="shared" si="0"/>
        <v>-0.29577464788732394</v>
      </c>
      <c r="K24" s="1029"/>
      <c r="M24" s="534"/>
      <c r="N24" s="534"/>
      <c r="U24" s="534"/>
      <c r="V24" s="534"/>
    </row>
    <row r="25" spans="2:22" ht="16.2">
      <c r="B25" s="705" t="s">
        <v>1043</v>
      </c>
      <c r="C25" s="623" t="s">
        <v>620</v>
      </c>
      <c r="D25" s="1021">
        <v>0.34</v>
      </c>
      <c r="E25" s="717">
        <v>0.48</v>
      </c>
      <c r="F25" s="717">
        <v>0.61</v>
      </c>
      <c r="G25" s="717">
        <v>0.56999999999999995</v>
      </c>
      <c r="H25" s="717">
        <v>0.79</v>
      </c>
      <c r="I25" s="717">
        <v>1.01</v>
      </c>
      <c r="J25" s="1029">
        <f t="shared" si="0"/>
        <v>-0.29166666666666657</v>
      </c>
      <c r="K25" s="1028"/>
      <c r="M25" s="534"/>
      <c r="N25" s="534"/>
      <c r="U25" s="534"/>
      <c r="V25" s="534"/>
    </row>
    <row r="26" spans="2:22" ht="16.2">
      <c r="B26" s="705" t="s">
        <v>1044</v>
      </c>
      <c r="C26" s="623" t="s">
        <v>620</v>
      </c>
      <c r="D26" s="1021">
        <v>0.48</v>
      </c>
      <c r="E26" s="717">
        <v>0.41</v>
      </c>
      <c r="F26" s="717">
        <v>0.49</v>
      </c>
      <c r="G26" s="717">
        <v>0.45</v>
      </c>
      <c r="H26" s="717">
        <v>0.8</v>
      </c>
      <c r="I26" s="717">
        <v>0.53</v>
      </c>
      <c r="J26" s="1029">
        <f t="shared" si="0"/>
        <v>0.17073170731707318</v>
      </c>
      <c r="K26" s="1028"/>
      <c r="M26" s="534"/>
      <c r="N26" s="534"/>
      <c r="U26" s="534"/>
      <c r="V26" s="534"/>
    </row>
    <row r="27" spans="2:22" ht="16.2">
      <c r="B27" s="613" t="s">
        <v>650</v>
      </c>
      <c r="C27" s="613" t="s">
        <v>622</v>
      </c>
      <c r="D27" s="1022">
        <v>0.877</v>
      </c>
      <c r="E27" s="718">
        <v>1.0149999999999999</v>
      </c>
      <c r="F27" s="718">
        <v>1.3220000000000001</v>
      </c>
      <c r="G27" s="718">
        <v>0.77</v>
      </c>
      <c r="H27" s="718">
        <v>1.1819999999999999</v>
      </c>
      <c r="I27" s="718">
        <v>1.5349999999999999</v>
      </c>
      <c r="J27" s="1029">
        <f t="shared" si="0"/>
        <v>-0.13596059113300485</v>
      </c>
      <c r="K27" s="1029">
        <f>(D27-H27)/(0.4-H27)</f>
        <v>0.39002557544757027</v>
      </c>
      <c r="M27" s="534"/>
      <c r="N27" s="534" t="str">
        <f>B27</f>
        <v>ICCA - Process Safety Event Severity Rate (PSESR)</v>
      </c>
      <c r="O27" s="1065">
        <f>I27</f>
        <v>1.5349999999999999</v>
      </c>
      <c r="P27" s="1065">
        <f>H27</f>
        <v>1.1819999999999999</v>
      </c>
      <c r="Q27" s="1065">
        <f>G27</f>
        <v>0.77</v>
      </c>
      <c r="R27" s="1065">
        <f>F27</f>
        <v>1.3220000000000001</v>
      </c>
      <c r="S27" s="1065">
        <f>E27</f>
        <v>1.0149999999999999</v>
      </c>
      <c r="T27" s="1065">
        <f>D27</f>
        <v>0.877</v>
      </c>
      <c r="U27" s="534"/>
      <c r="V27" s="534"/>
    </row>
    <row r="28" spans="2:22" ht="16.2">
      <c r="B28" s="623" t="s">
        <v>1045</v>
      </c>
      <c r="C28" s="623" t="s">
        <v>1046</v>
      </c>
      <c r="D28" s="1023">
        <v>3</v>
      </c>
      <c r="E28" s="719">
        <f>E29*E30</f>
        <v>8.9727776479999992</v>
      </c>
      <c r="F28" s="719">
        <f>F29*F30</f>
        <v>11.004886842000001</v>
      </c>
      <c r="G28" s="719">
        <f>G29*G30</f>
        <v>5.0102105450000005</v>
      </c>
      <c r="H28" s="719">
        <f>H29*H30</f>
        <v>3.9997423400000001</v>
      </c>
      <c r="I28" s="719">
        <f>I29*I30</f>
        <v>3.0076201609999997</v>
      </c>
      <c r="J28" s="1029">
        <f t="shared" si="0"/>
        <v>-0.66565537254022011</v>
      </c>
      <c r="K28" s="1029"/>
      <c r="M28" s="534"/>
      <c r="N28" s="534"/>
      <c r="U28" s="534"/>
      <c r="V28" s="534"/>
    </row>
    <row r="29" spans="2:22" ht="16.2">
      <c r="B29" s="623" t="s">
        <v>617</v>
      </c>
      <c r="C29" s="602" t="s">
        <v>618</v>
      </c>
      <c r="D29" s="1024">
        <v>0.108</v>
      </c>
      <c r="E29" s="720">
        <v>0.29599999999999999</v>
      </c>
      <c r="F29" s="720">
        <v>0.33400000000000002</v>
      </c>
      <c r="G29" s="720">
        <v>0.155</v>
      </c>
      <c r="H29" s="720">
        <v>0.11</v>
      </c>
      <c r="I29" s="720">
        <v>9.0999999999999998E-2</v>
      </c>
      <c r="J29" s="1029">
        <f t="shared" si="0"/>
        <v>-0.6351351351351352</v>
      </c>
      <c r="K29" s="1027"/>
      <c r="M29" s="534"/>
      <c r="N29" s="534"/>
    </row>
    <row r="30" spans="2:22" ht="16.2">
      <c r="B30" s="622" t="s">
        <v>1047</v>
      </c>
      <c r="C30" s="706" t="s">
        <v>1048</v>
      </c>
      <c r="D30" s="1025">
        <v>27.458358</v>
      </c>
      <c r="E30" s="721">
        <v>30.313438000000001</v>
      </c>
      <c r="F30" s="721">
        <v>32.948763</v>
      </c>
      <c r="G30" s="721">
        <v>32.323939000000003</v>
      </c>
      <c r="H30" s="721">
        <v>36.361294000000001</v>
      </c>
      <c r="I30" s="721">
        <v>33.050770999999997</v>
      </c>
      <c r="J30" s="1029">
        <f t="shared" ref="J30" si="1">(D30-E30)/E30</f>
        <v>-9.4185291684829711E-2</v>
      </c>
      <c r="K30" s="1027"/>
      <c r="M30" s="534"/>
      <c r="N30" s="534"/>
    </row>
    <row r="31" spans="2:22" ht="16.2">
      <c r="B31" s="622" t="s">
        <v>1049</v>
      </c>
      <c r="C31" s="706" t="s">
        <v>894</v>
      </c>
      <c r="D31" s="1026">
        <v>0</v>
      </c>
      <c r="E31" s="722">
        <v>0</v>
      </c>
      <c r="F31" s="722">
        <v>0</v>
      </c>
      <c r="G31" s="722">
        <v>0</v>
      </c>
      <c r="H31" s="722">
        <v>0</v>
      </c>
      <c r="I31" s="722">
        <v>0</v>
      </c>
      <c r="J31" s="1029"/>
      <c r="K31" s="1027"/>
    </row>
    <row r="32" spans="2:22" ht="16.2">
      <c r="B32" s="622" t="s">
        <v>1050</v>
      </c>
      <c r="C32" s="706" t="s">
        <v>894</v>
      </c>
      <c r="D32" s="1026">
        <v>0</v>
      </c>
      <c r="E32" s="722">
        <v>0</v>
      </c>
      <c r="F32" s="722">
        <v>0</v>
      </c>
      <c r="G32" s="722">
        <v>0</v>
      </c>
      <c r="H32" s="722">
        <v>0</v>
      </c>
      <c r="I32" s="722">
        <v>0</v>
      </c>
      <c r="J32" s="1029"/>
      <c r="K32" s="1027"/>
    </row>
    <row r="33" spans="2:11" ht="32.4">
      <c r="B33" s="705" t="s">
        <v>1051</v>
      </c>
      <c r="C33" s="706" t="s">
        <v>894</v>
      </c>
      <c r="D33" s="1026">
        <v>0</v>
      </c>
      <c r="E33" s="722">
        <v>0</v>
      </c>
      <c r="F33" s="722">
        <v>0</v>
      </c>
      <c r="G33" s="722">
        <v>0</v>
      </c>
      <c r="H33" s="722">
        <v>0</v>
      </c>
      <c r="I33" s="723">
        <v>0</v>
      </c>
      <c r="J33" s="1029"/>
      <c r="K33" s="1027"/>
    </row>
    <row r="34" spans="2:11" ht="16.2">
      <c r="B34" s="622" t="s">
        <v>1052</v>
      </c>
      <c r="C34" s="706" t="s">
        <v>894</v>
      </c>
      <c r="D34" s="1026">
        <v>0</v>
      </c>
      <c r="E34" s="722">
        <v>0</v>
      </c>
      <c r="F34" s="722" t="s">
        <v>1021</v>
      </c>
      <c r="G34" s="722" t="s">
        <v>1021</v>
      </c>
      <c r="H34" s="722" t="s">
        <v>1021</v>
      </c>
      <c r="I34" s="722" t="s">
        <v>1021</v>
      </c>
      <c r="J34" s="1029"/>
      <c r="K34" s="1027"/>
    </row>
    <row r="35" spans="2:11">
      <c r="E35" s="521"/>
      <c r="F35" s="521"/>
      <c r="G35" s="521"/>
      <c r="H35" s="521"/>
      <c r="I35" s="521"/>
      <c r="J35" s="521"/>
      <c r="K35" s="521"/>
    </row>
    <row r="37" spans="2:11" ht="16.2">
      <c r="C37" s="734"/>
      <c r="E37" s="734"/>
      <c r="G37" s="734"/>
      <c r="I37" s="734"/>
      <c r="K37" s="734"/>
    </row>
    <row r="43" spans="2:11" ht="16.2">
      <c r="B43" s="1055"/>
    </row>
  </sheetData>
  <sheetProtection algorithmName="SHA-512" hashValue="UJWWp4Zhl+K+qJwuekkGDKK9qNN4ChJC/PTNGFnM+lqzJIfisrKxadTodOGUH5pCtXeMmvbM2+3eUarpreN+og==" saltValue="AgfU4NLAynNWXuuHtR2SVw==" spinCount="100000" sheet="1" objects="1" scenarios="1"/>
  <mergeCells count="11">
    <mergeCell ref="C15:F15"/>
    <mergeCell ref="C16:F16"/>
    <mergeCell ref="C17:F17"/>
    <mergeCell ref="B2:J2"/>
    <mergeCell ref="F5:G5"/>
    <mergeCell ref="L5:M5"/>
    <mergeCell ref="H5:I5"/>
    <mergeCell ref="J5:K5"/>
    <mergeCell ref="B5:B6"/>
    <mergeCell ref="C5:C6"/>
    <mergeCell ref="D5:E5"/>
  </mergeCells>
  <pageMargins left="0.70866141732283472" right="0.70866141732283472" top="0.74803149606299213" bottom="0.74803149606299213" header="0.31496062992125984" footer="0.31496062992125984"/>
  <pageSetup paperSize="9" scale="37"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7"/>
    <pageSetUpPr fitToPage="1"/>
  </sheetPr>
  <dimension ref="A2:V40"/>
  <sheetViews>
    <sheetView zoomScale="80" zoomScaleNormal="80" workbookViewId="0"/>
  </sheetViews>
  <sheetFormatPr defaultColWidth="8.88671875" defaultRowHeight="13.8"/>
  <cols>
    <col min="1" max="1" width="3.5546875" style="2" customWidth="1"/>
    <col min="2" max="2" width="64.44140625" style="2" bestFit="1" customWidth="1"/>
    <col min="3" max="3" width="25.109375" style="2" customWidth="1"/>
    <col min="4" max="4" width="7.88671875" style="2" customWidth="1"/>
    <col min="5" max="5" width="59.5546875" style="2" customWidth="1"/>
    <col min="6" max="6" width="23.33203125" style="2" bestFit="1" customWidth="1"/>
    <col min="7" max="7" width="5.44140625" style="2" customWidth="1"/>
    <col min="8" max="8" width="59.5546875" style="2" bestFit="1" customWidth="1"/>
    <col min="9" max="9" width="23.33203125" style="2" bestFit="1" customWidth="1"/>
    <col min="10" max="10" width="4.88671875" style="2" customWidth="1"/>
    <col min="11" max="11" width="59.5546875" style="2" bestFit="1" customWidth="1"/>
    <col min="12" max="12" width="23.33203125" style="2" bestFit="1" customWidth="1"/>
    <col min="13" max="13" width="5" style="2" customWidth="1"/>
    <col min="14" max="14" width="63.88671875" style="2" bestFit="1" customWidth="1"/>
    <col min="15" max="15" width="23.33203125" style="2" customWidth="1"/>
    <col min="16" max="16384" width="8.88671875" style="2"/>
  </cols>
  <sheetData>
    <row r="2" spans="2:22" ht="48.9" customHeight="1">
      <c r="B2" s="1485" t="s">
        <v>1053</v>
      </c>
      <c r="C2" s="1485"/>
      <c r="D2" s="1444"/>
      <c r="E2" s="1444"/>
      <c r="F2" s="1444"/>
      <c r="G2" s="1444"/>
      <c r="H2" s="8"/>
    </row>
    <row r="4" spans="2:22" ht="54.9" customHeight="1">
      <c r="B4" s="1488" t="s">
        <v>1054</v>
      </c>
      <c r="C4" s="1488"/>
      <c r="D4" s="1488"/>
      <c r="E4" s="1488"/>
      <c r="F4" s="1488"/>
      <c r="G4" s="1488"/>
      <c r="H4" s="1488"/>
      <c r="I4" s="1488"/>
      <c r="J4" s="1488"/>
    </row>
    <row r="6" spans="2:22" ht="22.2">
      <c r="B6" s="1486" t="s">
        <v>1055</v>
      </c>
      <c r="C6" s="1486"/>
      <c r="E6" s="1486" t="s">
        <v>1056</v>
      </c>
      <c r="F6" s="1486"/>
      <c r="G6" s="13"/>
      <c r="H6" s="1486" t="s">
        <v>1057</v>
      </c>
      <c r="I6" s="1486"/>
      <c r="K6" s="1486" t="s">
        <v>1058</v>
      </c>
      <c r="L6" s="1486"/>
      <c r="N6" s="1486" t="s">
        <v>1059</v>
      </c>
      <c r="O6" s="1486"/>
    </row>
    <row r="7" spans="2:22" ht="16.2">
      <c r="B7" s="725" t="s">
        <v>1060</v>
      </c>
      <c r="C7" s="726" t="s">
        <v>1061</v>
      </c>
      <c r="E7" s="725" t="s">
        <v>1060</v>
      </c>
      <c r="F7" s="726" t="s">
        <v>1061</v>
      </c>
      <c r="H7" s="725" t="s">
        <v>1062</v>
      </c>
      <c r="I7" s="726" t="s">
        <v>1061</v>
      </c>
      <c r="K7" s="725" t="s">
        <v>1062</v>
      </c>
      <c r="L7" s="726" t="s">
        <v>1061</v>
      </c>
      <c r="N7" s="725" t="s">
        <v>1062</v>
      </c>
      <c r="O7" s="726" t="s">
        <v>1061</v>
      </c>
    </row>
    <row r="8" spans="2:22" ht="16.2">
      <c r="B8" s="727" t="s">
        <v>1063</v>
      </c>
      <c r="C8" s="1033">
        <v>2</v>
      </c>
      <c r="E8" s="727" t="s">
        <v>1063</v>
      </c>
      <c r="F8" s="1030">
        <v>14</v>
      </c>
      <c r="H8" s="729" t="s">
        <v>1063</v>
      </c>
      <c r="I8" s="728">
        <v>12</v>
      </c>
      <c r="K8" s="729" t="s">
        <v>1063</v>
      </c>
      <c r="L8" s="728">
        <v>18</v>
      </c>
      <c r="N8" s="729" t="s">
        <v>1063</v>
      </c>
      <c r="O8" s="728">
        <v>13</v>
      </c>
    </row>
    <row r="9" spans="2:22" ht="16.2">
      <c r="B9" s="727" t="s">
        <v>1064</v>
      </c>
      <c r="C9" s="1033">
        <v>10</v>
      </c>
      <c r="E9" s="727" t="s">
        <v>1064</v>
      </c>
      <c r="F9" s="1030">
        <v>6</v>
      </c>
      <c r="H9" s="729" t="s">
        <v>1065</v>
      </c>
      <c r="I9" s="728">
        <v>0</v>
      </c>
      <c r="K9" s="729" t="s">
        <v>1065</v>
      </c>
      <c r="L9" s="728">
        <v>4</v>
      </c>
      <c r="N9" s="729" t="s">
        <v>1065</v>
      </c>
      <c r="O9" s="728">
        <v>2</v>
      </c>
    </row>
    <row r="10" spans="2:22" ht="21.75" customHeight="1">
      <c r="B10" s="727" t="s">
        <v>1066</v>
      </c>
      <c r="C10" s="1033">
        <v>44</v>
      </c>
      <c r="E10" s="727" t="s">
        <v>1066</v>
      </c>
      <c r="F10" s="1030">
        <v>47</v>
      </c>
      <c r="H10" s="729" t="s">
        <v>1067</v>
      </c>
      <c r="I10" s="728">
        <v>0</v>
      </c>
      <c r="K10" s="729" t="s">
        <v>1067</v>
      </c>
      <c r="L10" s="728">
        <v>1</v>
      </c>
      <c r="N10" s="729" t="s">
        <v>1068</v>
      </c>
      <c r="O10" s="728">
        <v>1</v>
      </c>
      <c r="Q10" s="1116"/>
      <c r="R10" s="1116"/>
      <c r="S10" s="1116"/>
      <c r="T10" s="1116"/>
      <c r="U10" s="1116"/>
      <c r="V10" s="1116"/>
    </row>
    <row r="11" spans="2:22" ht="16.2">
      <c r="B11" s="727" t="s">
        <v>1069</v>
      </c>
      <c r="C11" s="1033">
        <v>51</v>
      </c>
      <c r="E11" s="727" t="s">
        <v>1069</v>
      </c>
      <c r="F11" s="1030">
        <v>56</v>
      </c>
      <c r="H11" s="729" t="s">
        <v>1070</v>
      </c>
      <c r="I11" s="728">
        <v>0</v>
      </c>
      <c r="K11" s="729" t="s">
        <v>1070</v>
      </c>
      <c r="L11" s="728">
        <v>1</v>
      </c>
      <c r="N11" s="729" t="s">
        <v>1070</v>
      </c>
      <c r="O11" s="728">
        <v>1</v>
      </c>
      <c r="Q11" s="1116"/>
      <c r="R11" s="1116"/>
      <c r="S11" s="1116"/>
      <c r="T11" s="1116"/>
      <c r="U11" s="1116"/>
      <c r="V11" s="1116"/>
    </row>
    <row r="12" spans="2:22" ht="16.2">
      <c r="B12" s="727" t="s">
        <v>1071</v>
      </c>
      <c r="C12" s="1033">
        <v>1</v>
      </c>
      <c r="E12" s="727" t="s">
        <v>1071</v>
      </c>
      <c r="F12" s="1030">
        <v>5</v>
      </c>
      <c r="H12" s="729" t="s">
        <v>1064</v>
      </c>
      <c r="I12" s="728">
        <v>10</v>
      </c>
      <c r="K12" s="729" t="s">
        <v>1064</v>
      </c>
      <c r="L12" s="728">
        <v>15</v>
      </c>
      <c r="N12" s="729" t="s">
        <v>1064</v>
      </c>
      <c r="O12" s="728">
        <v>11</v>
      </c>
      <c r="Q12" s="1116"/>
      <c r="R12" s="1116" t="s">
        <v>545</v>
      </c>
      <c r="S12" s="1116" t="s">
        <v>546</v>
      </c>
      <c r="T12" s="1116" t="s">
        <v>547</v>
      </c>
      <c r="U12" s="1116" t="s">
        <v>548</v>
      </c>
      <c r="V12" s="1116" t="s">
        <v>549</v>
      </c>
    </row>
    <row r="13" spans="2:22" ht="32.4">
      <c r="B13" s="727" t="s">
        <v>1072</v>
      </c>
      <c r="C13" s="1033">
        <v>14</v>
      </c>
      <c r="E13" s="727" t="s">
        <v>1072</v>
      </c>
      <c r="F13" s="1030">
        <v>11</v>
      </c>
      <c r="H13" s="729" t="s">
        <v>1066</v>
      </c>
      <c r="I13" s="728">
        <v>51</v>
      </c>
      <c r="K13" s="729" t="s">
        <v>1066</v>
      </c>
      <c r="L13" s="728">
        <v>44</v>
      </c>
      <c r="N13" s="729" t="s">
        <v>1073</v>
      </c>
      <c r="O13" s="728">
        <v>58</v>
      </c>
      <c r="Q13" s="1116"/>
      <c r="R13" s="1116">
        <f>C21</f>
        <v>138</v>
      </c>
      <c r="S13" s="1116">
        <f>F21</f>
        <v>153</v>
      </c>
      <c r="T13" s="1116">
        <f>I26</f>
        <v>158</v>
      </c>
      <c r="U13" s="1116">
        <f>L24</f>
        <v>129</v>
      </c>
      <c r="V13" s="1116">
        <f>O24</f>
        <v>123</v>
      </c>
    </row>
    <row r="14" spans="2:22" ht="16.2">
      <c r="B14" s="727" t="s">
        <v>1074</v>
      </c>
      <c r="C14" s="1033">
        <v>2</v>
      </c>
      <c r="E14" s="727" t="s">
        <v>1074</v>
      </c>
      <c r="F14" s="1030">
        <v>2</v>
      </c>
      <c r="H14" s="729" t="s">
        <v>1069</v>
      </c>
      <c r="I14" s="728">
        <v>56</v>
      </c>
      <c r="K14" s="729" t="s">
        <v>1069</v>
      </c>
      <c r="L14" s="728">
        <v>18</v>
      </c>
      <c r="N14" s="729" t="s">
        <v>1069</v>
      </c>
      <c r="O14" s="728">
        <v>7</v>
      </c>
    </row>
    <row r="15" spans="2:22" ht="32.4">
      <c r="B15" s="727" t="s">
        <v>1075</v>
      </c>
      <c r="C15" s="1033">
        <v>0</v>
      </c>
      <c r="E15" s="727" t="s">
        <v>1075</v>
      </c>
      <c r="F15" s="1030">
        <v>1</v>
      </c>
      <c r="H15" s="729" t="s">
        <v>1071</v>
      </c>
      <c r="I15" s="728">
        <v>7</v>
      </c>
      <c r="K15" s="729" t="s">
        <v>1071</v>
      </c>
      <c r="L15" s="728">
        <v>3</v>
      </c>
      <c r="N15" s="729" t="s">
        <v>1076</v>
      </c>
      <c r="O15" s="728">
        <v>6</v>
      </c>
    </row>
    <row r="16" spans="2:22" ht="32.4">
      <c r="B16" s="727" t="s">
        <v>1077</v>
      </c>
      <c r="C16" s="1033">
        <v>3</v>
      </c>
      <c r="E16" s="727" t="s">
        <v>1077</v>
      </c>
      <c r="F16" s="1030">
        <v>4</v>
      </c>
      <c r="H16" s="729" t="s">
        <v>1072</v>
      </c>
      <c r="I16" s="728">
        <v>17</v>
      </c>
      <c r="K16" s="729" t="s">
        <v>1072</v>
      </c>
      <c r="L16" s="728">
        <v>12</v>
      </c>
      <c r="N16" s="729" t="s">
        <v>1072</v>
      </c>
      <c r="O16" s="728">
        <v>7</v>
      </c>
    </row>
    <row r="17" spans="1:15" ht="16.2">
      <c r="B17" s="727" t="s">
        <v>1078</v>
      </c>
      <c r="C17" s="1033">
        <v>3</v>
      </c>
      <c r="E17" s="727" t="s">
        <v>1078</v>
      </c>
      <c r="F17" s="1030">
        <v>6</v>
      </c>
      <c r="H17" s="729" t="s">
        <v>1079</v>
      </c>
      <c r="I17" s="728">
        <v>0</v>
      </c>
      <c r="K17" s="729" t="s">
        <v>1079</v>
      </c>
      <c r="L17" s="728">
        <v>1</v>
      </c>
      <c r="N17" s="729" t="s">
        <v>1080</v>
      </c>
      <c r="O17" s="728">
        <v>5</v>
      </c>
    </row>
    <row r="18" spans="1:15" ht="16.2">
      <c r="B18" s="729" t="s">
        <v>1081</v>
      </c>
      <c r="C18" s="1033">
        <v>1</v>
      </c>
      <c r="E18" s="729" t="s">
        <v>1081</v>
      </c>
      <c r="F18" s="1030">
        <v>1</v>
      </c>
      <c r="H18" s="729" t="s">
        <v>1082</v>
      </c>
      <c r="I18" s="728">
        <v>2</v>
      </c>
      <c r="K18" s="729" t="s">
        <v>1082</v>
      </c>
      <c r="L18" s="728">
        <v>5</v>
      </c>
      <c r="N18" s="729" t="s">
        <v>1082</v>
      </c>
      <c r="O18" s="728">
        <v>8</v>
      </c>
    </row>
    <row r="19" spans="1:15" ht="32.4">
      <c r="B19" s="729" t="s">
        <v>1083</v>
      </c>
      <c r="C19" s="1033">
        <v>5</v>
      </c>
      <c r="E19" s="729"/>
      <c r="F19" s="1030"/>
      <c r="H19" s="729"/>
      <c r="I19" s="728"/>
      <c r="K19" s="729"/>
      <c r="L19" s="728"/>
      <c r="N19" s="729"/>
      <c r="O19" s="728"/>
    </row>
    <row r="20" spans="1:15" ht="16.2">
      <c r="B20" s="729" t="s">
        <v>1084</v>
      </c>
      <c r="C20" s="1033">
        <v>2</v>
      </c>
      <c r="E20" s="729"/>
      <c r="F20" s="1030"/>
      <c r="H20" s="729"/>
      <c r="I20" s="728"/>
      <c r="K20" s="729"/>
      <c r="L20" s="728"/>
      <c r="N20" s="729"/>
      <c r="O20" s="728"/>
    </row>
    <row r="21" spans="1:15" ht="16.2">
      <c r="B21" s="730" t="s">
        <v>709</v>
      </c>
      <c r="C21" s="1034">
        <f>SUM(C8:C20)</f>
        <v>138</v>
      </c>
      <c r="E21" s="730" t="s">
        <v>709</v>
      </c>
      <c r="F21" s="1031">
        <f>SUM(F8:F18)</f>
        <v>153</v>
      </c>
      <c r="H21" s="729" t="s">
        <v>1085</v>
      </c>
      <c r="I21" s="728">
        <v>1</v>
      </c>
      <c r="K21" s="729" t="s">
        <v>1085</v>
      </c>
      <c r="L21" s="728">
        <v>1</v>
      </c>
      <c r="N21" s="729" t="s">
        <v>1086</v>
      </c>
      <c r="O21" s="728">
        <v>1</v>
      </c>
    </row>
    <row r="22" spans="1:15" ht="37.5" customHeight="1">
      <c r="B22" s="1489"/>
      <c r="C22" s="1489"/>
      <c r="E22" s="1489" t="s">
        <v>1087</v>
      </c>
      <c r="F22" s="1489"/>
      <c r="H22" s="729" t="s">
        <v>1088</v>
      </c>
      <c r="I22" s="728">
        <v>0</v>
      </c>
      <c r="K22" s="729" t="s">
        <v>1088</v>
      </c>
      <c r="L22" s="728">
        <v>1</v>
      </c>
      <c r="N22" s="729" t="s">
        <v>1081</v>
      </c>
      <c r="O22" s="728">
        <v>1</v>
      </c>
    </row>
    <row r="23" spans="1:15" ht="16.2">
      <c r="H23" s="729" t="s">
        <v>1089</v>
      </c>
      <c r="I23" s="728">
        <v>0</v>
      </c>
      <c r="K23" s="729" t="s">
        <v>1089</v>
      </c>
      <c r="L23" s="728">
        <v>5</v>
      </c>
      <c r="N23" s="729" t="s">
        <v>1089</v>
      </c>
      <c r="O23" s="728">
        <v>2</v>
      </c>
    </row>
    <row r="24" spans="1:15" ht="16.2">
      <c r="H24" s="729" t="s">
        <v>1068</v>
      </c>
      <c r="I24" s="728">
        <v>1</v>
      </c>
      <c r="K24" s="730" t="s">
        <v>709</v>
      </c>
      <c r="L24" s="731">
        <f>SUM(L8:L23)</f>
        <v>129</v>
      </c>
      <c r="N24" s="730" t="s">
        <v>709</v>
      </c>
      <c r="O24" s="731">
        <f>SUM(O8:O23)</f>
        <v>123</v>
      </c>
    </row>
    <row r="25" spans="1:15" ht="16.2">
      <c r="H25" s="729" t="s">
        <v>1086</v>
      </c>
      <c r="I25" s="728">
        <v>1</v>
      </c>
    </row>
    <row r="26" spans="1:15" ht="16.2">
      <c r="H26" s="730" t="s">
        <v>709</v>
      </c>
      <c r="I26" s="731">
        <f>SUM(I8:I25)</f>
        <v>158</v>
      </c>
    </row>
    <row r="29" spans="1:15" ht="16.2">
      <c r="B29" s="1490" t="s">
        <v>1090</v>
      </c>
      <c r="C29" s="1491"/>
      <c r="E29" s="1487" t="s">
        <v>1091</v>
      </c>
      <c r="F29" s="1487"/>
      <c r="G29" s="72"/>
      <c r="I29" s="72"/>
      <c r="J29" s="72"/>
    </row>
    <row r="30" spans="1:15" ht="48.6">
      <c r="A30" s="12"/>
      <c r="B30" s="1057" t="s">
        <v>1092</v>
      </c>
      <c r="C30" s="1058" t="s">
        <v>1061</v>
      </c>
      <c r="E30" s="725" t="s">
        <v>1092</v>
      </c>
      <c r="F30" s="726" t="s">
        <v>1061</v>
      </c>
    </row>
    <row r="31" spans="1:15" ht="16.2">
      <c r="B31" s="1059" t="s">
        <v>1093</v>
      </c>
      <c r="C31" s="1060">
        <v>14</v>
      </c>
      <c r="E31" s="727" t="s">
        <v>1093</v>
      </c>
      <c r="F31" s="1032">
        <v>4</v>
      </c>
    </row>
    <row r="32" spans="1:15" ht="16.2">
      <c r="B32" s="1061" t="s">
        <v>1094</v>
      </c>
      <c r="C32" s="1062">
        <v>7</v>
      </c>
      <c r="E32" s="727" t="s">
        <v>1094</v>
      </c>
      <c r="F32" s="1032">
        <v>3</v>
      </c>
    </row>
    <row r="33" spans="2:6" ht="16.2">
      <c r="B33" s="1061" t="s">
        <v>1095</v>
      </c>
      <c r="C33" s="1062">
        <v>39</v>
      </c>
      <c r="E33" s="727" t="s">
        <v>1096</v>
      </c>
      <c r="F33" s="1032">
        <v>21</v>
      </c>
    </row>
    <row r="34" spans="2:6" ht="16.2">
      <c r="B34" s="1061" t="s">
        <v>1097</v>
      </c>
      <c r="C34" s="1062">
        <v>46</v>
      </c>
      <c r="E34" s="727" t="s">
        <v>1098</v>
      </c>
      <c r="F34" s="1032">
        <v>34</v>
      </c>
    </row>
    <row r="35" spans="2:6" ht="16.2">
      <c r="B35" s="1061" t="s">
        <v>1099</v>
      </c>
      <c r="C35" s="1062">
        <v>11</v>
      </c>
      <c r="D35" s="12"/>
      <c r="E35" s="727" t="s">
        <v>1099</v>
      </c>
      <c r="F35" s="1032">
        <v>28</v>
      </c>
    </row>
    <row r="36" spans="2:6" ht="16.2">
      <c r="B36" s="1061" t="s">
        <v>1100</v>
      </c>
      <c r="C36" s="1062">
        <v>4</v>
      </c>
      <c r="E36" s="727" t="s">
        <v>1101</v>
      </c>
      <c r="F36" s="1032">
        <v>16</v>
      </c>
    </row>
    <row r="37" spans="2:6" ht="16.2">
      <c r="B37" s="1061" t="s">
        <v>1102</v>
      </c>
      <c r="C37" s="1062">
        <v>8</v>
      </c>
      <c r="E37" s="727" t="s">
        <v>1103</v>
      </c>
      <c r="F37" s="1032">
        <v>21</v>
      </c>
    </row>
    <row r="38" spans="2:6" ht="16.2">
      <c r="B38" s="1061" t="s">
        <v>1104</v>
      </c>
      <c r="C38" s="1062">
        <v>8</v>
      </c>
      <c r="E38" s="727" t="s">
        <v>1105</v>
      </c>
      <c r="F38" s="1032">
        <v>6</v>
      </c>
    </row>
    <row r="39" spans="2:6" ht="16.2">
      <c r="B39" s="1061" t="s">
        <v>1077</v>
      </c>
      <c r="C39" s="1062">
        <v>5</v>
      </c>
    </row>
    <row r="40" spans="2:6" ht="16.2">
      <c r="B40" s="1061" t="s">
        <v>1106</v>
      </c>
      <c r="C40" s="1062">
        <v>65</v>
      </c>
    </row>
  </sheetData>
  <sheetProtection algorithmName="SHA-512" hashValue="tIUZ5r+rkJJTjVIuEAfgyb6C211/PqOThFoaOxuR5sphmMCRYKfTx1FETkSr2R1cTw08//jz3FCuOu4wn9sgpQ==" saltValue="ZUct43Pcj3qkTmlWV3yP3w==" spinCount="100000" sheet="1" objects="1" scenarios="1"/>
  <mergeCells count="11">
    <mergeCell ref="N6:O6"/>
    <mergeCell ref="E6:F6"/>
    <mergeCell ref="E29:F29"/>
    <mergeCell ref="H6:I6"/>
    <mergeCell ref="B2:G2"/>
    <mergeCell ref="B4:J4"/>
    <mergeCell ref="K6:L6"/>
    <mergeCell ref="E22:F22"/>
    <mergeCell ref="B6:C6"/>
    <mergeCell ref="B22:C22"/>
    <mergeCell ref="B29:C29"/>
  </mergeCells>
  <phoneticPr fontId="3" type="noConversion"/>
  <pageMargins left="0.70866141732283472" right="0.70866141732283472" top="0.74803149606299213" bottom="0.74803149606299213" header="0.31496062992125984" footer="0.31496062992125984"/>
  <pageSetup paperSize="9" scale="3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7"/>
    <pageSetUpPr fitToPage="1"/>
  </sheetPr>
  <dimension ref="B2:J25"/>
  <sheetViews>
    <sheetView zoomScale="80" zoomScaleNormal="80" workbookViewId="0"/>
  </sheetViews>
  <sheetFormatPr defaultColWidth="8.88671875" defaultRowHeight="13.8"/>
  <cols>
    <col min="1" max="1" width="2.5546875" style="2" customWidth="1"/>
    <col min="2" max="2" width="40.88671875" style="2" customWidth="1"/>
    <col min="3" max="3" width="38.5546875" style="2" customWidth="1"/>
    <col min="4" max="4" width="26.88671875" style="2" customWidth="1"/>
    <col min="5" max="5" width="13" style="2" customWidth="1"/>
    <col min="6" max="7" width="13.109375" style="2" customWidth="1"/>
    <col min="8" max="8" width="12.44140625" style="2" customWidth="1"/>
    <col min="9" max="9" width="11.88671875" style="2" customWidth="1"/>
    <col min="10" max="10" width="24.109375" style="2" customWidth="1"/>
    <col min="11" max="16384" width="8.88671875" style="2"/>
  </cols>
  <sheetData>
    <row r="2" spans="2:10" ht="50.1" customHeight="1">
      <c r="B2" s="1492" t="s">
        <v>1107</v>
      </c>
      <c r="C2" s="1493"/>
      <c r="D2" s="1493"/>
      <c r="E2" s="1493"/>
      <c r="F2" s="1493"/>
      <c r="G2" s="1493"/>
      <c r="H2" s="1493"/>
    </row>
    <row r="3" spans="2:10" ht="22.2">
      <c r="B3" s="71"/>
    </row>
    <row r="4" spans="2:10">
      <c r="B4" s="1494" t="s">
        <v>1108</v>
      </c>
      <c r="C4" s="1494"/>
      <c r="D4" s="1494"/>
      <c r="E4" s="1494"/>
      <c r="F4" s="1494"/>
      <c r="G4" s="1494"/>
      <c r="H4" s="1494"/>
      <c r="I4" s="1494"/>
      <c r="J4" s="656"/>
    </row>
    <row r="5" spans="2:10">
      <c r="B5" s="632"/>
      <c r="C5" s="632"/>
      <c r="D5" s="632"/>
      <c r="E5" s="632"/>
      <c r="F5" s="632"/>
      <c r="G5" s="632"/>
      <c r="H5" s="632"/>
      <c r="I5" s="632"/>
      <c r="J5" s="632"/>
    </row>
    <row r="6" spans="2:10" s="64" customFormat="1" ht="25.2">
      <c r="B6" s="949" t="s">
        <v>1109</v>
      </c>
      <c r="C6" s="950" t="s">
        <v>1110</v>
      </c>
      <c r="D6" s="949" t="s">
        <v>1111</v>
      </c>
      <c r="E6" s="914" t="s">
        <v>545</v>
      </c>
      <c r="F6" s="938" t="s">
        <v>546</v>
      </c>
      <c r="G6" s="938" t="s">
        <v>547</v>
      </c>
      <c r="H6" s="938" t="s">
        <v>548</v>
      </c>
      <c r="I6" s="938" t="s">
        <v>549</v>
      </c>
      <c r="J6" s="945" t="s">
        <v>847</v>
      </c>
    </row>
    <row r="7" spans="2:10" ht="16.2">
      <c r="B7" s="852" t="s">
        <v>1112</v>
      </c>
      <c r="C7" s="848" t="s">
        <v>1113</v>
      </c>
      <c r="D7" s="845" t="s">
        <v>1114</v>
      </c>
      <c r="E7" s="1040">
        <v>440</v>
      </c>
      <c r="F7" s="765">
        <v>594</v>
      </c>
      <c r="G7" s="1035">
        <v>168</v>
      </c>
      <c r="H7" s="1036">
        <v>1374</v>
      </c>
      <c r="I7" s="851">
        <v>940</v>
      </c>
      <c r="J7" s="1043">
        <f>(E7-F7)/F7</f>
        <v>-0.25925925925925924</v>
      </c>
    </row>
    <row r="8" spans="2:10" ht="16.2">
      <c r="B8" s="852" t="s">
        <v>1115</v>
      </c>
      <c r="C8" s="848" t="s">
        <v>1116</v>
      </c>
      <c r="D8" s="845" t="s">
        <v>1114</v>
      </c>
      <c r="E8" s="1041">
        <v>573</v>
      </c>
      <c r="F8" s="1037">
        <v>479</v>
      </c>
      <c r="G8" s="724">
        <v>283</v>
      </c>
      <c r="H8" s="724">
        <v>98</v>
      </c>
      <c r="I8" s="724">
        <v>573</v>
      </c>
      <c r="J8" s="1043">
        <f>(E8-F8)/F8</f>
        <v>0.19624217118997914</v>
      </c>
    </row>
    <row r="9" spans="2:10" ht="16.2">
      <c r="B9" s="732" t="s">
        <v>709</v>
      </c>
      <c r="C9" s="849"/>
      <c r="D9" s="846" t="s">
        <v>1114</v>
      </c>
      <c r="E9" s="1042">
        <v>1013</v>
      </c>
      <c r="F9" s="855">
        <f>SUM(F7:F8)</f>
        <v>1073</v>
      </c>
      <c r="G9" s="855">
        <f>SUM(G7:G8)</f>
        <v>451</v>
      </c>
      <c r="H9" s="855">
        <f>SUM(H7:H8)</f>
        <v>1472</v>
      </c>
      <c r="I9" s="855">
        <f>SUM(I7:I8)</f>
        <v>1513</v>
      </c>
      <c r="J9" s="1044">
        <f>(E9-F9)/F9</f>
        <v>-5.591798695246971E-2</v>
      </c>
    </row>
    <row r="10" spans="2:10" ht="16.2">
      <c r="B10" s="733"/>
      <c r="C10" s="850"/>
      <c r="D10" s="847"/>
      <c r="E10" s="854"/>
      <c r="F10" s="1038"/>
      <c r="G10" s="1038"/>
      <c r="H10" s="1038"/>
      <c r="I10" s="856"/>
      <c r="J10" s="734"/>
    </row>
    <row r="11" spans="2:10" ht="16.2">
      <c r="B11" s="853" t="s">
        <v>1117</v>
      </c>
      <c r="C11" s="1495" t="s">
        <v>1118</v>
      </c>
      <c r="D11" s="1498" t="s">
        <v>1119</v>
      </c>
      <c r="E11" s="1042">
        <v>2245.5</v>
      </c>
      <c r="F11" s="1039">
        <v>2063</v>
      </c>
      <c r="G11" s="1039">
        <v>1322</v>
      </c>
      <c r="H11" s="724">
        <v>431</v>
      </c>
      <c r="I11" s="857">
        <v>2682</v>
      </c>
      <c r="J11" s="1045">
        <f>(E11-F11)/F11</f>
        <v>8.8463402811439648E-2</v>
      </c>
    </row>
    <row r="12" spans="2:10" ht="16.2">
      <c r="B12" s="596" t="s">
        <v>910</v>
      </c>
      <c r="C12" s="1496"/>
      <c r="D12" s="1499"/>
      <c r="E12" s="1220">
        <v>503</v>
      </c>
      <c r="H12" s="103"/>
    </row>
    <row r="13" spans="2:10" ht="16.2">
      <c r="B13" s="596" t="s">
        <v>911</v>
      </c>
      <c r="C13" s="1496"/>
      <c r="D13" s="1499"/>
      <c r="E13" s="1220">
        <v>197</v>
      </c>
      <c r="H13" s="331"/>
    </row>
    <row r="14" spans="2:10" ht="16.2">
      <c r="B14" s="596" t="s">
        <v>912</v>
      </c>
      <c r="C14" s="1496"/>
      <c r="D14" s="1499"/>
      <c r="E14" s="1220">
        <v>419</v>
      </c>
    </row>
    <row r="15" spans="2:10" ht="16.2">
      <c r="B15" s="596" t="s">
        <v>913</v>
      </c>
      <c r="C15" s="1496"/>
      <c r="D15" s="1499"/>
      <c r="E15" s="1220">
        <v>639.5</v>
      </c>
    </row>
    <row r="16" spans="2:10" ht="16.2">
      <c r="B16" s="596" t="s">
        <v>914</v>
      </c>
      <c r="C16" s="1497"/>
      <c r="D16" s="1500"/>
      <c r="E16" s="1220">
        <v>487</v>
      </c>
    </row>
    <row r="21" spans="3:8">
      <c r="F21" s="331"/>
      <c r="G21" s="331"/>
    </row>
    <row r="22" spans="3:8">
      <c r="F22" s="331"/>
      <c r="G22" s="331"/>
      <c r="H22" s="332"/>
    </row>
    <row r="25" spans="3:8">
      <c r="C25" s="78"/>
      <c r="D25" s="78"/>
      <c r="E25" s="78"/>
    </row>
  </sheetData>
  <sheetProtection algorithmName="SHA-512" hashValue="t85+O+dfK+oIggyrsvaJD+noBhtGuAWxXmjuZH1c8GF5hoA95g2bvj2PnsQZhQwjZ1bMyKGSVdJV6LV2itjVzg==" saltValue="Q99lW7gnrThnc4tAIgmrww==" spinCount="100000" sheet="1" objects="1" scenarios="1"/>
  <mergeCells count="4">
    <mergeCell ref="B2:H2"/>
    <mergeCell ref="B4:I4"/>
    <mergeCell ref="C11:C16"/>
    <mergeCell ref="D11:D16"/>
  </mergeCells>
  <phoneticPr fontId="3" type="noConversion"/>
  <pageMargins left="0.70866141732283472" right="0.70866141732283472" top="0.74803149606299213" bottom="0.74803149606299213" header="0.31496062992125984" footer="0.31496062992125984"/>
  <pageSetup paperSize="9" scale="77" orientation="landscape" r:id="rId1"/>
  <rowBreaks count="1" manualBreakCount="1">
    <brk id="22" max="16383" man="1"/>
  </rowBreaks>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tabColor theme="7"/>
    <pageSetUpPr fitToPage="1"/>
  </sheetPr>
  <dimension ref="B2:N23"/>
  <sheetViews>
    <sheetView zoomScale="80" zoomScaleNormal="80" workbookViewId="0"/>
  </sheetViews>
  <sheetFormatPr defaultColWidth="8.88671875" defaultRowHeight="13.8"/>
  <cols>
    <col min="1" max="1" width="2.44140625" style="2" customWidth="1"/>
    <col min="2" max="2" width="57.6640625" style="2" customWidth="1"/>
    <col min="3" max="3" width="16.88671875" style="2" customWidth="1"/>
    <col min="4" max="4" width="17" style="2" customWidth="1"/>
    <col min="5" max="5" width="17.5546875" style="2" customWidth="1"/>
    <col min="6" max="16384" width="8.88671875" style="2"/>
  </cols>
  <sheetData>
    <row r="2" spans="2:14" ht="72" customHeight="1">
      <c r="B2" s="1485" t="s">
        <v>1120</v>
      </c>
      <c r="C2" s="1444"/>
      <c r="D2" s="1444"/>
      <c r="E2" s="1444"/>
      <c r="F2" s="1444"/>
      <c r="G2" s="1444"/>
      <c r="H2" s="1444"/>
      <c r="I2" s="1444"/>
      <c r="J2" s="1444"/>
    </row>
    <row r="3" spans="2:14" ht="12.9" customHeight="1"/>
    <row r="4" spans="2:14" ht="84.9" customHeight="1">
      <c r="B4" s="1501" t="s">
        <v>1121</v>
      </c>
      <c r="C4" s="1501"/>
      <c r="D4" s="1501"/>
      <c r="E4" s="1501"/>
      <c r="F4" s="1501"/>
      <c r="G4" s="1501"/>
      <c r="H4" s="1501"/>
      <c r="I4" s="1501"/>
      <c r="J4" s="1501"/>
      <c r="K4" s="1501"/>
      <c r="L4" s="1501"/>
      <c r="M4" s="1501"/>
      <c r="N4" s="1501"/>
    </row>
    <row r="5" spans="2:14" ht="14.4">
      <c r="B5" s="1154" t="s">
        <v>1122</v>
      </c>
      <c r="C5" s="12"/>
      <c r="D5" s="12"/>
      <c r="E5" s="12"/>
      <c r="F5" s="12"/>
      <c r="G5" s="12"/>
      <c r="H5" s="12"/>
      <c r="I5" s="12"/>
      <c r="J5" s="12"/>
    </row>
    <row r="6" spans="2:14">
      <c r="B6" s="12"/>
      <c r="C6" s="12"/>
      <c r="D6" s="12"/>
      <c r="E6" s="12"/>
      <c r="F6" s="12"/>
      <c r="G6" s="12"/>
      <c r="H6" s="12"/>
      <c r="I6" s="12"/>
      <c r="J6" s="12"/>
    </row>
    <row r="9" spans="2:14" ht="66.599999999999994" customHeight="1">
      <c r="B9" s="949" t="s">
        <v>1123</v>
      </c>
      <c r="C9" s="989" t="s">
        <v>1124</v>
      </c>
      <c r="D9" s="989" t="s">
        <v>1125</v>
      </c>
      <c r="E9" s="989" t="s">
        <v>1126</v>
      </c>
    </row>
    <row r="10" spans="2:14" ht="16.2">
      <c r="B10" s="704" t="s">
        <v>1127</v>
      </c>
      <c r="C10" s="1064">
        <v>0.39</v>
      </c>
      <c r="D10" s="1046">
        <v>0.38</v>
      </c>
      <c r="E10" s="1046">
        <v>0.25</v>
      </c>
    </row>
    <row r="11" spans="2:14" ht="48.6">
      <c r="B11" s="735" t="s">
        <v>1128</v>
      </c>
      <c r="C11" s="1064">
        <v>0.02</v>
      </c>
      <c r="D11" s="1047">
        <v>0.03</v>
      </c>
      <c r="E11" s="1047">
        <v>1.4999999999999999E-2</v>
      </c>
    </row>
    <row r="12" spans="2:14" ht="32.4">
      <c r="B12" s="735" t="s">
        <v>1129</v>
      </c>
      <c r="C12" s="1064">
        <v>0.02</v>
      </c>
      <c r="D12" s="1047">
        <v>7.0000000000000007E-2</v>
      </c>
      <c r="E12" s="1047">
        <v>2E-3</v>
      </c>
    </row>
    <row r="13" spans="2:14" ht="48.6">
      <c r="B13" s="735" t="s">
        <v>1130</v>
      </c>
      <c r="C13" s="1064">
        <v>0.56999999999999995</v>
      </c>
      <c r="D13" s="1046">
        <v>0.52</v>
      </c>
      <c r="E13" s="1046">
        <v>0.73</v>
      </c>
    </row>
    <row r="14" spans="2:14" ht="16.2">
      <c r="B14" s="734"/>
      <c r="C14" s="1048"/>
      <c r="D14" s="1048"/>
      <c r="E14" s="1048"/>
    </row>
    <row r="15" spans="2:14" ht="69">
      <c r="B15" s="950" t="s">
        <v>1131</v>
      </c>
      <c r="C15" s="989" t="s">
        <v>1132</v>
      </c>
      <c r="D15" s="989" t="s">
        <v>1133</v>
      </c>
      <c r="E15" s="989" t="s">
        <v>1134</v>
      </c>
    </row>
    <row r="16" spans="2:14" ht="16.2">
      <c r="B16" s="704" t="s">
        <v>1135</v>
      </c>
      <c r="C16" s="1063">
        <v>8</v>
      </c>
      <c r="D16" s="1049">
        <v>14</v>
      </c>
      <c r="E16" s="1049">
        <v>6</v>
      </c>
    </row>
    <row r="17" spans="2:5" ht="16.2">
      <c r="B17" s="735" t="s">
        <v>1136</v>
      </c>
      <c r="C17" s="1063">
        <v>5</v>
      </c>
      <c r="D17" s="1049">
        <v>14</v>
      </c>
      <c r="E17" s="1049">
        <v>6</v>
      </c>
    </row>
    <row r="18" spans="2:5" ht="16.2">
      <c r="B18" s="735" t="s">
        <v>1137</v>
      </c>
      <c r="C18" s="1063">
        <v>12</v>
      </c>
      <c r="D18" s="1049">
        <v>13</v>
      </c>
      <c r="E18" s="1049">
        <v>11</v>
      </c>
    </row>
    <row r="19" spans="2:5" ht="16.2">
      <c r="B19" s="735" t="s">
        <v>1138</v>
      </c>
      <c r="C19" s="1063">
        <v>5</v>
      </c>
      <c r="D19" s="1049">
        <v>6</v>
      </c>
      <c r="E19" s="1049">
        <v>0.73</v>
      </c>
    </row>
    <row r="20" spans="2:5" ht="16.2">
      <c r="B20" s="735" t="s">
        <v>1139</v>
      </c>
      <c r="C20" s="1063">
        <v>0</v>
      </c>
      <c r="D20" s="1049">
        <v>0</v>
      </c>
      <c r="E20" s="1049">
        <v>0</v>
      </c>
    </row>
    <row r="22" spans="2:5" ht="41.4">
      <c r="B22" s="950" t="s">
        <v>1140</v>
      </c>
      <c r="C22" s="989" t="s">
        <v>1141</v>
      </c>
    </row>
    <row r="23" spans="2:5" ht="16.2">
      <c r="B23" s="735" t="s">
        <v>1142</v>
      </c>
      <c r="C23" s="1177">
        <v>0.03</v>
      </c>
    </row>
  </sheetData>
  <sheetProtection algorithmName="SHA-512" hashValue="CwcDL/X0TScm6fCWJu5WnxtyhRw/sRSmZrW/6S57332S8HRig1hkE1F1ujnWjcyIUELPDZYsCJhIvqTcLOCxhg==" saltValue="cEA1WaBy3i5plWc/FOYGRQ==" spinCount="100000" sheet="1" objects="1" scenarios="1"/>
  <mergeCells count="2">
    <mergeCell ref="B2:J2"/>
    <mergeCell ref="B4:N4"/>
  </mergeCells>
  <phoneticPr fontId="3" type="noConversion"/>
  <hyperlinks>
    <hyperlink ref="B5" r:id="rId1" xr:uid="{83969072-E206-4881-B79A-8C2A4C3ED546}"/>
  </hyperlinks>
  <pageMargins left="0.70866141732283472" right="0.70866141732283472" top="0.74803149606299213" bottom="0.74803149606299213" header="0.31496062992125984" footer="0.31496062992125984"/>
  <pageSetup paperSize="9" scale="79" orientation="landscape" r:id="rId2"/>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88671875" defaultRowHeight="13.8" outlineLevelCol="1"/>
  <cols>
    <col min="1" max="1" width="21.109375" style="64" customWidth="1"/>
    <col min="2" max="2" width="89.109375" style="64" customWidth="1"/>
    <col min="3" max="3" width="124.109375" style="97" hidden="1" customWidth="1" outlineLevel="1"/>
    <col min="4" max="4" width="30.109375" style="64" customWidth="1" collapsed="1"/>
    <col min="5" max="5" width="18" style="64" customWidth="1"/>
    <col min="6" max="18" width="18.88671875" style="64" customWidth="1"/>
    <col min="19" max="16384" width="8.88671875" style="64"/>
  </cols>
  <sheetData>
    <row r="2" spans="1:24" ht="35.1" customHeight="1">
      <c r="A2" s="363"/>
      <c r="B2" s="1502" t="s">
        <v>32</v>
      </c>
      <c r="C2" s="1502"/>
      <c r="D2" s="1502"/>
      <c r="E2" s="1502"/>
      <c r="F2" s="1502"/>
      <c r="G2" s="1502"/>
      <c r="H2" s="1502"/>
      <c r="I2" s="1502"/>
      <c r="J2" s="1502"/>
      <c r="K2" s="1502"/>
      <c r="L2" s="1502"/>
      <c r="M2" s="1502"/>
      <c r="N2" s="1502"/>
      <c r="O2" s="8"/>
      <c r="P2" s="106"/>
      <c r="Q2" s="106"/>
      <c r="R2" s="106"/>
      <c r="S2" s="106"/>
      <c r="T2" s="106"/>
      <c r="U2" s="107"/>
      <c r="V2" s="107"/>
      <c r="W2" s="107"/>
      <c r="X2" s="107"/>
    </row>
    <row r="3" spans="1:24" ht="19.8">
      <c r="B3" s="108"/>
      <c r="C3" s="109"/>
      <c r="D3" s="108"/>
      <c r="E3" s="108"/>
      <c r="F3" s="108"/>
      <c r="G3" s="110"/>
      <c r="H3" s="110"/>
      <c r="I3" s="110"/>
      <c r="J3" s="110"/>
      <c r="K3" s="110"/>
      <c r="L3" s="110"/>
      <c r="M3" s="110"/>
      <c r="N3" s="110"/>
      <c r="O3" s="110"/>
      <c r="P3" s="110"/>
      <c r="Q3" s="110"/>
      <c r="R3" s="110"/>
      <c r="S3" s="110"/>
      <c r="T3" s="110"/>
      <c r="U3" s="107"/>
      <c r="V3" s="107"/>
      <c r="W3" s="107"/>
      <c r="X3" s="107"/>
    </row>
    <row r="4" spans="1:24" ht="73.5" customHeight="1">
      <c r="B4" s="1503" t="s">
        <v>1143</v>
      </c>
      <c r="C4" s="1504"/>
      <c r="D4" s="1504"/>
      <c r="E4" s="1504"/>
      <c r="F4" s="1504"/>
      <c r="G4" s="1504"/>
      <c r="H4" s="1504"/>
      <c r="I4" s="1504"/>
      <c r="J4" s="1504"/>
      <c r="K4" s="1504"/>
      <c r="L4" s="1504"/>
      <c r="M4" s="107"/>
      <c r="N4" s="362"/>
      <c r="O4" s="107"/>
      <c r="P4" s="107"/>
      <c r="Q4" s="107"/>
      <c r="R4" s="107"/>
      <c r="S4" s="107"/>
      <c r="T4" s="107"/>
      <c r="U4" s="107"/>
      <c r="V4" s="107"/>
      <c r="W4" s="107"/>
      <c r="X4" s="107"/>
    </row>
    <row r="5" spans="1:24">
      <c r="B5" s="23"/>
      <c r="C5" s="104"/>
      <c r="D5" s="23"/>
      <c r="E5" s="23"/>
      <c r="F5" s="23"/>
      <c r="G5" s="24"/>
      <c r="H5" s="24"/>
      <c r="I5" s="24"/>
      <c r="J5" s="107"/>
      <c r="K5" s="107"/>
      <c r="L5" s="107"/>
      <c r="M5" s="107"/>
      <c r="N5" s="107"/>
      <c r="O5" s="107"/>
      <c r="P5" s="111"/>
      <c r="Q5" s="107"/>
      <c r="R5" s="107"/>
      <c r="S5" s="107"/>
      <c r="T5" s="107"/>
      <c r="U5" s="107"/>
      <c r="V5" s="107"/>
      <c r="W5" s="107"/>
      <c r="X5" s="107"/>
    </row>
    <row r="6" spans="1:24" ht="24.6">
      <c r="B6" s="112" t="s">
        <v>658</v>
      </c>
      <c r="C6" s="113"/>
      <c r="D6" s="114"/>
      <c r="E6" s="114"/>
      <c r="F6" s="114"/>
      <c r="G6" s="1440"/>
      <c r="H6" s="1440"/>
      <c r="I6" s="1440"/>
      <c r="J6" s="115"/>
      <c r="K6" s="115"/>
      <c r="L6" s="115"/>
      <c r="M6" s="115"/>
      <c r="N6" s="115"/>
      <c r="O6" s="115"/>
      <c r="P6" s="115"/>
      <c r="Q6" s="115"/>
      <c r="R6" s="107"/>
      <c r="S6" s="107"/>
      <c r="T6" s="107"/>
      <c r="U6" s="107"/>
      <c r="V6" s="107"/>
      <c r="W6" s="107"/>
      <c r="X6" s="107"/>
    </row>
    <row r="7" spans="1:24">
      <c r="C7" s="116"/>
      <c r="D7" s="117"/>
      <c r="E7" s="117"/>
      <c r="F7" s="117"/>
      <c r="G7" s="118"/>
      <c r="H7" s="118"/>
      <c r="I7" s="118"/>
      <c r="J7" s="118"/>
      <c r="K7" s="118"/>
      <c r="L7" s="118"/>
      <c r="M7" s="119"/>
      <c r="N7" s="119"/>
      <c r="O7" s="119"/>
      <c r="P7" s="119"/>
      <c r="Q7" s="119"/>
      <c r="R7" s="119"/>
      <c r="S7" s="119"/>
      <c r="T7" s="119"/>
      <c r="U7" s="119"/>
      <c r="V7" s="119"/>
      <c r="W7" s="119"/>
      <c r="X7" s="119"/>
    </row>
    <row r="8" spans="1:24" ht="36">
      <c r="B8" s="1445" t="s">
        <v>543</v>
      </c>
      <c r="C8" s="1446" t="s">
        <v>659</v>
      </c>
      <c r="D8" s="1447" t="s">
        <v>544</v>
      </c>
      <c r="E8" s="1439" t="s">
        <v>546</v>
      </c>
      <c r="F8" s="1439"/>
      <c r="G8" s="1439"/>
      <c r="H8" s="1442" t="s">
        <v>547</v>
      </c>
      <c r="I8" s="1442"/>
      <c r="J8" s="1442"/>
      <c r="K8" s="1442" t="s">
        <v>548</v>
      </c>
      <c r="L8" s="1442"/>
      <c r="M8" s="1442"/>
      <c r="N8" s="232" t="s">
        <v>549</v>
      </c>
      <c r="O8" s="285" t="s">
        <v>847</v>
      </c>
      <c r="P8" s="285" t="s">
        <v>848</v>
      </c>
      <c r="Q8" s="285" t="s">
        <v>1037</v>
      </c>
      <c r="R8" s="107"/>
      <c r="S8" s="107"/>
      <c r="T8" s="107"/>
      <c r="U8" s="107"/>
      <c r="V8" s="107"/>
      <c r="W8" s="107"/>
      <c r="X8" s="107"/>
    </row>
    <row r="9" spans="1:24" ht="27.6">
      <c r="B9" s="1445"/>
      <c r="C9" s="1446"/>
      <c r="D9" s="1448"/>
      <c r="E9" s="231" t="s">
        <v>550</v>
      </c>
      <c r="F9" s="231" t="s">
        <v>660</v>
      </c>
      <c r="G9" s="231" t="s">
        <v>661</v>
      </c>
      <c r="H9" s="232" t="s">
        <v>550</v>
      </c>
      <c r="I9" s="232" t="s">
        <v>660</v>
      </c>
      <c r="J9" s="233" t="s">
        <v>661</v>
      </c>
      <c r="K9" s="232" t="s">
        <v>550</v>
      </c>
      <c r="L9" s="232" t="s">
        <v>660</v>
      </c>
      <c r="M9" s="233" t="s">
        <v>661</v>
      </c>
      <c r="N9" s="232" t="s">
        <v>550</v>
      </c>
      <c r="O9" s="286" t="s">
        <v>550</v>
      </c>
      <c r="P9" s="286" t="s">
        <v>550</v>
      </c>
      <c r="Q9" s="286" t="s">
        <v>550</v>
      </c>
      <c r="R9" s="107"/>
      <c r="S9" s="107"/>
      <c r="T9" s="107"/>
      <c r="U9" s="107"/>
      <c r="V9" s="107"/>
      <c r="W9" s="107"/>
      <c r="X9" s="107"/>
    </row>
    <row r="10" spans="1:24" ht="17.399999999999999" customHeight="1">
      <c r="B10" s="202" t="s">
        <v>472</v>
      </c>
      <c r="C10" s="155" t="s">
        <v>662</v>
      </c>
      <c r="D10" s="155" t="s">
        <v>663</v>
      </c>
      <c r="E10" s="243">
        <v>233300</v>
      </c>
      <c r="F10" s="243">
        <v>100461</v>
      </c>
      <c r="G10" s="243">
        <f>E10-F10</f>
        <v>132839</v>
      </c>
      <c r="H10" s="156">
        <v>239862</v>
      </c>
      <c r="I10" s="156">
        <v>103534</v>
      </c>
      <c r="J10" s="156">
        <f>H10-I10</f>
        <v>136328</v>
      </c>
      <c r="K10" s="156">
        <v>240473</v>
      </c>
      <c r="L10" s="156">
        <v>112915</v>
      </c>
      <c r="M10" s="156">
        <f>K10-L10</f>
        <v>127558</v>
      </c>
      <c r="N10" s="156">
        <v>238069</v>
      </c>
      <c r="O10" s="281">
        <f t="shared" ref="O10:O14" si="0">(E10-H10)/H10</f>
        <v>-2.7357397170039439E-2</v>
      </c>
      <c r="P10" s="281">
        <f>(E10-N10)/N10</f>
        <v>-2.0032007527229501E-2</v>
      </c>
      <c r="Q10" s="283"/>
      <c r="R10" s="107"/>
      <c r="S10" s="107"/>
      <c r="T10" s="107"/>
      <c r="U10" s="107"/>
      <c r="V10" s="107"/>
      <c r="W10" s="107"/>
      <c r="X10" s="107"/>
    </row>
    <row r="11" spans="1:24" ht="17.399999999999999" customHeight="1">
      <c r="B11" s="202" t="s">
        <v>475</v>
      </c>
      <c r="C11" s="155" t="s">
        <v>664</v>
      </c>
      <c r="D11" s="155" t="s">
        <v>663</v>
      </c>
      <c r="E11" s="243">
        <v>130386</v>
      </c>
      <c r="F11" s="243">
        <v>1024</v>
      </c>
      <c r="G11" s="243">
        <f>E11-F11</f>
        <v>129362</v>
      </c>
      <c r="H11" s="156">
        <v>170248</v>
      </c>
      <c r="I11" s="156">
        <v>1265</v>
      </c>
      <c r="J11" s="156">
        <f>H11-I11</f>
        <v>168983</v>
      </c>
      <c r="K11" s="156">
        <v>169111</v>
      </c>
      <c r="L11" s="156">
        <v>3969</v>
      </c>
      <c r="M11" s="156">
        <f>K11-L11</f>
        <v>165142</v>
      </c>
      <c r="N11" s="156">
        <v>179749</v>
      </c>
      <c r="O11" s="281">
        <f t="shared" si="0"/>
        <v>-0.2341407828579484</v>
      </c>
      <c r="P11" s="281">
        <f t="shared" ref="P11" si="1">(E11-N11)/N11</f>
        <v>-0.27462183377932564</v>
      </c>
      <c r="Q11" s="283"/>
      <c r="R11" s="107"/>
      <c r="S11" s="107"/>
      <c r="T11" s="107"/>
      <c r="U11" s="107"/>
      <c r="V11" s="107"/>
      <c r="W11" s="107"/>
      <c r="X11" s="107"/>
    </row>
    <row r="12" spans="1:24" ht="17.399999999999999" customHeight="1">
      <c r="B12" s="202" t="s">
        <v>554</v>
      </c>
      <c r="C12" s="155" t="s">
        <v>665</v>
      </c>
      <c r="D12" s="155" t="s">
        <v>663</v>
      </c>
      <c r="E12" s="243">
        <v>204848</v>
      </c>
      <c r="F12" s="243">
        <v>21696</v>
      </c>
      <c r="G12" s="243">
        <f>E12-F12</f>
        <v>183152</v>
      </c>
      <c r="H12" s="156">
        <v>225712</v>
      </c>
      <c r="I12" s="156">
        <v>24942</v>
      </c>
      <c r="J12" s="156">
        <f>H12-I12</f>
        <v>200770</v>
      </c>
      <c r="K12" s="156">
        <v>209158</v>
      </c>
      <c r="L12" s="156">
        <v>29743</v>
      </c>
      <c r="M12" s="156">
        <f>K12-L12</f>
        <v>179415</v>
      </c>
      <c r="N12" s="156">
        <v>231360</v>
      </c>
      <c r="O12" s="281">
        <f t="shared" si="0"/>
        <v>-9.2436379102573185E-2</v>
      </c>
      <c r="P12" s="281">
        <f>(E12-N12)/N12</f>
        <v>-0.11459197786998616</v>
      </c>
      <c r="Q12" s="283"/>
      <c r="R12" s="107"/>
      <c r="S12" s="107"/>
      <c r="T12" s="107"/>
      <c r="U12" s="107"/>
      <c r="V12" s="107"/>
      <c r="W12" s="107"/>
      <c r="X12" s="107"/>
    </row>
    <row r="13" spans="1:24" ht="17.399999999999999" customHeight="1">
      <c r="B13" s="180" t="s">
        <v>555</v>
      </c>
      <c r="C13" s="158" t="s">
        <v>1144</v>
      </c>
      <c r="D13" s="158" t="s">
        <v>667</v>
      </c>
      <c r="E13" s="243">
        <v>363686</v>
      </c>
      <c r="F13" s="243">
        <v>101485</v>
      </c>
      <c r="G13" s="243">
        <f>E13-F13</f>
        <v>262201</v>
      </c>
      <c r="H13" s="240">
        <v>410110</v>
      </c>
      <c r="I13" s="240">
        <f>I10+I11</f>
        <v>104799</v>
      </c>
      <c r="J13" s="240">
        <f>H13-I13</f>
        <v>305311</v>
      </c>
      <c r="K13" s="240">
        <v>409584</v>
      </c>
      <c r="L13" s="240">
        <v>116884</v>
      </c>
      <c r="M13" s="240">
        <f>K13-L13</f>
        <v>292700</v>
      </c>
      <c r="N13" s="240">
        <v>417818</v>
      </c>
      <c r="O13" s="386">
        <f>(E13-H13)/H13</f>
        <v>-0.1131988978566726</v>
      </c>
      <c r="P13" s="386">
        <f>(E13-N13)/N13</f>
        <v>-0.12955880311523199</v>
      </c>
      <c r="Q13" s="386">
        <f>(E13-N13)/(N13*(1-0.42)-N13)</f>
        <v>0.30847334075055244</v>
      </c>
      <c r="R13" s="107"/>
      <c r="S13" s="107"/>
      <c r="T13" s="107"/>
      <c r="U13" s="107"/>
      <c r="V13" s="107"/>
      <c r="W13" s="107"/>
      <c r="X13" s="107"/>
    </row>
    <row r="14" spans="1:24" ht="17.399999999999999" customHeight="1">
      <c r="B14" s="202" t="s">
        <v>557</v>
      </c>
      <c r="C14" s="155" t="s">
        <v>1145</v>
      </c>
      <c r="D14" s="155" t="s">
        <v>663</v>
      </c>
      <c r="E14" s="243">
        <v>438148</v>
      </c>
      <c r="F14" s="243">
        <v>122157</v>
      </c>
      <c r="G14" s="243">
        <f>E14-F14</f>
        <v>315991</v>
      </c>
      <c r="H14" s="156">
        <v>465574</v>
      </c>
      <c r="I14" s="156">
        <v>128475</v>
      </c>
      <c r="J14" s="156">
        <f>H14-I14</f>
        <v>337099</v>
      </c>
      <c r="K14" s="156">
        <v>449631</v>
      </c>
      <c r="L14" s="156">
        <v>142659</v>
      </c>
      <c r="M14" s="156">
        <f>K14-L14</f>
        <v>306972</v>
      </c>
      <c r="N14" s="156">
        <v>469429</v>
      </c>
      <c r="O14" s="281">
        <f t="shared" si="0"/>
        <v>-5.8907928707359086E-2</v>
      </c>
      <c r="P14" s="281">
        <f>(E14-N14)/N14</f>
        <v>-6.6636275134258849E-2</v>
      </c>
      <c r="Q14" s="283"/>
      <c r="R14" s="107"/>
      <c r="S14" s="107"/>
      <c r="T14" s="107"/>
      <c r="U14" s="107"/>
      <c r="V14" s="107"/>
      <c r="W14" s="107"/>
      <c r="X14" s="107"/>
    </row>
    <row r="15" spans="1:24" ht="27.6">
      <c r="B15" s="180" t="s">
        <v>558</v>
      </c>
      <c r="C15" s="158" t="s">
        <v>669</v>
      </c>
      <c r="D15" s="158" t="s">
        <v>559</v>
      </c>
      <c r="E15" s="244">
        <v>3.4</v>
      </c>
      <c r="F15" s="244">
        <v>22.3</v>
      </c>
      <c r="G15" s="244">
        <v>2.5</v>
      </c>
      <c r="H15" s="241">
        <v>3.7</v>
      </c>
      <c r="I15" s="241">
        <v>19.899999999999999</v>
      </c>
      <c r="J15" s="242">
        <v>2.9</v>
      </c>
      <c r="K15" s="241">
        <v>3.9</v>
      </c>
      <c r="L15" s="241">
        <v>11.9</v>
      </c>
      <c r="M15" s="241">
        <v>3</v>
      </c>
      <c r="N15" s="241">
        <v>3.7</v>
      </c>
      <c r="O15" s="386">
        <f>(E15-H15)/H15</f>
        <v>-8.1081081081081155E-2</v>
      </c>
      <c r="P15" s="386">
        <f>(E15-N15)/N15</f>
        <v>-8.1081081081081155E-2</v>
      </c>
      <c r="Q15" s="287"/>
      <c r="R15" s="107"/>
      <c r="S15" s="107"/>
      <c r="T15" s="107"/>
      <c r="U15" s="107"/>
      <c r="V15" s="107"/>
      <c r="W15" s="107"/>
      <c r="X15" s="107"/>
    </row>
    <row r="16" spans="1:24">
      <c r="B16" s="120"/>
      <c r="C16" s="121"/>
      <c r="D16" s="122"/>
      <c r="E16" s="494"/>
      <c r="F16" s="494"/>
      <c r="G16" s="494"/>
      <c r="H16" s="123"/>
      <c r="I16" s="123"/>
      <c r="J16" s="123"/>
      <c r="K16" s="123"/>
      <c r="L16" s="123"/>
      <c r="M16" s="40"/>
      <c r="N16" s="107"/>
      <c r="O16" s="107"/>
      <c r="P16" s="107"/>
      <c r="Q16" s="107"/>
      <c r="R16" s="107"/>
      <c r="S16" s="107"/>
      <c r="T16" s="107"/>
      <c r="U16" s="107"/>
      <c r="V16" s="107"/>
      <c r="W16" s="107"/>
      <c r="X16" s="107"/>
    </row>
    <row r="17" spans="2:24" ht="36">
      <c r="B17" s="234" t="s">
        <v>671</v>
      </c>
      <c r="C17" s="159" t="s">
        <v>659</v>
      </c>
      <c r="D17" s="235" t="s">
        <v>544</v>
      </c>
      <c r="E17" s="236" t="s">
        <v>546</v>
      </c>
      <c r="F17" s="237" t="s">
        <v>547</v>
      </c>
      <c r="G17" s="237" t="s">
        <v>548</v>
      </c>
      <c r="H17" s="237" t="s">
        <v>549</v>
      </c>
      <c r="I17" s="284" t="str">
        <f>O8</f>
        <v>Performance against prior year</v>
      </c>
      <c r="J17" s="284" t="str">
        <f>P8</f>
        <v>Performance against 2019/20 baseline</v>
      </c>
      <c r="K17" s="284" t="str">
        <f>Q8</f>
        <v>Progress towards 2030 target</v>
      </c>
      <c r="M17" s="40"/>
      <c r="N17" s="107"/>
      <c r="O17" s="107"/>
      <c r="P17" s="107"/>
      <c r="Q17" s="107"/>
      <c r="R17" s="107"/>
      <c r="S17" s="107"/>
      <c r="T17" s="107"/>
      <c r="U17" s="107"/>
      <c r="V17" s="107"/>
      <c r="W17" s="107"/>
      <c r="X17" s="107"/>
    </row>
    <row r="18" spans="2:24" ht="15" customHeight="1">
      <c r="B18" s="160" t="s">
        <v>673</v>
      </c>
      <c r="C18" s="160" t="s">
        <v>674</v>
      </c>
      <c r="D18" s="161" t="s">
        <v>675</v>
      </c>
      <c r="E18" s="245">
        <v>2495475</v>
      </c>
      <c r="F18" s="162">
        <v>2978197</v>
      </c>
      <c r="G18" s="162">
        <v>2812518</v>
      </c>
      <c r="H18" s="162">
        <v>3433660</v>
      </c>
      <c r="I18" s="281">
        <f>(E18-F18)/F18</f>
        <v>-0.16208531537705531</v>
      </c>
      <c r="J18" s="281">
        <f>(E18-H18)/H18</f>
        <v>-0.27323177018108957</v>
      </c>
      <c r="K18" s="281">
        <f>(E18-H18)/((1-0.42)*H18-H18)</f>
        <v>0.6505518337644991</v>
      </c>
      <c r="M18" s="40"/>
      <c r="N18" s="107"/>
      <c r="O18" s="107"/>
      <c r="P18" s="107"/>
      <c r="Q18" s="107"/>
      <c r="R18" s="107"/>
      <c r="S18" s="107"/>
      <c r="T18" s="107"/>
      <c r="U18" s="107"/>
      <c r="V18" s="107"/>
      <c r="W18" s="107"/>
      <c r="X18" s="107"/>
    </row>
    <row r="19" spans="2:24" ht="15" customHeight="1">
      <c r="B19" s="160" t="s">
        <v>676</v>
      </c>
      <c r="C19" s="160" t="s">
        <v>677</v>
      </c>
      <c r="D19" s="161" t="s">
        <v>675</v>
      </c>
      <c r="E19" s="245">
        <v>177329</v>
      </c>
      <c r="F19" s="162">
        <v>163641</v>
      </c>
      <c r="G19" s="162">
        <v>242456</v>
      </c>
      <c r="H19" s="162">
        <v>367141</v>
      </c>
      <c r="I19" s="281">
        <f t="shared" ref="I19:I25" si="2">(E19-F19)/F19</f>
        <v>8.3646518904186604E-2</v>
      </c>
      <c r="J19" s="281">
        <f t="shared" ref="J19:J25" si="3">(E19-H19)/H19</f>
        <v>-0.5170002805461662</v>
      </c>
      <c r="K19" s="393"/>
      <c r="M19" s="40"/>
      <c r="N19" s="107"/>
      <c r="O19" s="107"/>
      <c r="P19" s="107"/>
      <c r="Q19" s="107"/>
      <c r="R19" s="107"/>
      <c r="S19" s="107"/>
      <c r="T19" s="107"/>
      <c r="U19" s="107"/>
      <c r="V19" s="107"/>
      <c r="W19" s="107"/>
      <c r="X19" s="107"/>
    </row>
    <row r="20" spans="2:24" ht="15" customHeight="1">
      <c r="B20" s="160" t="s">
        <v>678</v>
      </c>
      <c r="C20" s="160" t="s">
        <v>679</v>
      </c>
      <c r="D20" s="161" t="s">
        <v>675</v>
      </c>
      <c r="E20" s="245">
        <v>41018</v>
      </c>
      <c r="F20" s="162">
        <v>43505</v>
      </c>
      <c r="G20" s="162">
        <v>36695</v>
      </c>
      <c r="H20" s="162">
        <v>38199</v>
      </c>
      <c r="I20" s="281">
        <f t="shared" si="2"/>
        <v>-5.7165843006550969E-2</v>
      </c>
      <c r="J20" s="281">
        <f t="shared" si="3"/>
        <v>7.379774339642399E-2</v>
      </c>
      <c r="K20" s="393"/>
      <c r="M20" s="40"/>
      <c r="N20" s="107"/>
      <c r="O20" s="344"/>
      <c r="P20" s="107"/>
      <c r="Q20" s="107"/>
      <c r="R20" s="107"/>
      <c r="S20" s="107"/>
      <c r="T20" s="107"/>
      <c r="U20" s="107"/>
      <c r="V20" s="107"/>
      <c r="W20" s="107"/>
      <c r="X20" s="107"/>
    </row>
    <row r="21" spans="2:24" ht="15" customHeight="1">
      <c r="B21" s="160" t="s">
        <v>680</v>
      </c>
      <c r="C21" s="160" t="s">
        <v>681</v>
      </c>
      <c r="D21" s="161" t="s">
        <v>675</v>
      </c>
      <c r="E21" s="245">
        <v>81999</v>
      </c>
      <c r="F21" s="162">
        <v>158625</v>
      </c>
      <c r="G21" s="162">
        <v>94348</v>
      </c>
      <c r="H21" s="162">
        <v>97424</v>
      </c>
      <c r="I21" s="281">
        <f t="shared" si="2"/>
        <v>-0.48306382978723406</v>
      </c>
      <c r="J21" s="281">
        <f t="shared" si="3"/>
        <v>-0.15832854327475776</v>
      </c>
      <c r="K21" s="393"/>
      <c r="M21" s="40"/>
      <c r="N21" s="107"/>
      <c r="O21" s="107"/>
      <c r="P21" s="107"/>
      <c r="Q21" s="107"/>
      <c r="R21" s="107"/>
      <c r="S21" s="107"/>
      <c r="T21" s="107"/>
      <c r="U21" s="107"/>
      <c r="V21" s="107"/>
      <c r="W21" s="107"/>
      <c r="X21" s="107"/>
    </row>
    <row r="22" spans="2:24" ht="15" customHeight="1">
      <c r="B22" s="160" t="s">
        <v>682</v>
      </c>
      <c r="C22" s="160" t="s">
        <v>683</v>
      </c>
      <c r="D22" s="161" t="s">
        <v>675</v>
      </c>
      <c r="E22" s="245">
        <v>4004</v>
      </c>
      <c r="F22" s="162">
        <v>5220</v>
      </c>
      <c r="G22" s="162">
        <v>4549</v>
      </c>
      <c r="H22" s="162">
        <v>3439</v>
      </c>
      <c r="I22" s="281">
        <f t="shared" si="2"/>
        <v>-0.23295019157088123</v>
      </c>
      <c r="J22" s="281">
        <f t="shared" si="3"/>
        <v>0.16429194533294561</v>
      </c>
      <c r="K22" s="393"/>
      <c r="M22" s="40"/>
      <c r="N22" s="107"/>
      <c r="O22" s="107"/>
      <c r="P22" s="107"/>
      <c r="Q22" s="107"/>
      <c r="R22" s="107"/>
      <c r="S22" s="107"/>
      <c r="T22" s="107"/>
      <c r="U22" s="107"/>
      <c r="V22" s="107"/>
      <c r="W22" s="107"/>
      <c r="X22" s="107"/>
    </row>
    <row r="23" spans="2:24" ht="15" customHeight="1">
      <c r="B23" s="160" t="s">
        <v>684</v>
      </c>
      <c r="C23" s="160" t="s">
        <v>685</v>
      </c>
      <c r="D23" s="161" t="s">
        <v>675</v>
      </c>
      <c r="E23" s="245">
        <v>5077.3333333333303</v>
      </c>
      <c r="F23" s="162">
        <v>1336</v>
      </c>
      <c r="G23" s="162">
        <v>67</v>
      </c>
      <c r="H23" s="162">
        <v>9202</v>
      </c>
      <c r="I23" s="281">
        <f t="shared" si="2"/>
        <v>2.8003992015968042</v>
      </c>
      <c r="J23" s="281">
        <f t="shared" si="3"/>
        <v>-0.44823589074838838</v>
      </c>
      <c r="K23" s="393"/>
      <c r="M23" s="40"/>
      <c r="N23" s="107"/>
      <c r="O23" s="107"/>
      <c r="P23" s="107"/>
      <c r="Q23" s="107"/>
      <c r="R23" s="107"/>
      <c r="S23" s="107"/>
      <c r="T23" s="107"/>
      <c r="U23" s="107"/>
      <c r="V23" s="107"/>
      <c r="W23" s="107"/>
      <c r="X23" s="107"/>
    </row>
    <row r="24" spans="2:24" ht="15" customHeight="1">
      <c r="B24" s="160" t="s">
        <v>686</v>
      </c>
      <c r="C24" s="160" t="s">
        <v>687</v>
      </c>
      <c r="D24" s="161" t="s">
        <v>675</v>
      </c>
      <c r="E24" s="245">
        <v>13627</v>
      </c>
      <c r="F24" s="162">
        <v>13517.48</v>
      </c>
      <c r="G24" s="162">
        <v>25763.02</v>
      </c>
      <c r="H24" s="162">
        <v>25763.02</v>
      </c>
      <c r="I24" s="281">
        <f t="shared" si="2"/>
        <v>8.1021018710588401E-3</v>
      </c>
      <c r="J24" s="281">
        <f t="shared" si="3"/>
        <v>-0.47106356320027698</v>
      </c>
      <c r="K24" s="393"/>
      <c r="M24" s="40"/>
      <c r="N24" s="107"/>
      <c r="O24" s="107"/>
      <c r="P24" s="107"/>
      <c r="Q24" s="107"/>
      <c r="R24" s="107"/>
      <c r="S24" s="107"/>
      <c r="T24" s="107"/>
      <c r="U24" s="107"/>
      <c r="V24" s="107"/>
      <c r="W24" s="107"/>
      <c r="X24" s="107"/>
    </row>
    <row r="25" spans="2:24" ht="15" customHeight="1">
      <c r="B25" s="160" t="s">
        <v>688</v>
      </c>
      <c r="C25" s="160" t="s">
        <v>689</v>
      </c>
      <c r="D25" s="161" t="s">
        <v>675</v>
      </c>
      <c r="E25" s="245">
        <v>523</v>
      </c>
      <c r="F25" s="162">
        <v>698</v>
      </c>
      <c r="G25" s="162">
        <v>602</v>
      </c>
      <c r="H25" s="162">
        <v>5094</v>
      </c>
      <c r="I25" s="281">
        <f t="shared" si="2"/>
        <v>-0.25071633237822349</v>
      </c>
      <c r="J25" s="281">
        <f t="shared" si="3"/>
        <v>-0.89733019238319589</v>
      </c>
      <c r="K25" s="393"/>
      <c r="M25" s="40"/>
      <c r="N25" s="107"/>
      <c r="O25" s="107"/>
      <c r="P25" s="107"/>
      <c r="Q25" s="107"/>
      <c r="R25" s="107"/>
      <c r="S25" s="107"/>
      <c r="T25" s="107"/>
      <c r="U25" s="107"/>
      <c r="V25" s="107"/>
      <c r="W25" s="107"/>
      <c r="X25" s="107"/>
    </row>
    <row r="26" spans="2:24" ht="15" customHeight="1">
      <c r="B26" s="160" t="s">
        <v>690</v>
      </c>
      <c r="C26" s="160" t="s">
        <v>691</v>
      </c>
      <c r="D26" s="161" t="s">
        <v>675</v>
      </c>
      <c r="E26" s="245">
        <v>0</v>
      </c>
      <c r="F26" s="162">
        <v>0</v>
      </c>
      <c r="G26" s="162">
        <v>0</v>
      </c>
      <c r="H26" s="162">
        <v>0</v>
      </c>
      <c r="I26" s="281"/>
      <c r="J26" s="281"/>
      <c r="K26" s="393"/>
      <c r="M26" s="40"/>
      <c r="N26" s="107"/>
      <c r="O26" s="107"/>
      <c r="P26" s="107"/>
      <c r="Q26" s="107"/>
      <c r="R26" s="107"/>
      <c r="S26" s="107"/>
      <c r="T26" s="107"/>
      <c r="U26" s="107"/>
      <c r="V26" s="107"/>
      <c r="W26" s="107"/>
      <c r="X26" s="107"/>
    </row>
    <row r="27" spans="2:24" ht="15" customHeight="1">
      <c r="B27" s="160" t="s">
        <v>692</v>
      </c>
      <c r="C27" s="160" t="s">
        <v>693</v>
      </c>
      <c r="D27" s="161" t="s">
        <v>675</v>
      </c>
      <c r="E27" s="245">
        <v>0</v>
      </c>
      <c r="F27" s="162">
        <v>0</v>
      </c>
      <c r="G27" s="162">
        <v>0</v>
      </c>
      <c r="H27" s="162">
        <v>0</v>
      </c>
      <c r="I27" s="281"/>
      <c r="J27" s="281"/>
      <c r="K27" s="393"/>
      <c r="M27" s="40"/>
      <c r="N27" s="107"/>
      <c r="O27" s="107"/>
      <c r="P27" s="107"/>
      <c r="Q27" s="107"/>
      <c r="R27" s="107"/>
      <c r="S27" s="107"/>
      <c r="T27" s="107"/>
      <c r="U27" s="107"/>
      <c r="V27" s="107"/>
      <c r="W27" s="107"/>
      <c r="X27" s="107"/>
    </row>
    <row r="28" spans="2:24" ht="15" customHeight="1">
      <c r="B28" s="160" t="s">
        <v>694</v>
      </c>
      <c r="C28" s="160" t="s">
        <v>695</v>
      </c>
      <c r="D28" s="161" t="s">
        <v>675</v>
      </c>
      <c r="E28" s="245">
        <v>0</v>
      </c>
      <c r="F28" s="162">
        <v>0</v>
      </c>
      <c r="G28" s="162">
        <v>0</v>
      </c>
      <c r="H28" s="162">
        <v>0</v>
      </c>
      <c r="I28" s="281"/>
      <c r="J28" s="281"/>
      <c r="K28" s="393"/>
      <c r="M28" s="40"/>
      <c r="N28" s="107"/>
      <c r="O28" s="107"/>
      <c r="P28" s="107"/>
      <c r="Q28" s="107"/>
      <c r="R28" s="107"/>
      <c r="S28" s="107"/>
      <c r="T28" s="107"/>
      <c r="U28" s="107"/>
      <c r="V28" s="107"/>
      <c r="W28" s="107"/>
      <c r="X28" s="107"/>
    </row>
    <row r="29" spans="2:24" ht="15" customHeight="1">
      <c r="B29" s="160" t="s">
        <v>696</v>
      </c>
      <c r="C29" s="160" t="s">
        <v>697</v>
      </c>
      <c r="D29" s="161" t="s">
        <v>675</v>
      </c>
      <c r="E29" s="245">
        <v>0</v>
      </c>
      <c r="F29" s="162">
        <v>0</v>
      </c>
      <c r="G29" s="162">
        <v>0</v>
      </c>
      <c r="H29" s="162">
        <v>0</v>
      </c>
      <c r="I29" s="281"/>
      <c r="J29" s="281"/>
      <c r="K29" s="393"/>
      <c r="M29" s="40"/>
      <c r="N29" s="107"/>
      <c r="O29" s="107"/>
      <c r="P29" s="107"/>
      <c r="Q29" s="107"/>
      <c r="R29" s="107"/>
      <c r="S29" s="107"/>
      <c r="T29" s="107"/>
      <c r="U29" s="107"/>
      <c r="V29" s="107"/>
      <c r="W29" s="107"/>
      <c r="X29" s="107"/>
    </row>
    <row r="30" spans="2:24" ht="15" customHeight="1">
      <c r="B30" s="160" t="s">
        <v>698</v>
      </c>
      <c r="C30" s="160" t="s">
        <v>699</v>
      </c>
      <c r="D30" s="161" t="s">
        <v>675</v>
      </c>
      <c r="E30" s="245">
        <v>0</v>
      </c>
      <c r="F30" s="162">
        <v>0</v>
      </c>
      <c r="G30" s="162">
        <v>0</v>
      </c>
      <c r="H30" s="162">
        <v>0</v>
      </c>
      <c r="I30" s="281"/>
      <c r="J30" s="281"/>
      <c r="K30" s="393"/>
      <c r="M30" s="40"/>
      <c r="N30" s="107"/>
      <c r="O30" s="107"/>
      <c r="P30" s="107"/>
      <c r="Q30" s="107"/>
      <c r="R30" s="107"/>
      <c r="S30" s="107"/>
      <c r="T30" s="107"/>
      <c r="U30" s="107"/>
      <c r="V30" s="107"/>
      <c r="W30" s="107"/>
      <c r="X30" s="107"/>
    </row>
    <row r="31" spans="2:24" ht="15" customHeight="1">
      <c r="B31" s="160" t="s">
        <v>700</v>
      </c>
      <c r="C31" s="160" t="s">
        <v>701</v>
      </c>
      <c r="D31" s="161" t="s">
        <v>675</v>
      </c>
      <c r="E31" s="245">
        <v>0</v>
      </c>
      <c r="F31" s="162">
        <v>0</v>
      </c>
      <c r="G31" s="162">
        <v>0</v>
      </c>
      <c r="H31" s="162">
        <v>0</v>
      </c>
      <c r="I31" s="281"/>
      <c r="J31" s="281"/>
      <c r="K31" s="393"/>
      <c r="M31" s="40"/>
      <c r="N31" s="107"/>
      <c r="O31" s="107"/>
      <c r="P31" s="107"/>
      <c r="Q31" s="107"/>
      <c r="R31" s="107"/>
      <c r="S31" s="107"/>
      <c r="T31" s="107"/>
      <c r="U31" s="107"/>
      <c r="V31" s="107"/>
      <c r="W31" s="107"/>
      <c r="X31" s="107"/>
    </row>
    <row r="32" spans="2:24" ht="15" customHeight="1">
      <c r="B32" s="160" t="s">
        <v>702</v>
      </c>
      <c r="C32" s="160" t="s">
        <v>703</v>
      </c>
      <c r="D32" s="161" t="s">
        <v>675</v>
      </c>
      <c r="E32" s="245">
        <v>125196</v>
      </c>
      <c r="F32" s="162">
        <v>118356</v>
      </c>
      <c r="G32" s="162">
        <v>119005</v>
      </c>
      <c r="H32" s="162">
        <v>129337</v>
      </c>
      <c r="I32" s="281">
        <f>(E32-F32)/F32</f>
        <v>5.779174693298185E-2</v>
      </c>
      <c r="J32" s="281">
        <f>(E32-H32)/H32</f>
        <v>-3.2017133534874009E-2</v>
      </c>
      <c r="K32" s="393"/>
      <c r="M32" s="40"/>
      <c r="N32" s="107"/>
      <c r="O32" s="107"/>
      <c r="P32" s="107"/>
      <c r="Q32" s="107"/>
      <c r="R32" s="107"/>
      <c r="S32" s="107"/>
      <c r="T32" s="107"/>
      <c r="U32" s="107"/>
      <c r="V32" s="107"/>
      <c r="W32" s="107"/>
      <c r="X32" s="107"/>
    </row>
    <row r="33" spans="2:24" ht="15">
      <c r="B33" s="163" t="s">
        <v>704</v>
      </c>
      <c r="C33" s="163"/>
      <c r="D33" s="163" t="s">
        <v>705</v>
      </c>
      <c r="E33" s="245">
        <f>SUM(E18:E32)</f>
        <v>2944248.3333333335</v>
      </c>
      <c r="F33" s="164">
        <f>SUM(F18:F32)</f>
        <v>3483095.48</v>
      </c>
      <c r="G33" s="164">
        <f>SUM(G18:G32)</f>
        <v>3336003.02</v>
      </c>
      <c r="H33" s="164">
        <f>SUM(H18:H32)</f>
        <v>4109259.02</v>
      </c>
      <c r="I33" s="281">
        <f>(E33-F33)/F33</f>
        <v>-0.15470352442553958</v>
      </c>
      <c r="J33" s="281">
        <f>(E33-H33)/H33</f>
        <v>-0.28350870095958725</v>
      </c>
      <c r="K33" s="393"/>
      <c r="M33" s="40"/>
      <c r="N33" s="107"/>
      <c r="O33" s="107"/>
      <c r="P33" s="107"/>
      <c r="Q33" s="107"/>
      <c r="R33" s="107"/>
      <c r="S33" s="107"/>
      <c r="T33" s="107"/>
      <c r="U33" s="107"/>
      <c r="V33" s="107"/>
      <c r="W33" s="107"/>
      <c r="X33" s="107"/>
    </row>
    <row r="34" spans="2:24">
      <c r="B34" s="124"/>
      <c r="C34" s="125"/>
      <c r="D34" s="126"/>
      <c r="E34" s="126"/>
      <c r="F34" s="126"/>
      <c r="G34" s="127"/>
      <c r="H34" s="127"/>
      <c r="I34" s="123"/>
      <c r="J34" s="123"/>
      <c r="K34" s="123"/>
      <c r="L34" s="123"/>
      <c r="M34" s="40"/>
      <c r="N34" s="107"/>
      <c r="O34" s="107"/>
      <c r="P34" s="107"/>
      <c r="Q34" s="107"/>
      <c r="R34" s="107"/>
      <c r="S34" s="107"/>
      <c r="T34" s="107"/>
      <c r="U34" s="107"/>
      <c r="V34" s="107"/>
      <c r="W34" s="107"/>
      <c r="X34" s="107"/>
    </row>
    <row r="35" spans="2:24" ht="17.399999999999999">
      <c r="B35" s="234" t="s">
        <v>706</v>
      </c>
      <c r="C35" s="165"/>
      <c r="D35" s="235" t="s">
        <v>544</v>
      </c>
      <c r="E35" s="273" t="str">
        <f>E17</f>
        <v>2022/23</v>
      </c>
      <c r="F35" s="274" t="str">
        <f>F17</f>
        <v>2021/22</v>
      </c>
      <c r="G35" s="274" t="str">
        <f>G17</f>
        <v>2020/21</v>
      </c>
      <c r="H35" s="274" t="str">
        <f>H17</f>
        <v>2019/20</v>
      </c>
      <c r="I35" s="127"/>
      <c r="K35" s="128"/>
      <c r="M35" s="128"/>
      <c r="N35" s="128" t="s">
        <v>1146</v>
      </c>
      <c r="O35" s="107"/>
      <c r="P35" s="107"/>
      <c r="Q35" s="107"/>
      <c r="R35" s="107"/>
      <c r="S35" s="107"/>
      <c r="T35" s="107"/>
      <c r="U35" s="107"/>
      <c r="V35" s="107"/>
      <c r="W35" s="107"/>
      <c r="X35" s="107"/>
    </row>
    <row r="36" spans="2:24" ht="15">
      <c r="B36" s="166" t="str">
        <f>B10</f>
        <v>Total Scope 1 GHG emissions</v>
      </c>
      <c r="C36" s="167" t="s">
        <v>550</v>
      </c>
      <c r="D36" s="161" t="s">
        <v>675</v>
      </c>
      <c r="E36" s="246">
        <f>E10</f>
        <v>233300</v>
      </c>
      <c r="F36" s="168">
        <f>H10</f>
        <v>239862</v>
      </c>
      <c r="G36" s="168">
        <f>K10</f>
        <v>240473</v>
      </c>
      <c r="H36" s="168">
        <f>N10</f>
        <v>238069</v>
      </c>
      <c r="K36" s="128"/>
      <c r="M36" s="128" t="s">
        <v>1147</v>
      </c>
      <c r="N36" s="387">
        <f>E36/$E$40</f>
        <v>7.0527397611580958E-2</v>
      </c>
      <c r="O36" s="107"/>
      <c r="P36" s="107"/>
      <c r="Q36" s="107"/>
      <c r="R36" s="107"/>
      <c r="S36" s="107"/>
      <c r="T36" s="107"/>
      <c r="U36" s="107"/>
      <c r="V36" s="107"/>
      <c r="W36" s="107"/>
      <c r="X36" s="107"/>
    </row>
    <row r="37" spans="2:24" ht="15">
      <c r="B37" s="166" t="str">
        <f>B11</f>
        <v>Total Scope 2 GHG emissions (market-based)</v>
      </c>
      <c r="C37" s="167" t="s">
        <v>550</v>
      </c>
      <c r="D37" s="161" t="s">
        <v>675</v>
      </c>
      <c r="E37" s="246">
        <f>E11</f>
        <v>130386</v>
      </c>
      <c r="F37" s="168">
        <f>H11</f>
        <v>170248</v>
      </c>
      <c r="G37" s="168">
        <f>K11</f>
        <v>169111</v>
      </c>
      <c r="H37" s="168">
        <f>N11</f>
        <v>179749</v>
      </c>
      <c r="K37" s="128"/>
      <c r="M37" s="128" t="s">
        <v>1148</v>
      </c>
      <c r="N37" s="387">
        <f>E37/$E$40</f>
        <v>3.941613915552334E-2</v>
      </c>
      <c r="O37" s="107"/>
      <c r="P37" s="107"/>
      <c r="Q37" s="107"/>
      <c r="R37" s="107"/>
      <c r="S37" s="107"/>
      <c r="T37" s="107"/>
      <c r="U37" s="107"/>
      <c r="V37" s="107"/>
      <c r="W37" s="107"/>
      <c r="X37" s="107"/>
    </row>
    <row r="38" spans="2:24" ht="19.5" customHeight="1">
      <c r="B38" s="166" t="str">
        <f>"Scope 3 - "&amp;B18</f>
        <v>Scope 3 - Total Scope 3 (Category 1) Purchased goods and services GHG emissions</v>
      </c>
      <c r="C38" s="160" t="s">
        <v>707</v>
      </c>
      <c r="D38" s="161" t="s">
        <v>675</v>
      </c>
      <c r="E38" s="246">
        <f>E18</f>
        <v>2495475</v>
      </c>
      <c r="F38" s="168">
        <f>F18</f>
        <v>2978197</v>
      </c>
      <c r="G38" s="168">
        <f>G18</f>
        <v>2812518</v>
      </c>
      <c r="H38" s="168">
        <f>H18</f>
        <v>3433660</v>
      </c>
      <c r="K38" s="128"/>
      <c r="M38" s="128" t="s">
        <v>1149</v>
      </c>
      <c r="N38" s="387">
        <f>E38/$E$40</f>
        <v>0.75439073105340759</v>
      </c>
      <c r="O38" s="107"/>
      <c r="P38" s="107"/>
      <c r="Q38" s="107"/>
      <c r="R38" s="107"/>
      <c r="S38" s="107"/>
      <c r="T38" s="107"/>
      <c r="U38" s="107"/>
      <c r="V38" s="107"/>
      <c r="W38" s="107"/>
      <c r="X38" s="107"/>
    </row>
    <row r="39" spans="2:24" ht="15">
      <c r="B39" s="166" t="str">
        <f>"Scope 3 - All other categories"</f>
        <v>Scope 3 - All other categories</v>
      </c>
      <c r="C39" s="167" t="s">
        <v>708</v>
      </c>
      <c r="D39" s="161" t="s">
        <v>675</v>
      </c>
      <c r="E39" s="246">
        <f>E33-E18</f>
        <v>448773.33333333349</v>
      </c>
      <c r="F39" s="168">
        <f>F33-F18</f>
        <v>504898.48</v>
      </c>
      <c r="G39" s="168">
        <f>G33-G18</f>
        <v>523485.02</v>
      </c>
      <c r="H39" s="168">
        <f>H33-H18</f>
        <v>675599.02</v>
      </c>
      <c r="K39" s="128"/>
      <c r="M39" s="128" t="s">
        <v>1150</v>
      </c>
      <c r="N39" s="387">
        <f>E39/$E$40</f>
        <v>0.13566573217948807</v>
      </c>
      <c r="O39" s="107"/>
      <c r="P39" s="107"/>
      <c r="Q39" s="107"/>
      <c r="R39" s="107"/>
      <c r="S39" s="107"/>
      <c r="T39" s="107"/>
      <c r="U39" s="107"/>
      <c r="V39" s="107"/>
      <c r="W39" s="107"/>
      <c r="X39" s="107"/>
    </row>
    <row r="40" spans="2:24" ht="15">
      <c r="B40" s="238" t="s">
        <v>709</v>
      </c>
      <c r="C40" s="238"/>
      <c r="D40" s="163" t="s">
        <v>705</v>
      </c>
      <c r="E40" s="246">
        <f>SUM(E36:E39)</f>
        <v>3307934.3333333335</v>
      </c>
      <c r="F40" s="239">
        <f t="shared" ref="F40:H40" si="4">SUM(F36:F39)</f>
        <v>3893205.48</v>
      </c>
      <c r="G40" s="239">
        <f t="shared" si="4"/>
        <v>3745587.02</v>
      </c>
      <c r="H40" s="239">
        <f t="shared" si="4"/>
        <v>4527077.0199999996</v>
      </c>
      <c r="K40" s="128"/>
      <c r="M40" s="128"/>
      <c r="N40" s="387">
        <f>E40/$E$40</f>
        <v>1</v>
      </c>
      <c r="O40" s="107"/>
      <c r="P40" s="107"/>
      <c r="Q40" s="107"/>
      <c r="R40" s="107"/>
      <c r="S40" s="107"/>
      <c r="T40" s="107"/>
      <c r="U40" s="107"/>
      <c r="V40" s="107"/>
      <c r="W40" s="107"/>
      <c r="X40" s="107"/>
    </row>
    <row r="41" spans="2:24">
      <c r="B41" s="126"/>
      <c r="C41" s="125"/>
      <c r="D41" s="126"/>
      <c r="E41" s="126"/>
      <c r="F41" s="126"/>
      <c r="G41" s="127"/>
      <c r="H41" s="127"/>
      <c r="I41" s="127"/>
      <c r="J41" s="128"/>
      <c r="K41" s="128"/>
      <c r="L41" s="128"/>
      <c r="M41" s="107"/>
      <c r="N41" s="107">
        <f>7.1+3.9+75.4+13.6</f>
        <v>100</v>
      </c>
      <c r="O41" s="107"/>
      <c r="P41" s="107"/>
      <c r="Q41" s="107"/>
      <c r="R41" s="107"/>
      <c r="S41" s="107"/>
      <c r="T41" s="107"/>
      <c r="U41" s="107"/>
      <c r="V41" s="107"/>
      <c r="W41" s="107"/>
      <c r="X41" s="107"/>
    </row>
    <row r="42" spans="2:24" ht="17.399999999999999">
      <c r="B42" s="234" t="s">
        <v>889</v>
      </c>
      <c r="C42" s="165"/>
      <c r="D42" s="235" t="s">
        <v>544</v>
      </c>
      <c r="E42" s="480" t="str">
        <f>E35</f>
        <v>2022/23</v>
      </c>
      <c r="F42" s="274" t="str">
        <f>F35</f>
        <v>2021/22</v>
      </c>
      <c r="G42" s="274" t="str">
        <f>G35</f>
        <v>2020/21</v>
      </c>
      <c r="H42" s="274" t="str">
        <f>H35</f>
        <v>2019/20</v>
      </c>
      <c r="I42" s="127"/>
      <c r="J42" s="128"/>
      <c r="K42" s="128"/>
      <c r="L42" s="128"/>
      <c r="M42" s="107"/>
      <c r="N42" s="107"/>
      <c r="O42" s="107"/>
      <c r="P42" s="107"/>
      <c r="Q42" s="107"/>
      <c r="R42" s="107"/>
      <c r="S42" s="107"/>
      <c r="T42" s="107"/>
      <c r="U42" s="107"/>
      <c r="V42" s="107"/>
      <c r="W42" s="107"/>
      <c r="X42" s="107"/>
    </row>
    <row r="43" spans="2:24" ht="19.5" customHeight="1">
      <c r="B43" s="166" t="s">
        <v>890</v>
      </c>
      <c r="C43" s="167" t="s">
        <v>1151</v>
      </c>
      <c r="D43" s="161" t="s">
        <v>891</v>
      </c>
      <c r="E43" s="246">
        <v>108126</v>
      </c>
      <c r="F43" s="168">
        <v>109536</v>
      </c>
      <c r="G43" s="168">
        <v>106223</v>
      </c>
      <c r="H43" s="168">
        <v>113152</v>
      </c>
      <c r="I43" s="127"/>
      <c r="J43" s="128"/>
      <c r="K43" s="128"/>
      <c r="L43" s="128"/>
      <c r="M43" s="107"/>
      <c r="N43" s="107"/>
      <c r="O43" s="107"/>
      <c r="P43" s="107"/>
      <c r="Q43" s="107"/>
      <c r="R43" s="107"/>
      <c r="S43" s="107"/>
      <c r="T43" s="107"/>
      <c r="U43" s="107"/>
      <c r="V43" s="107"/>
      <c r="W43" s="107"/>
      <c r="X43" s="107"/>
    </row>
    <row r="44" spans="2:24">
      <c r="B44" s="126"/>
      <c r="C44" s="125"/>
      <c r="D44" s="126"/>
      <c r="E44" s="126"/>
      <c r="F44" s="126"/>
      <c r="G44" s="126"/>
      <c r="H44" s="126"/>
      <c r="I44" s="126"/>
      <c r="J44" s="128"/>
      <c r="K44" s="128"/>
      <c r="L44" s="128"/>
      <c r="M44" s="107"/>
      <c r="N44" s="107"/>
      <c r="O44" s="107"/>
      <c r="P44" s="107"/>
      <c r="Q44" s="107"/>
      <c r="R44" s="107"/>
      <c r="S44" s="107"/>
      <c r="T44" s="107"/>
      <c r="U44" s="107"/>
      <c r="V44" s="107"/>
      <c r="W44" s="107"/>
      <c r="X44" s="107"/>
    </row>
    <row r="45" spans="2:24" ht="24.6">
      <c r="B45" s="129" t="s">
        <v>710</v>
      </c>
      <c r="C45" s="113"/>
      <c r="D45" s="114"/>
      <c r="E45" s="114"/>
      <c r="F45" s="114"/>
      <c r="G45" s="1440"/>
      <c r="H45" s="1440"/>
      <c r="I45" s="1440"/>
      <c r="J45" s="115"/>
      <c r="K45" s="115"/>
      <c r="L45" s="130"/>
      <c r="M45" s="130"/>
      <c r="N45" s="130"/>
      <c r="O45" s="130"/>
    </row>
    <row r="46" spans="2:24">
      <c r="B46" s="131"/>
      <c r="C46" s="132"/>
      <c r="D46" s="133"/>
      <c r="E46" s="134"/>
      <c r="F46" s="133"/>
      <c r="G46" s="133"/>
      <c r="H46" s="133"/>
    </row>
    <row r="47" spans="2:24" ht="36">
      <c r="B47" s="249" t="s">
        <v>506</v>
      </c>
      <c r="C47" s="250" t="s">
        <v>842</v>
      </c>
      <c r="D47" s="235" t="s">
        <v>544</v>
      </c>
      <c r="E47" s="251" t="s">
        <v>546</v>
      </c>
      <c r="F47" s="275" t="s">
        <v>547</v>
      </c>
      <c r="G47" s="276" t="s">
        <v>548</v>
      </c>
      <c r="H47" s="276" t="s">
        <v>549</v>
      </c>
      <c r="I47" s="279" t="str">
        <f>I17</f>
        <v>Performance against prior year</v>
      </c>
      <c r="J47" s="279" t="str">
        <f>J17</f>
        <v>Performance against 2019/20 baseline</v>
      </c>
      <c r="K47" s="279" t="str">
        <f>K17</f>
        <v>Progress towards 2030 target</v>
      </c>
    </row>
    <row r="48" spans="2:24" ht="17.399999999999999">
      <c r="B48" s="192" t="s">
        <v>711</v>
      </c>
      <c r="C48" s="170"/>
      <c r="D48" s="169"/>
      <c r="E48" s="171"/>
      <c r="F48" s="171"/>
      <c r="G48" s="171"/>
      <c r="H48" s="171"/>
      <c r="I48" s="281"/>
      <c r="J48" s="281"/>
      <c r="K48" s="393"/>
    </row>
    <row r="49" spans="2:12" ht="15.6">
      <c r="B49" s="172" t="s">
        <v>712</v>
      </c>
      <c r="C49" s="173" t="s">
        <v>713</v>
      </c>
      <c r="D49" s="174" t="s">
        <v>714</v>
      </c>
      <c r="E49" s="247">
        <v>1705818</v>
      </c>
      <c r="F49" s="175">
        <v>1815379</v>
      </c>
      <c r="G49" s="176">
        <v>1698159</v>
      </c>
      <c r="H49" s="176">
        <v>1849211</v>
      </c>
      <c r="I49" s="281">
        <f t="shared" ref="I49:I54" si="5">(E49-F49)/F49</f>
        <v>-6.0351584985834913E-2</v>
      </c>
      <c r="J49" s="281">
        <f>(E49-H49)/H49</f>
        <v>-7.7542800686346766E-2</v>
      </c>
      <c r="K49" s="393"/>
      <c r="L49" s="135"/>
    </row>
    <row r="50" spans="2:12" ht="15.6">
      <c r="B50" s="172" t="s">
        <v>715</v>
      </c>
      <c r="C50" s="173" t="s">
        <v>716</v>
      </c>
      <c r="D50" s="174" t="s">
        <v>714</v>
      </c>
      <c r="E50" s="248">
        <v>0</v>
      </c>
      <c r="F50" s="177">
        <v>0</v>
      </c>
      <c r="G50" s="178">
        <v>0</v>
      </c>
      <c r="H50" s="178">
        <v>0</v>
      </c>
      <c r="I50" s="281"/>
      <c r="J50" s="281"/>
      <c r="K50" s="393"/>
    </row>
    <row r="51" spans="2:12" ht="27.6">
      <c r="B51" s="172" t="s">
        <v>717</v>
      </c>
      <c r="C51" s="173" t="s">
        <v>718</v>
      </c>
      <c r="D51" s="174" t="s">
        <v>714</v>
      </c>
      <c r="E51" s="248">
        <v>95060</v>
      </c>
      <c r="F51" s="177">
        <v>95150</v>
      </c>
      <c r="G51" s="179">
        <v>78886</v>
      </c>
      <c r="H51" s="179">
        <v>72326</v>
      </c>
      <c r="I51" s="281">
        <f t="shared" si="5"/>
        <v>-9.4587493431424064E-4</v>
      </c>
      <c r="J51" s="281">
        <f t="shared" ref="J51:J54" si="6">(E51-H51)/H51</f>
        <v>0.31432679810856401</v>
      </c>
      <c r="K51" s="393"/>
    </row>
    <row r="52" spans="2:12" ht="18" customHeight="1">
      <c r="B52" s="180" t="s">
        <v>581</v>
      </c>
      <c r="C52" s="181" t="s">
        <v>720</v>
      </c>
      <c r="D52" s="182" t="s">
        <v>721</v>
      </c>
      <c r="E52" s="171">
        <f>SUM(E49:E51)</f>
        <v>1800878</v>
      </c>
      <c r="F52" s="183">
        <f>SUM(F49:F51)</f>
        <v>1910529</v>
      </c>
      <c r="G52" s="183">
        <f>SUM(G49:G51)</f>
        <v>1777045</v>
      </c>
      <c r="H52" s="183">
        <f>SUM(H49:H51)</f>
        <v>1921537</v>
      </c>
      <c r="I52" s="281">
        <f t="shared" si="5"/>
        <v>-5.7393004764648953E-2</v>
      </c>
      <c r="J52" s="281">
        <f t="shared" si="6"/>
        <v>-6.2792962092325044E-2</v>
      </c>
      <c r="K52" s="393"/>
    </row>
    <row r="53" spans="2:12" ht="17.399999999999999">
      <c r="B53" s="192" t="s">
        <v>722</v>
      </c>
      <c r="C53" s="170"/>
      <c r="D53" s="169"/>
      <c r="E53" s="171"/>
      <c r="F53" s="171"/>
      <c r="G53" s="171"/>
      <c r="H53" s="171"/>
      <c r="I53" s="281"/>
      <c r="J53" s="281"/>
      <c r="K53" s="393"/>
    </row>
    <row r="54" spans="2:12" ht="41.4">
      <c r="B54" s="186" t="s">
        <v>866</v>
      </c>
      <c r="C54" s="173" t="s">
        <v>1152</v>
      </c>
      <c r="D54" s="182" t="s">
        <v>721</v>
      </c>
      <c r="E54" s="247">
        <v>48993</v>
      </c>
      <c r="F54" s="185">
        <v>77174</v>
      </c>
      <c r="G54" s="185">
        <v>65976</v>
      </c>
      <c r="H54" s="185">
        <v>72194</v>
      </c>
      <c r="I54" s="281">
        <f t="shared" si="5"/>
        <v>-0.36516184207116387</v>
      </c>
      <c r="J54" s="281">
        <f t="shared" si="6"/>
        <v>-0.32137019696927721</v>
      </c>
      <c r="K54" s="393"/>
    </row>
    <row r="55" spans="2:12" ht="17.399999999999999">
      <c r="B55" s="192" t="s">
        <v>725</v>
      </c>
      <c r="C55" s="170"/>
      <c r="D55" s="169"/>
      <c r="E55" s="171"/>
      <c r="F55" s="171"/>
      <c r="G55" s="171"/>
      <c r="H55" s="171"/>
      <c r="I55" s="281"/>
      <c r="J55" s="281"/>
      <c r="K55" s="393"/>
    </row>
    <row r="56" spans="2:12" ht="20.100000000000001" customHeight="1">
      <c r="B56" s="180" t="s">
        <v>584</v>
      </c>
      <c r="C56" s="186" t="s">
        <v>727</v>
      </c>
      <c r="D56" s="180" t="s">
        <v>728</v>
      </c>
      <c r="E56" s="247">
        <f>(E52-E54)/1000</f>
        <v>1751.885</v>
      </c>
      <c r="F56" s="184">
        <f>(F52-F54)/1000</f>
        <v>1833.355</v>
      </c>
      <c r="G56" s="184">
        <f>(G52-G54)/1000</f>
        <v>1711.069</v>
      </c>
      <c r="H56" s="184">
        <f>(H52-H54)/1000</f>
        <v>1849.3430000000001</v>
      </c>
      <c r="I56" s="281">
        <f>(E56-F56)/F56</f>
        <v>-4.4437656645876018E-2</v>
      </c>
      <c r="J56" s="281">
        <f>(E56-H56)/H56</f>
        <v>-5.2698715165331735E-2</v>
      </c>
      <c r="K56" s="281">
        <f>(E56-H56)/((1-0.25)*H56-H56)</f>
        <v>0.21079486066132694</v>
      </c>
    </row>
    <row r="57" spans="2:12">
      <c r="B57" s="136"/>
      <c r="C57" s="137"/>
      <c r="D57" s="136"/>
      <c r="E57" s="138"/>
      <c r="F57" s="138"/>
      <c r="G57" s="139"/>
      <c r="H57" s="139"/>
      <c r="J57" s="140"/>
      <c r="K57" s="140"/>
    </row>
    <row r="58" spans="2:12" ht="151.80000000000001">
      <c r="B58" s="410" t="s">
        <v>586</v>
      </c>
      <c r="C58" s="410" t="s">
        <v>729</v>
      </c>
      <c r="D58" s="411" t="s">
        <v>730</v>
      </c>
      <c r="E58" s="409">
        <f>399174/1000</f>
        <v>399.17399999999998</v>
      </c>
      <c r="F58" s="409">
        <f>421595/1000</f>
        <v>421.59500000000003</v>
      </c>
      <c r="G58" s="409">
        <f>406037/1000</f>
        <v>406.03699999999998</v>
      </c>
      <c r="H58" s="139"/>
      <c r="J58" s="140"/>
      <c r="K58" s="140"/>
    </row>
    <row r="59" spans="2:12">
      <c r="B59" s="136"/>
      <c r="C59" s="137"/>
      <c r="D59" s="136"/>
      <c r="E59" s="526"/>
      <c r="F59" s="138"/>
      <c r="G59" s="138"/>
      <c r="H59" s="138"/>
      <c r="J59" s="140"/>
      <c r="K59" s="140"/>
    </row>
    <row r="60" spans="2:12" ht="17.399999999999999">
      <c r="B60" s="192" t="s">
        <v>868</v>
      </c>
      <c r="C60" s="170"/>
      <c r="D60" s="169"/>
      <c r="E60" s="171"/>
      <c r="F60" s="187"/>
      <c r="G60" s="171"/>
      <c r="H60" s="171"/>
      <c r="I60" s="324"/>
      <c r="J60" s="325"/>
      <c r="K60" s="325"/>
    </row>
    <row r="61" spans="2:12" ht="55.2">
      <c r="B61" s="188" t="s">
        <v>732</v>
      </c>
      <c r="C61" s="189" t="s">
        <v>1153</v>
      </c>
      <c r="D61" s="190" t="s">
        <v>734</v>
      </c>
      <c r="E61" s="392">
        <v>1355851</v>
      </c>
      <c r="F61" s="211">
        <v>1399565</v>
      </c>
      <c r="G61" s="211">
        <v>1506288</v>
      </c>
      <c r="H61" s="211">
        <v>1394087</v>
      </c>
      <c r="I61" s="324"/>
      <c r="J61" s="325"/>
      <c r="K61" s="325"/>
    </row>
    <row r="62" spans="2:12" ht="69">
      <c r="B62" s="180" t="s">
        <v>587</v>
      </c>
      <c r="C62" s="186" t="s">
        <v>735</v>
      </c>
      <c r="D62" s="180" t="s">
        <v>588</v>
      </c>
      <c r="E62" s="169">
        <v>242</v>
      </c>
      <c r="F62" s="180">
        <v>220</v>
      </c>
      <c r="G62" s="180">
        <v>112</v>
      </c>
      <c r="H62" s="180">
        <v>104</v>
      </c>
      <c r="I62" s="324"/>
      <c r="J62" s="326"/>
      <c r="K62" s="326"/>
    </row>
    <row r="63" spans="2:12">
      <c r="B63" s="180" t="s">
        <v>589</v>
      </c>
      <c r="C63" s="186" t="s">
        <v>737</v>
      </c>
      <c r="D63" s="180" t="s">
        <v>574</v>
      </c>
      <c r="E63" s="268">
        <v>0.75</v>
      </c>
      <c r="F63" s="191">
        <v>0.78</v>
      </c>
      <c r="G63" s="191">
        <v>0.8</v>
      </c>
      <c r="H63" s="191">
        <v>0.7</v>
      </c>
      <c r="J63" s="141"/>
      <c r="K63" s="141"/>
    </row>
    <row r="64" spans="2:12">
      <c r="B64" s="142"/>
      <c r="C64" s="143"/>
      <c r="D64" s="144"/>
      <c r="E64" s="144"/>
      <c r="F64" s="145"/>
      <c r="G64" s="145"/>
      <c r="H64" s="145"/>
      <c r="J64" s="141"/>
      <c r="K64" s="141"/>
    </row>
    <row r="65" spans="2:17" ht="36">
      <c r="B65" s="249" t="s">
        <v>196</v>
      </c>
      <c r="C65" s="250" t="s">
        <v>842</v>
      </c>
      <c r="D65" s="235" t="s">
        <v>544</v>
      </c>
      <c r="E65" s="251" t="s">
        <v>546</v>
      </c>
      <c r="F65" s="275" t="s">
        <v>547</v>
      </c>
      <c r="G65" s="276" t="s">
        <v>548</v>
      </c>
      <c r="H65" s="276" t="s">
        <v>549</v>
      </c>
      <c r="I65" s="279" t="str">
        <f>I47</f>
        <v>Performance against prior year</v>
      </c>
      <c r="J65" s="279" t="str">
        <f>J47</f>
        <v>Performance against 2019/20 baseline</v>
      </c>
      <c r="K65" s="279" t="str">
        <f>K47</f>
        <v>Progress towards 2030 target</v>
      </c>
    </row>
    <row r="66" spans="2:17" ht="17.399999999999999">
      <c r="B66" s="252" t="s">
        <v>738</v>
      </c>
      <c r="C66" s="254"/>
      <c r="D66" s="229"/>
      <c r="E66" s="247"/>
      <c r="F66" s="247"/>
      <c r="G66" s="247"/>
      <c r="H66" s="247"/>
      <c r="I66" s="282"/>
      <c r="J66" s="283"/>
      <c r="K66" s="283"/>
    </row>
    <row r="67" spans="2:17" ht="27.6">
      <c r="B67" s="173" t="s">
        <v>739</v>
      </c>
      <c r="C67" s="193" t="s">
        <v>740</v>
      </c>
      <c r="D67" s="194" t="s">
        <v>591</v>
      </c>
      <c r="E67" s="208">
        <v>38519.699999999997</v>
      </c>
      <c r="F67" s="195">
        <v>45151.199999999997</v>
      </c>
      <c r="G67" s="195">
        <v>41025</v>
      </c>
      <c r="H67" s="196">
        <v>40016.699999999997</v>
      </c>
      <c r="I67" s="281">
        <f>(E67-F67)/F67</f>
        <v>-0.1468731728060384</v>
      </c>
      <c r="J67" s="281">
        <f>(E67-H67)/H67</f>
        <v>-3.7409381583189023E-2</v>
      </c>
      <c r="K67" s="281"/>
    </row>
    <row r="68" spans="2:17" ht="27.6">
      <c r="B68" s="166" t="s">
        <v>741</v>
      </c>
      <c r="C68" s="193" t="s">
        <v>742</v>
      </c>
      <c r="D68" s="194" t="s">
        <v>591</v>
      </c>
      <c r="E68" s="208">
        <v>3340</v>
      </c>
      <c r="F68" s="197">
        <v>2639.7</v>
      </c>
      <c r="G68" s="197">
        <v>2622.3</v>
      </c>
      <c r="H68" s="196">
        <v>2469</v>
      </c>
      <c r="I68" s="281">
        <f t="shared" ref="I68:I72" si="7">(E68-F68)/F68</f>
        <v>0.26529529870818663</v>
      </c>
      <c r="J68" s="281">
        <f t="shared" ref="J68:J71" si="8">(E68-H68)/H68</f>
        <v>0.35277440259214254</v>
      </c>
      <c r="K68" s="393"/>
    </row>
    <row r="69" spans="2:17" ht="27.6">
      <c r="B69" s="166" t="s">
        <v>743</v>
      </c>
      <c r="C69" s="193" t="s">
        <v>744</v>
      </c>
      <c r="D69" s="194" t="s">
        <v>591</v>
      </c>
      <c r="E69" s="208">
        <v>7058.7</v>
      </c>
      <c r="F69" s="197">
        <v>8560.2999999999993</v>
      </c>
      <c r="G69" s="197">
        <v>7013</v>
      </c>
      <c r="H69" s="196">
        <v>7815</v>
      </c>
      <c r="I69" s="281">
        <f t="shared" si="7"/>
        <v>-0.1754144130462717</v>
      </c>
      <c r="J69" s="281">
        <f t="shared" si="8"/>
        <v>-9.6775431861804248E-2</v>
      </c>
      <c r="K69" s="393"/>
    </row>
    <row r="70" spans="2:17" ht="27.6">
      <c r="B70" s="166" t="s">
        <v>745</v>
      </c>
      <c r="C70" s="193" t="s">
        <v>746</v>
      </c>
      <c r="D70" s="194" t="s">
        <v>591</v>
      </c>
      <c r="E70" s="208">
        <v>13967</v>
      </c>
      <c r="F70" s="197">
        <v>15289.7</v>
      </c>
      <c r="G70" s="197">
        <v>11538</v>
      </c>
      <c r="H70" s="196">
        <v>13630</v>
      </c>
      <c r="I70" s="281">
        <f t="shared" si="7"/>
        <v>-8.6509218624302678E-2</v>
      </c>
      <c r="J70" s="281">
        <f t="shared" si="8"/>
        <v>2.4724871606749816E-2</v>
      </c>
      <c r="K70" s="393"/>
    </row>
    <row r="71" spans="2:17" ht="41.4">
      <c r="B71" s="198" t="s">
        <v>600</v>
      </c>
      <c r="C71" s="163" t="s">
        <v>1154</v>
      </c>
      <c r="D71" s="199" t="s">
        <v>591</v>
      </c>
      <c r="E71" s="211">
        <f>E67+E68</f>
        <v>41859.699999999997</v>
      </c>
      <c r="F71" s="200">
        <f t="shared" ref="F71:H71" si="9">F67+F68</f>
        <v>47790.899999999994</v>
      </c>
      <c r="G71" s="200">
        <f t="shared" si="9"/>
        <v>43647.3</v>
      </c>
      <c r="H71" s="184">
        <f t="shared" si="9"/>
        <v>42485.7</v>
      </c>
      <c r="I71" s="281">
        <f t="shared" si="7"/>
        <v>-0.12410730913207321</v>
      </c>
      <c r="J71" s="281">
        <f t="shared" si="8"/>
        <v>-1.4734369446660877E-2</v>
      </c>
      <c r="K71" s="281">
        <f>(E71-H71)/((1-0.5)*H71-H71)</f>
        <v>2.9468738893321755E-2</v>
      </c>
    </row>
    <row r="72" spans="2:17" ht="41.4">
      <c r="B72" s="198" t="s">
        <v>595</v>
      </c>
      <c r="C72" s="201" t="s">
        <v>748</v>
      </c>
      <c r="D72" s="199" t="s">
        <v>591</v>
      </c>
      <c r="E72" s="211">
        <f>SUM(E67:E70)</f>
        <v>62885.399999999994</v>
      </c>
      <c r="F72" s="176">
        <f>SUM(F67:F70)</f>
        <v>71640.899999999994</v>
      </c>
      <c r="G72" s="176">
        <f>SUM(G67:G70)</f>
        <v>62198.3</v>
      </c>
      <c r="H72" s="176">
        <f>SUM(H67:H70)</f>
        <v>63930.7</v>
      </c>
      <c r="I72" s="281">
        <f t="shared" si="7"/>
        <v>-0.12221370753298745</v>
      </c>
      <c r="J72" s="281">
        <f>(E72-H72)/H72</f>
        <v>-1.6350517044237008E-2</v>
      </c>
      <c r="K72" s="393"/>
    </row>
    <row r="73" spans="2:17" ht="17.399999999999999">
      <c r="B73" s="252" t="s">
        <v>749</v>
      </c>
      <c r="C73" s="230"/>
      <c r="D73" s="229"/>
      <c r="E73" s="247">
        <f>38520+3340+7059+13967</f>
        <v>62886</v>
      </c>
      <c r="F73" s="247"/>
      <c r="G73" s="247"/>
      <c r="H73" s="247"/>
    </row>
    <row r="74" spans="2:17" ht="41.4">
      <c r="B74" s="193" t="s">
        <v>750</v>
      </c>
      <c r="C74" s="193" t="s">
        <v>751</v>
      </c>
      <c r="D74" s="194" t="s">
        <v>591</v>
      </c>
      <c r="E74" s="269">
        <v>848</v>
      </c>
      <c r="F74" s="196">
        <v>1744</v>
      </c>
      <c r="G74" s="196">
        <v>885</v>
      </c>
      <c r="H74" s="196">
        <v>1497.1</v>
      </c>
      <c r="M74" s="388" t="s">
        <v>1155</v>
      </c>
      <c r="N74" s="388"/>
      <c r="O74" s="388"/>
      <c r="P74" s="388"/>
      <c r="Q74" s="388"/>
    </row>
    <row r="75" spans="2:17" ht="27.6">
      <c r="B75" s="193" t="s">
        <v>752</v>
      </c>
      <c r="C75" s="193" t="s">
        <v>753</v>
      </c>
      <c r="D75" s="194" t="s">
        <v>591</v>
      </c>
      <c r="E75" s="269">
        <v>3871</v>
      </c>
      <c r="F75" s="196">
        <v>6885</v>
      </c>
      <c r="G75" s="196">
        <v>5365</v>
      </c>
      <c r="H75" s="196">
        <v>4991.7</v>
      </c>
      <c r="J75" s="323"/>
      <c r="M75" s="388"/>
      <c r="N75" s="389" t="s">
        <v>546</v>
      </c>
      <c r="O75" s="390" t="s">
        <v>547</v>
      </c>
      <c r="P75" s="389" t="s">
        <v>548</v>
      </c>
      <c r="Q75" s="389" t="s">
        <v>549</v>
      </c>
    </row>
    <row r="76" spans="2:17" ht="27.6">
      <c r="B76" s="193" t="s">
        <v>754</v>
      </c>
      <c r="C76" s="193" t="s">
        <v>755</v>
      </c>
      <c r="D76" s="194" t="s">
        <v>591</v>
      </c>
      <c r="E76" s="269">
        <v>2038</v>
      </c>
      <c r="F76" s="196">
        <v>2785</v>
      </c>
      <c r="G76" s="196">
        <v>1549</v>
      </c>
      <c r="H76" s="196">
        <v>1444.1</v>
      </c>
      <c r="M76" s="388" t="s">
        <v>1156</v>
      </c>
      <c r="N76" s="391">
        <f>E85+E86</f>
        <v>1057</v>
      </c>
      <c r="O76" s="391">
        <f>F85+F86</f>
        <v>1020</v>
      </c>
      <c r="P76" s="391">
        <f>G85+G86</f>
        <v>1031</v>
      </c>
      <c r="Q76" s="391">
        <f>H85+H86</f>
        <v>720</v>
      </c>
    </row>
    <row r="77" spans="2:17" ht="15.6">
      <c r="B77" s="201" t="s">
        <v>1157</v>
      </c>
      <c r="C77" s="201" t="s">
        <v>757</v>
      </c>
      <c r="D77" s="199" t="s">
        <v>591</v>
      </c>
      <c r="E77" s="247">
        <f>E74+E75+E76</f>
        <v>6757</v>
      </c>
      <c r="F77" s="184">
        <f>F74+F75+F76</f>
        <v>11414</v>
      </c>
      <c r="G77" s="184">
        <f>G74+G75+G76</f>
        <v>7799</v>
      </c>
      <c r="H77" s="184">
        <f>H74+H75+H76</f>
        <v>7932.9</v>
      </c>
      <c r="M77" s="388" t="s">
        <v>1158</v>
      </c>
      <c r="N77" s="391">
        <f>E87+E88</f>
        <v>36873</v>
      </c>
      <c r="O77" s="391">
        <f>F87+F88</f>
        <v>38277</v>
      </c>
      <c r="P77" s="391">
        <f>G87+G88</f>
        <v>23390</v>
      </c>
      <c r="Q77" s="391">
        <f>H87+H88</f>
        <v>19452</v>
      </c>
    </row>
    <row r="78" spans="2:17" ht="41.4">
      <c r="B78" s="193" t="s">
        <v>758</v>
      </c>
      <c r="C78" s="193" t="s">
        <v>759</v>
      </c>
      <c r="D78" s="194" t="s">
        <v>591</v>
      </c>
      <c r="E78" s="269">
        <v>227</v>
      </c>
      <c r="F78" s="196">
        <v>297.2</v>
      </c>
      <c r="G78" s="196">
        <v>137.80000000000001</v>
      </c>
      <c r="H78" s="196">
        <v>200.4</v>
      </c>
      <c r="M78" s="388" t="s">
        <v>1159</v>
      </c>
      <c r="N78" s="391">
        <f t="shared" ref="N78:Q79" si="10">E74+E78</f>
        <v>1075</v>
      </c>
      <c r="O78" s="391">
        <f t="shared" si="10"/>
        <v>2041.2</v>
      </c>
      <c r="P78" s="391">
        <f t="shared" si="10"/>
        <v>1022.8</v>
      </c>
      <c r="Q78" s="391">
        <f t="shared" si="10"/>
        <v>1697.5</v>
      </c>
    </row>
    <row r="79" spans="2:17" ht="27.6">
      <c r="B79" s="193" t="s">
        <v>875</v>
      </c>
      <c r="C79" s="193" t="s">
        <v>761</v>
      </c>
      <c r="D79" s="194" t="s">
        <v>591</v>
      </c>
      <c r="E79" s="269">
        <v>15662</v>
      </c>
      <c r="F79" s="196">
        <v>19276.2</v>
      </c>
      <c r="G79" s="196">
        <v>28214.400000000001</v>
      </c>
      <c r="H79" s="196">
        <v>33984.199999999997</v>
      </c>
      <c r="M79" s="388" t="s">
        <v>1160</v>
      </c>
      <c r="N79" s="391">
        <f t="shared" si="10"/>
        <v>19533</v>
      </c>
      <c r="O79" s="391">
        <f t="shared" si="10"/>
        <v>26161.200000000001</v>
      </c>
      <c r="P79" s="391">
        <f t="shared" si="10"/>
        <v>33579.4</v>
      </c>
      <c r="Q79" s="391">
        <f t="shared" si="10"/>
        <v>38975.899999999994</v>
      </c>
    </row>
    <row r="80" spans="2:17" ht="27.6">
      <c r="B80" s="193" t="s">
        <v>762</v>
      </c>
      <c r="C80" s="193" t="s">
        <v>763</v>
      </c>
      <c r="D80" s="194" t="s">
        <v>591</v>
      </c>
      <c r="E80" s="269">
        <v>2309</v>
      </c>
      <c r="F80" s="196">
        <v>1356.9</v>
      </c>
      <c r="G80" s="196">
        <v>1625.8</v>
      </c>
      <c r="H80" s="196">
        <v>1641.7</v>
      </c>
      <c r="M80" s="388" t="s">
        <v>1161</v>
      </c>
      <c r="N80" s="391">
        <f>E83</f>
        <v>4347</v>
      </c>
      <c r="O80" s="391">
        <f>F83</f>
        <v>4141.8999999999996</v>
      </c>
      <c r="P80" s="391">
        <f>G83</f>
        <v>3174.8</v>
      </c>
      <c r="Q80" s="391">
        <f>H83</f>
        <v>3085.8</v>
      </c>
    </row>
    <row r="81" spans="2:17">
      <c r="B81" s="201" t="s">
        <v>764</v>
      </c>
      <c r="C81" s="201" t="s">
        <v>765</v>
      </c>
      <c r="D81" s="199" t="s">
        <v>591</v>
      </c>
      <c r="E81" s="247">
        <f>E78+E79+E80</f>
        <v>18198</v>
      </c>
      <c r="F81" s="184">
        <f>F78+F79+F80</f>
        <v>20930.300000000003</v>
      </c>
      <c r="G81" s="184">
        <f>G78+G79+G80</f>
        <v>29978</v>
      </c>
      <c r="H81" s="184">
        <f>H78+H79+H80</f>
        <v>35826.299999999996</v>
      </c>
      <c r="M81" s="388" t="s">
        <v>1162</v>
      </c>
      <c r="N81" s="391">
        <f>E72</f>
        <v>62885.399999999994</v>
      </c>
      <c r="O81" s="391">
        <f>F72</f>
        <v>71640.899999999994</v>
      </c>
      <c r="P81" s="391">
        <f>G72</f>
        <v>62198.3</v>
      </c>
      <c r="Q81" s="391">
        <f>H72</f>
        <v>63930.7</v>
      </c>
    </row>
    <row r="82" spans="2:17" ht="30" customHeight="1">
      <c r="B82" s="201" t="s">
        <v>766</v>
      </c>
      <c r="C82" s="201" t="s">
        <v>767</v>
      </c>
      <c r="D82" s="199" t="s">
        <v>591</v>
      </c>
      <c r="E82" s="247">
        <f>E81+E77</f>
        <v>24955</v>
      </c>
      <c r="F82" s="184">
        <f>F81+F77</f>
        <v>32344.300000000003</v>
      </c>
      <c r="G82" s="184">
        <f>G81+G77</f>
        <v>37777</v>
      </c>
      <c r="H82" s="184">
        <f>H81+H77</f>
        <v>43759.199999999997</v>
      </c>
    </row>
    <row r="83" spans="2:17" ht="15.9" customHeight="1">
      <c r="B83" s="201" t="s">
        <v>876</v>
      </c>
      <c r="C83" s="201" t="s">
        <v>769</v>
      </c>
      <c r="D83" s="199" t="s">
        <v>591</v>
      </c>
      <c r="E83" s="247">
        <f>E80+E76</f>
        <v>4347</v>
      </c>
      <c r="F83" s="184">
        <f>F80+F76</f>
        <v>4141.8999999999996</v>
      </c>
      <c r="G83" s="184">
        <f>G80+G76</f>
        <v>3174.8</v>
      </c>
      <c r="H83" s="184">
        <f>H80+H76</f>
        <v>3085.8</v>
      </c>
      <c r="L83" s="135"/>
      <c r="M83" s="135"/>
      <c r="N83" s="135"/>
      <c r="O83" s="135"/>
    </row>
    <row r="84" spans="2:17" ht="17.399999999999999">
      <c r="B84" s="252" t="s">
        <v>770</v>
      </c>
      <c r="C84" s="230"/>
      <c r="D84" s="229"/>
      <c r="E84" s="247"/>
      <c r="F84" s="247"/>
      <c r="G84" s="247"/>
      <c r="H84" s="247"/>
    </row>
    <row r="85" spans="2:17" ht="55.2">
      <c r="B85" s="202" t="s">
        <v>877</v>
      </c>
      <c r="C85" s="161" t="s">
        <v>772</v>
      </c>
      <c r="D85" s="194" t="s">
        <v>591</v>
      </c>
      <c r="E85" s="270">
        <v>137</v>
      </c>
      <c r="F85" s="203">
        <v>127</v>
      </c>
      <c r="G85" s="203">
        <v>106</v>
      </c>
      <c r="H85" s="203">
        <v>127</v>
      </c>
    </row>
    <row r="86" spans="2:17" ht="55.2">
      <c r="B86" s="202" t="s">
        <v>878</v>
      </c>
      <c r="C86" s="161" t="s">
        <v>774</v>
      </c>
      <c r="D86" s="194" t="s">
        <v>591</v>
      </c>
      <c r="E86" s="270">
        <v>920</v>
      </c>
      <c r="F86" s="203">
        <v>893</v>
      </c>
      <c r="G86" s="203">
        <v>925</v>
      </c>
      <c r="H86" s="203">
        <v>593</v>
      </c>
    </row>
    <row r="87" spans="2:17" ht="41.4">
      <c r="B87" s="202" t="s">
        <v>775</v>
      </c>
      <c r="C87" s="161" t="s">
        <v>776</v>
      </c>
      <c r="D87" s="194" t="s">
        <v>591</v>
      </c>
      <c r="E87" s="270">
        <v>14130</v>
      </c>
      <c r="F87" s="203">
        <v>12309</v>
      </c>
      <c r="G87" s="196">
        <v>10646</v>
      </c>
      <c r="H87" s="196">
        <v>13385</v>
      </c>
    </row>
    <row r="88" spans="2:17" ht="41.4">
      <c r="B88" s="202" t="s">
        <v>777</v>
      </c>
      <c r="C88" s="161" t="s">
        <v>778</v>
      </c>
      <c r="D88" s="194" t="s">
        <v>591</v>
      </c>
      <c r="E88" s="270">
        <v>22743</v>
      </c>
      <c r="F88" s="203">
        <v>25968</v>
      </c>
      <c r="G88" s="203">
        <v>12744</v>
      </c>
      <c r="H88" s="203">
        <v>6067</v>
      </c>
    </row>
    <row r="89" spans="2:17" ht="55.2">
      <c r="B89" s="198" t="s">
        <v>779</v>
      </c>
      <c r="C89" s="201" t="s">
        <v>1163</v>
      </c>
      <c r="D89" s="199" t="s">
        <v>591</v>
      </c>
      <c r="E89" s="247">
        <f>E85+E86+E87+E88</f>
        <v>37930</v>
      </c>
      <c r="F89" s="184">
        <f>F85+F86+F87+F88</f>
        <v>39297</v>
      </c>
      <c r="G89" s="184">
        <f t="shared" ref="G89:H89" si="11">G85+G86+G87+G88</f>
        <v>24421</v>
      </c>
      <c r="H89" s="184">
        <f t="shared" si="11"/>
        <v>20172</v>
      </c>
      <c r="I89" s="135"/>
      <c r="J89" s="135"/>
      <c r="K89" s="96"/>
    </row>
    <row r="90" spans="2:17">
      <c r="B90" s="202" t="s">
        <v>879</v>
      </c>
      <c r="C90" s="193" t="s">
        <v>782</v>
      </c>
      <c r="D90" s="194" t="s">
        <v>574</v>
      </c>
      <c r="E90" s="271">
        <f>E85/E72</f>
        <v>2.1785660900622405E-3</v>
      </c>
      <c r="F90" s="204">
        <f>F85/F72</f>
        <v>1.7727303816674554E-3</v>
      </c>
      <c r="G90" s="204">
        <f>G85/G72</f>
        <v>1.7042266428503672E-3</v>
      </c>
      <c r="H90" s="204">
        <f>H85/H72</f>
        <v>1.9865260352225143E-3</v>
      </c>
      <c r="I90" s="141"/>
      <c r="J90" s="141"/>
      <c r="K90" s="96"/>
    </row>
    <row r="91" spans="2:17">
      <c r="B91" s="174" t="s">
        <v>880</v>
      </c>
      <c r="C91" s="193" t="s">
        <v>782</v>
      </c>
      <c r="D91" s="205" t="s">
        <v>574</v>
      </c>
      <c r="E91" s="271">
        <f>E86/E72</f>
        <v>1.4629786882169789E-2</v>
      </c>
      <c r="F91" s="204">
        <f>F86/F72</f>
        <v>1.2464946699441242E-2</v>
      </c>
      <c r="G91" s="204">
        <f>G86/G72</f>
        <v>1.4871789100345185E-2</v>
      </c>
      <c r="H91" s="204">
        <f>H86/H72</f>
        <v>9.2756688101334733E-3</v>
      </c>
    </row>
    <row r="92" spans="2:17">
      <c r="B92" s="174" t="s">
        <v>881</v>
      </c>
      <c r="C92" s="193" t="s">
        <v>782</v>
      </c>
      <c r="D92" s="205" t="s">
        <v>574</v>
      </c>
      <c r="E92" s="271">
        <f>E89/E72</f>
        <v>0.60316067004423923</v>
      </c>
      <c r="F92" s="204">
        <f>F89/F72</f>
        <v>0.54852744731012593</v>
      </c>
      <c r="G92" s="204">
        <f>G89/G72</f>
        <v>0.39263130985895112</v>
      </c>
      <c r="H92" s="204">
        <f>H89/H72</f>
        <v>0.31552915891739025</v>
      </c>
    </row>
    <row r="93" spans="2:17" ht="17.399999999999999">
      <c r="B93" s="252" t="s">
        <v>785</v>
      </c>
      <c r="C93" s="230"/>
      <c r="D93" s="229"/>
      <c r="E93" s="247"/>
      <c r="F93" s="247"/>
      <c r="G93" s="247"/>
      <c r="H93" s="247"/>
    </row>
    <row r="94" spans="2:17" ht="14.1" customHeight="1">
      <c r="B94" s="221" t="s">
        <v>602</v>
      </c>
      <c r="C94" s="207" t="s">
        <v>787</v>
      </c>
      <c r="D94" s="194" t="s">
        <v>591</v>
      </c>
      <c r="E94" s="269">
        <f>E68+E70</f>
        <v>17307</v>
      </c>
      <c r="F94" s="208">
        <f>F68+F70</f>
        <v>17929.400000000001</v>
      </c>
      <c r="G94" s="208">
        <f>G68+G70</f>
        <v>14160.3</v>
      </c>
      <c r="H94" s="208">
        <f>H68+H70</f>
        <v>16099</v>
      </c>
    </row>
    <row r="95" spans="2:17">
      <c r="B95" s="221" t="s">
        <v>882</v>
      </c>
      <c r="C95" s="193" t="s">
        <v>789</v>
      </c>
      <c r="D95" s="194" t="s">
        <v>591</v>
      </c>
      <c r="E95" s="272">
        <v>500</v>
      </c>
      <c r="F95" s="209">
        <v>531</v>
      </c>
      <c r="G95" s="209">
        <v>421</v>
      </c>
      <c r="H95" s="209">
        <v>221</v>
      </c>
    </row>
    <row r="96" spans="2:17">
      <c r="B96" s="221" t="s">
        <v>883</v>
      </c>
      <c r="C96" s="193" t="s">
        <v>791</v>
      </c>
      <c r="D96" s="194" t="s">
        <v>591</v>
      </c>
      <c r="E96" s="272">
        <v>12438</v>
      </c>
      <c r="F96" s="209">
        <v>11970</v>
      </c>
      <c r="G96" s="213">
        <v>10278</v>
      </c>
      <c r="H96" s="213">
        <v>11791</v>
      </c>
    </row>
    <row r="97" spans="2:24">
      <c r="B97" s="190" t="s">
        <v>601</v>
      </c>
      <c r="C97" s="193" t="s">
        <v>793</v>
      </c>
      <c r="D97" s="194" t="s">
        <v>591</v>
      </c>
      <c r="E97" s="247">
        <f>E94-E95-E96</f>
        <v>4369</v>
      </c>
      <c r="F97" s="211">
        <f t="shared" ref="F97:H97" si="12">F94-F95-F96</f>
        <v>5428.4000000000015</v>
      </c>
      <c r="G97" s="211">
        <f t="shared" si="12"/>
        <v>3461.2999999999993</v>
      </c>
      <c r="H97" s="211">
        <f t="shared" si="12"/>
        <v>4087</v>
      </c>
    </row>
    <row r="98" spans="2:24">
      <c r="B98" s="528"/>
      <c r="C98" s="146"/>
      <c r="D98" s="147"/>
      <c r="E98" s="148"/>
      <c r="F98" s="148"/>
      <c r="G98" s="148"/>
      <c r="H98" s="148"/>
    </row>
    <row r="99" spans="2:24" ht="19.8">
      <c r="B99" s="249" t="s">
        <v>794</v>
      </c>
      <c r="C99" s="250" t="s">
        <v>842</v>
      </c>
      <c r="D99" s="266" t="s">
        <v>544</v>
      </c>
      <c r="E99" s="251" t="s">
        <v>546</v>
      </c>
      <c r="F99" s="275" t="s">
        <v>547</v>
      </c>
      <c r="G99" s="276" t="s">
        <v>548</v>
      </c>
      <c r="H99" s="276" t="s">
        <v>549</v>
      </c>
    </row>
    <row r="100" spans="2:24" ht="43.8">
      <c r="B100" s="194" t="s">
        <v>795</v>
      </c>
      <c r="C100" s="167" t="s">
        <v>796</v>
      </c>
      <c r="D100" s="194" t="s">
        <v>591</v>
      </c>
      <c r="E100" s="267">
        <v>336</v>
      </c>
      <c r="F100" s="212">
        <v>358</v>
      </c>
      <c r="G100" s="212">
        <v>338</v>
      </c>
      <c r="H100" s="212">
        <v>320</v>
      </c>
    </row>
    <row r="101" spans="2:24" ht="45">
      <c r="B101" s="194" t="s">
        <v>797</v>
      </c>
      <c r="C101" s="167" t="s">
        <v>798</v>
      </c>
      <c r="D101" s="194" t="s">
        <v>591</v>
      </c>
      <c r="E101" s="267">
        <v>31</v>
      </c>
      <c r="F101" s="212">
        <v>73</v>
      </c>
      <c r="G101" s="212">
        <v>42</v>
      </c>
      <c r="H101" s="212">
        <v>16</v>
      </c>
    </row>
    <row r="102" spans="2:24" ht="55.2">
      <c r="B102" s="194" t="s">
        <v>607</v>
      </c>
      <c r="C102" s="167" t="s">
        <v>799</v>
      </c>
      <c r="D102" s="194" t="s">
        <v>591</v>
      </c>
      <c r="E102" s="267">
        <v>42</v>
      </c>
      <c r="F102" s="212">
        <v>50</v>
      </c>
      <c r="G102" s="212">
        <v>39</v>
      </c>
      <c r="H102" s="212">
        <v>47</v>
      </c>
    </row>
    <row r="103" spans="2:24" ht="15">
      <c r="B103" s="194" t="s">
        <v>800</v>
      </c>
      <c r="C103" s="167" t="s">
        <v>801</v>
      </c>
      <c r="D103" s="194" t="s">
        <v>574</v>
      </c>
      <c r="E103" s="268">
        <v>0.86</v>
      </c>
      <c r="F103" s="394">
        <v>0.85</v>
      </c>
      <c r="G103" s="395">
        <v>0.85</v>
      </c>
      <c r="H103" s="395">
        <v>0.82</v>
      </c>
    </row>
    <row r="104" spans="2:24" ht="15">
      <c r="B104" s="194" t="s">
        <v>802</v>
      </c>
      <c r="C104" s="167" t="s">
        <v>803</v>
      </c>
      <c r="D104" s="194" t="s">
        <v>574</v>
      </c>
      <c r="E104" s="268">
        <v>0.36</v>
      </c>
      <c r="F104" s="394">
        <v>0.34</v>
      </c>
      <c r="G104" s="395">
        <v>0.36</v>
      </c>
      <c r="H104" s="395">
        <v>0.32</v>
      </c>
    </row>
    <row r="105" spans="2:24">
      <c r="B105" s="194" t="s">
        <v>610</v>
      </c>
      <c r="C105" s="167" t="s">
        <v>804</v>
      </c>
      <c r="D105" s="194" t="s">
        <v>574</v>
      </c>
      <c r="E105" s="268">
        <v>0.56999999999999995</v>
      </c>
      <c r="F105" s="394">
        <v>0.56000000000000005</v>
      </c>
      <c r="G105" s="395">
        <v>0.54</v>
      </c>
      <c r="H105" s="395">
        <v>0.53</v>
      </c>
    </row>
    <row r="106" spans="2:24">
      <c r="B106" s="126"/>
      <c r="C106" s="149"/>
      <c r="D106" s="65"/>
      <c r="E106" s="150"/>
      <c r="F106" s="151"/>
      <c r="G106" s="151"/>
      <c r="H106" s="65"/>
    </row>
    <row r="107" spans="2:24" ht="24.6">
      <c r="B107" s="129" t="s">
        <v>805</v>
      </c>
      <c r="C107" s="113"/>
      <c r="D107" s="114"/>
      <c r="E107" s="114"/>
      <c r="F107" s="114"/>
      <c r="G107" s="1440"/>
      <c r="H107" s="1440"/>
      <c r="I107" s="1440"/>
      <c r="J107" s="1440"/>
      <c r="K107" s="1440"/>
      <c r="L107" s="1440"/>
      <c r="M107" s="1440"/>
      <c r="N107" s="1440"/>
      <c r="O107" s="1440"/>
    </row>
    <row r="108" spans="2:24">
      <c r="B108" s="126"/>
      <c r="C108" s="125"/>
      <c r="D108" s="126"/>
      <c r="E108" s="126"/>
      <c r="F108" s="126"/>
      <c r="G108" s="127"/>
      <c r="H108" s="127"/>
      <c r="I108" s="127"/>
      <c r="J108" s="128"/>
      <c r="K108" s="128"/>
      <c r="L108" s="128"/>
      <c r="M108" s="107"/>
      <c r="N108" s="107"/>
      <c r="O108" s="107"/>
      <c r="P108" s="107"/>
      <c r="Q108" s="107"/>
      <c r="R108" s="107"/>
      <c r="S108" s="107"/>
      <c r="T108" s="107"/>
      <c r="U108" s="107"/>
      <c r="V108" s="107"/>
      <c r="W108" s="107"/>
      <c r="X108" s="107"/>
    </row>
    <row r="109" spans="2:24" ht="24">
      <c r="B109" s="255" t="s">
        <v>560</v>
      </c>
      <c r="C109" s="253" t="s">
        <v>842</v>
      </c>
      <c r="D109" s="266" t="s">
        <v>544</v>
      </c>
      <c r="E109" s="1505" t="s">
        <v>546</v>
      </c>
      <c r="F109" s="1505"/>
      <c r="G109" s="1505"/>
      <c r="H109" s="1437" t="s">
        <v>547</v>
      </c>
      <c r="I109" s="1437"/>
      <c r="J109" s="1437"/>
      <c r="K109" s="1437" t="s">
        <v>548</v>
      </c>
      <c r="L109" s="1437"/>
      <c r="M109" s="1437"/>
      <c r="N109" s="257" t="s">
        <v>549</v>
      </c>
      <c r="O109" s="279" t="str">
        <f>I65</f>
        <v>Performance against prior year</v>
      </c>
      <c r="P109" s="107"/>
      <c r="T109" s="107"/>
      <c r="U109" s="107"/>
      <c r="V109" s="107"/>
      <c r="W109" s="107"/>
    </row>
    <row r="110" spans="2:24" ht="27.6">
      <c r="B110" s="205"/>
      <c r="C110" s="215"/>
      <c r="D110" s="216"/>
      <c r="E110" s="260" t="s">
        <v>550</v>
      </c>
      <c r="F110" s="260" t="s">
        <v>660</v>
      </c>
      <c r="G110" s="260" t="s">
        <v>661</v>
      </c>
      <c r="H110" s="214" t="s">
        <v>550</v>
      </c>
      <c r="I110" s="214" t="s">
        <v>660</v>
      </c>
      <c r="J110" s="217" t="s">
        <v>661</v>
      </c>
      <c r="K110" s="214" t="s">
        <v>550</v>
      </c>
      <c r="L110" s="214" t="s">
        <v>660</v>
      </c>
      <c r="M110" s="217" t="s">
        <v>661</v>
      </c>
      <c r="N110" s="214" t="s">
        <v>550</v>
      </c>
      <c r="O110" s="280" t="s">
        <v>550</v>
      </c>
      <c r="P110" s="107"/>
      <c r="T110" s="107"/>
      <c r="U110" s="107"/>
      <c r="V110" s="107"/>
      <c r="W110" s="107"/>
    </row>
    <row r="111" spans="2:24" ht="69">
      <c r="B111" s="216" t="s">
        <v>561</v>
      </c>
      <c r="C111" s="218" t="s">
        <v>806</v>
      </c>
      <c r="D111" s="219" t="s">
        <v>562</v>
      </c>
      <c r="E111" s="261">
        <f t="shared" ref="E111:N111" si="13">E127/1000</f>
        <v>1185612.237</v>
      </c>
      <c r="F111" s="261">
        <f t="shared" si="13"/>
        <v>337487.755</v>
      </c>
      <c r="G111" s="261">
        <f t="shared" si="13"/>
        <v>848124.48199999996</v>
      </c>
      <c r="H111" s="220">
        <f t="shared" si="13"/>
        <v>1241805.7790000001</v>
      </c>
      <c r="I111" s="220">
        <f t="shared" si="13"/>
        <v>373347.38799999998</v>
      </c>
      <c r="J111" s="220">
        <f t="shared" si="13"/>
        <v>868458.39099999995</v>
      </c>
      <c r="K111" s="220">
        <f t="shared" si="13"/>
        <v>1168337.6599999999</v>
      </c>
      <c r="L111" s="220">
        <f t="shared" si="13"/>
        <v>389386.26799999998</v>
      </c>
      <c r="M111" s="220">
        <f t="shared" si="13"/>
        <v>778951.39199999999</v>
      </c>
      <c r="N111" s="220">
        <f t="shared" si="13"/>
        <v>1202121.1410000001</v>
      </c>
      <c r="O111" s="281">
        <f>(E111-H111)/H111</f>
        <v>-4.5251474063240066E-2</v>
      </c>
      <c r="P111" s="107"/>
      <c r="T111" s="107"/>
      <c r="U111" s="107"/>
      <c r="V111" s="107"/>
      <c r="W111" s="107"/>
    </row>
    <row r="112" spans="2:24">
      <c r="B112" s="216" t="s">
        <v>563</v>
      </c>
      <c r="C112" s="524" t="s">
        <v>1164</v>
      </c>
      <c r="D112" s="221" t="s">
        <v>564</v>
      </c>
      <c r="E112" s="262">
        <v>10.96</v>
      </c>
      <c r="F112" s="263">
        <v>74.2</v>
      </c>
      <c r="G112" s="263">
        <v>8.1999999999999993</v>
      </c>
      <c r="H112" s="222">
        <v>11.3</v>
      </c>
      <c r="I112" s="222">
        <v>70.7</v>
      </c>
      <c r="J112" s="222">
        <v>8.3000000000000007</v>
      </c>
      <c r="K112" s="222">
        <v>10.98</v>
      </c>
      <c r="L112" s="222">
        <v>39.56</v>
      </c>
      <c r="M112" s="222">
        <v>8.06</v>
      </c>
      <c r="N112" s="222">
        <v>10.61</v>
      </c>
      <c r="O112" s="281">
        <f>(E112-H112)/H112</f>
        <v>-3.0088495575221225E-2</v>
      </c>
      <c r="P112" s="107"/>
      <c r="T112" s="107"/>
      <c r="U112" s="107"/>
      <c r="V112" s="107"/>
      <c r="W112" s="107"/>
    </row>
    <row r="113" spans="2:22">
      <c r="B113" s="152"/>
      <c r="C113" s="125"/>
      <c r="D113" s="126"/>
      <c r="E113" s="525"/>
      <c r="F113" s="126"/>
      <c r="G113" s="127"/>
      <c r="H113" s="127"/>
      <c r="I113" s="127"/>
      <c r="J113" s="128"/>
      <c r="K113" s="128"/>
      <c r="L113" s="128"/>
      <c r="M113" s="107"/>
      <c r="N113" s="107"/>
      <c r="O113" s="107"/>
      <c r="P113" s="107"/>
      <c r="T113" s="107"/>
      <c r="U113" s="107"/>
      <c r="V113" s="107"/>
    </row>
    <row r="114" spans="2:22">
      <c r="B114" s="126"/>
      <c r="C114" s="125"/>
      <c r="D114" s="126"/>
      <c r="E114" s="126"/>
      <c r="F114" s="126"/>
      <c r="G114" s="127"/>
      <c r="H114" s="127"/>
      <c r="I114" s="127"/>
      <c r="J114" s="128"/>
      <c r="K114" s="128"/>
      <c r="L114" s="128"/>
      <c r="M114" s="107"/>
      <c r="N114" s="107"/>
      <c r="O114" s="107"/>
      <c r="P114" s="107"/>
      <c r="T114" s="107"/>
      <c r="U114" s="107"/>
      <c r="V114" s="107"/>
    </row>
    <row r="115" spans="2:22" ht="19.8">
      <c r="B115" s="256" t="s">
        <v>808</v>
      </c>
      <c r="C115" s="253" t="s">
        <v>842</v>
      </c>
      <c r="D115" s="266" t="s">
        <v>544</v>
      </c>
      <c r="E115" s="1431" t="s">
        <v>546</v>
      </c>
      <c r="F115" s="1432"/>
      <c r="G115" s="1433"/>
      <c r="H115" s="1434" t="s">
        <v>547</v>
      </c>
      <c r="I115" s="1435"/>
      <c r="J115" s="1436"/>
      <c r="K115" s="1437" t="s">
        <v>548</v>
      </c>
      <c r="L115" s="1437"/>
      <c r="M115" s="1437"/>
      <c r="N115" s="257" t="s">
        <v>549</v>
      </c>
      <c r="O115" s="107"/>
      <c r="S115" s="107"/>
      <c r="T115" s="107"/>
      <c r="U115" s="107"/>
      <c r="V115" s="107"/>
    </row>
    <row r="116" spans="2:22" ht="27.9" customHeight="1">
      <c r="B116" s="223"/>
      <c r="C116" s="223"/>
      <c r="D116" s="223"/>
      <c r="E116" s="258" t="s">
        <v>550</v>
      </c>
      <c r="F116" s="258" t="s">
        <v>660</v>
      </c>
      <c r="G116" s="258" t="s">
        <v>661</v>
      </c>
      <c r="H116" s="224" t="s">
        <v>550</v>
      </c>
      <c r="I116" s="224" t="s">
        <v>660</v>
      </c>
      <c r="J116" s="225" t="s">
        <v>661</v>
      </c>
      <c r="K116" s="224" t="s">
        <v>550</v>
      </c>
      <c r="L116" s="224" t="s">
        <v>660</v>
      </c>
      <c r="M116" s="225" t="s">
        <v>661</v>
      </c>
      <c r="N116" s="224" t="s">
        <v>550</v>
      </c>
      <c r="O116" s="107"/>
      <c r="S116" s="107"/>
      <c r="T116" s="107"/>
      <c r="U116" s="107"/>
      <c r="V116" s="107"/>
    </row>
    <row r="117" spans="2:22" ht="27.9" customHeight="1">
      <c r="B117" s="194" t="s">
        <v>813</v>
      </c>
      <c r="C117" s="167" t="s">
        <v>1165</v>
      </c>
      <c r="D117" s="194" t="s">
        <v>815</v>
      </c>
      <c r="E117" s="259">
        <f t="shared" ref="E117:F119" si="14">E127*0.0036</f>
        <v>4268204.0532</v>
      </c>
      <c r="F117" s="259">
        <f t="shared" si="14"/>
        <v>1214955.9180000001</v>
      </c>
      <c r="G117" s="259">
        <f t="shared" ref="G117:G125" si="15">E117-F117</f>
        <v>3053248.1351999999</v>
      </c>
      <c r="H117" s="226">
        <f t="shared" ref="H117:N123" si="16">H127*0.0036</f>
        <v>4470500.8043999998</v>
      </c>
      <c r="I117" s="226">
        <f t="shared" si="16"/>
        <v>1344050.5967999999</v>
      </c>
      <c r="J117" s="226">
        <f t="shared" si="16"/>
        <v>3126450.2075999998</v>
      </c>
      <c r="K117" s="212">
        <f t="shared" si="16"/>
        <v>4206015.5760000004</v>
      </c>
      <c r="L117" s="226">
        <f t="shared" si="16"/>
        <v>1401790.5648000001</v>
      </c>
      <c r="M117" s="226">
        <f t="shared" si="16"/>
        <v>2804225.0112000001</v>
      </c>
      <c r="N117" s="212">
        <f t="shared" si="16"/>
        <v>4327636.1075999998</v>
      </c>
      <c r="O117" s="107"/>
      <c r="S117" s="107"/>
      <c r="T117" s="107"/>
      <c r="U117" s="107"/>
      <c r="V117" s="107"/>
    </row>
    <row r="118" spans="2:22" ht="27.9" customHeight="1">
      <c r="B118" s="194" t="s">
        <v>816</v>
      </c>
      <c r="C118" s="167" t="s">
        <v>817</v>
      </c>
      <c r="D118" s="194" t="s">
        <v>815</v>
      </c>
      <c r="E118" s="259">
        <f t="shared" si="14"/>
        <v>1743716.4912</v>
      </c>
      <c r="F118" s="259">
        <f t="shared" si="14"/>
        <v>470103.46919999999</v>
      </c>
      <c r="G118" s="259">
        <f t="shared" si="15"/>
        <v>1273613.0220000001</v>
      </c>
      <c r="H118" s="226">
        <f t="shared" si="16"/>
        <v>1821488.5799999998</v>
      </c>
      <c r="I118" s="226">
        <f t="shared" si="16"/>
        <v>497308.47119999997</v>
      </c>
      <c r="J118" s="226">
        <f t="shared" si="16"/>
        <v>1324180.1088</v>
      </c>
      <c r="K118" s="212">
        <f t="shared" si="16"/>
        <v>1733498.5031999999</v>
      </c>
      <c r="L118" s="226">
        <f t="shared" si="16"/>
        <v>540267.77159999998</v>
      </c>
      <c r="M118" s="226">
        <f t="shared" si="16"/>
        <v>1193230.7316000001</v>
      </c>
      <c r="N118" s="212">
        <f t="shared" si="16"/>
        <v>1822669.8947999999</v>
      </c>
      <c r="O118" s="107"/>
      <c r="S118" s="107"/>
      <c r="T118" s="107"/>
      <c r="U118" s="107"/>
      <c r="V118" s="107"/>
    </row>
    <row r="119" spans="2:22" ht="27.9" customHeight="1">
      <c r="B119" s="194" t="s">
        <v>818</v>
      </c>
      <c r="C119" s="167" t="s">
        <v>819</v>
      </c>
      <c r="D119" s="194" t="s">
        <v>815</v>
      </c>
      <c r="E119" s="259">
        <f t="shared" si="14"/>
        <v>2229315.804</v>
      </c>
      <c r="F119" s="259">
        <f t="shared" si="14"/>
        <v>779118.82920000004</v>
      </c>
      <c r="G119" s="259">
        <f t="shared" si="15"/>
        <v>1450196.9748</v>
      </c>
      <c r="H119" s="226">
        <f t="shared" si="16"/>
        <v>2303934.7752</v>
      </c>
      <c r="I119" s="226">
        <f t="shared" si="16"/>
        <v>882408.96360000002</v>
      </c>
      <c r="J119" s="226">
        <f t="shared" si="16"/>
        <v>1421525.8115999999</v>
      </c>
      <c r="K119" s="212">
        <f t="shared" si="16"/>
        <v>2164571.8560000001</v>
      </c>
      <c r="L119" s="226">
        <f t="shared" si="16"/>
        <v>912788.21880000003</v>
      </c>
      <c r="M119" s="226">
        <f t="shared" si="16"/>
        <v>1251783.6372</v>
      </c>
      <c r="N119" s="212">
        <f t="shared" si="16"/>
        <v>2201419.2347999997</v>
      </c>
      <c r="O119" s="107"/>
      <c r="S119" s="107"/>
      <c r="T119" s="107"/>
      <c r="U119" s="107"/>
      <c r="V119" s="107"/>
    </row>
    <row r="120" spans="2:22" ht="27.9" customHeight="1">
      <c r="B120" s="194" t="s">
        <v>820</v>
      </c>
      <c r="C120" s="167" t="s">
        <v>1166</v>
      </c>
      <c r="D120" s="194" t="s">
        <v>815</v>
      </c>
      <c r="E120" s="259">
        <f>986948044*0.0036</f>
        <v>3553012.9583999999</v>
      </c>
      <c r="F120" s="259">
        <f t="shared" ref="F120:F125" si="17">F130*0.0036</f>
        <v>851885.96039999998</v>
      </c>
      <c r="G120" s="259">
        <f t="shared" si="15"/>
        <v>2701126.9979999997</v>
      </c>
      <c r="H120" s="226">
        <f t="shared" si="16"/>
        <v>3883081.4208</v>
      </c>
      <c r="I120" s="226">
        <f t="shared" si="16"/>
        <v>953590.43519999995</v>
      </c>
      <c r="J120" s="226">
        <f t="shared" si="16"/>
        <v>2929490.9855999998</v>
      </c>
      <c r="K120" s="212">
        <f t="shared" si="16"/>
        <v>3704763.6252000001</v>
      </c>
      <c r="L120" s="226">
        <f t="shared" si="16"/>
        <v>986494.08959999995</v>
      </c>
      <c r="M120" s="226">
        <f t="shared" si="16"/>
        <v>2718269.5356000001</v>
      </c>
      <c r="N120" s="212">
        <f t="shared" si="16"/>
        <v>3857710.6727999998</v>
      </c>
      <c r="O120" s="107"/>
      <c r="S120" s="107"/>
      <c r="T120" s="107"/>
      <c r="U120" s="107"/>
      <c r="V120" s="107"/>
    </row>
    <row r="121" spans="2:22" ht="27.9" customHeight="1">
      <c r="B121" s="328" t="s">
        <v>822</v>
      </c>
      <c r="C121" s="167" t="s">
        <v>823</v>
      </c>
      <c r="D121" s="194" t="s">
        <v>815</v>
      </c>
      <c r="E121" s="259">
        <f>E131*0.0036</f>
        <v>2475308.5128000001</v>
      </c>
      <c r="F121" s="259">
        <f t="shared" si="17"/>
        <v>802475.77679999999</v>
      </c>
      <c r="G121" s="259">
        <f t="shared" si="15"/>
        <v>1672832.736</v>
      </c>
      <c r="H121" s="226">
        <f t="shared" si="16"/>
        <v>2605562.1683999998</v>
      </c>
      <c r="I121" s="226">
        <f t="shared" si="16"/>
        <v>904064.82120000001</v>
      </c>
      <c r="J121" s="226">
        <f t="shared" si="16"/>
        <v>1701497.3472</v>
      </c>
      <c r="K121" s="212">
        <f t="shared" si="16"/>
        <v>2460139.3043999998</v>
      </c>
      <c r="L121" s="226">
        <f t="shared" si="16"/>
        <v>936169.89480000001</v>
      </c>
      <c r="M121" s="226">
        <f t="shared" si="16"/>
        <v>1523969.4095999999</v>
      </c>
      <c r="N121" s="212">
        <f t="shared" si="16"/>
        <v>2480339.4839999997</v>
      </c>
      <c r="O121" s="107"/>
      <c r="S121" s="107"/>
      <c r="T121" s="107"/>
      <c r="U121" s="107"/>
      <c r="V121" s="107"/>
    </row>
    <row r="122" spans="2:22" ht="27.9" customHeight="1">
      <c r="B122" s="328" t="s">
        <v>824</v>
      </c>
      <c r="C122" s="167" t="s">
        <v>825</v>
      </c>
      <c r="D122" s="194" t="s">
        <v>815</v>
      </c>
      <c r="E122" s="259">
        <f>E132*0.0036</f>
        <v>931420.57679999992</v>
      </c>
      <c r="F122" s="259">
        <f t="shared" si="17"/>
        <v>23946.552</v>
      </c>
      <c r="G122" s="259">
        <f t="shared" si="15"/>
        <v>907474.0247999999</v>
      </c>
      <c r="H122" s="226">
        <f t="shared" si="16"/>
        <v>1127469.6576</v>
      </c>
      <c r="I122" s="226">
        <f t="shared" si="16"/>
        <v>20683.699199999999</v>
      </c>
      <c r="J122" s="226">
        <f t="shared" si="16"/>
        <v>1106785.9583999999</v>
      </c>
      <c r="K122" s="212">
        <f t="shared" si="16"/>
        <v>1117471.3056000001</v>
      </c>
      <c r="L122" s="226">
        <f t="shared" si="16"/>
        <v>27600.84</v>
      </c>
      <c r="M122" s="226">
        <f t="shared" si="16"/>
        <v>1089870.4656</v>
      </c>
      <c r="N122" s="212">
        <f t="shared" si="16"/>
        <v>1257125.4683999999</v>
      </c>
      <c r="O122" s="107"/>
      <c r="S122" s="107"/>
      <c r="T122" s="107"/>
      <c r="U122" s="107"/>
      <c r="V122" s="107"/>
    </row>
    <row r="123" spans="2:22" ht="27.9" customHeight="1">
      <c r="B123" s="329" t="s">
        <v>826</v>
      </c>
      <c r="C123" s="167" t="s">
        <v>827</v>
      </c>
      <c r="D123" s="194" t="s">
        <v>815</v>
      </c>
      <c r="E123" s="259">
        <f>E133*0.0036</f>
        <v>128724.8796</v>
      </c>
      <c r="F123" s="259">
        <f t="shared" si="17"/>
        <v>19250.449199999999</v>
      </c>
      <c r="G123" s="259">
        <f t="shared" si="15"/>
        <v>109474.4304</v>
      </c>
      <c r="H123" s="226">
        <f t="shared" si="16"/>
        <v>113543.96399999999</v>
      </c>
      <c r="I123" s="226">
        <f t="shared" si="16"/>
        <v>14086.619999999999</v>
      </c>
      <c r="J123" s="226">
        <f t="shared" si="16"/>
        <v>99457.343999999997</v>
      </c>
      <c r="K123" s="212">
        <f t="shared" si="16"/>
        <v>112445.03879999999</v>
      </c>
      <c r="L123" s="226">
        <f t="shared" si="16"/>
        <v>21111.778728000001</v>
      </c>
      <c r="M123" s="226">
        <f t="shared" si="16"/>
        <v>91333.26007199999</v>
      </c>
      <c r="N123" s="212">
        <f t="shared" si="16"/>
        <v>120245.72039999999</v>
      </c>
      <c r="O123" s="107"/>
      <c r="S123" s="107"/>
      <c r="T123" s="107"/>
      <c r="U123" s="107"/>
      <c r="V123" s="107"/>
    </row>
    <row r="124" spans="2:22" ht="27.9" customHeight="1">
      <c r="B124" s="329" t="s">
        <v>828</v>
      </c>
      <c r="C124" s="167" t="s">
        <v>829</v>
      </c>
      <c r="D124" s="194" t="s">
        <v>815</v>
      </c>
      <c r="E124" s="259">
        <f>E134*0.0036</f>
        <v>17558.9928</v>
      </c>
      <c r="F124" s="259">
        <f t="shared" si="17"/>
        <v>6213.1823999999997</v>
      </c>
      <c r="G124" s="259">
        <f t="shared" ref="G124:M124" si="18">G134*0.0036</f>
        <v>11345.8104</v>
      </c>
      <c r="H124" s="226">
        <f t="shared" si="18"/>
        <v>36505.631231999992</v>
      </c>
      <c r="I124" s="226">
        <f t="shared" si="18"/>
        <v>14755.2948</v>
      </c>
      <c r="J124" s="226">
        <f t="shared" si="18"/>
        <v>21750.336431999996</v>
      </c>
      <c r="K124" s="226">
        <f t="shared" si="18"/>
        <v>14707.9746</v>
      </c>
      <c r="L124" s="226">
        <f t="shared" si="18"/>
        <v>1611.576</v>
      </c>
      <c r="M124" s="226">
        <f t="shared" si="18"/>
        <v>13096.3986</v>
      </c>
      <c r="N124" s="226" t="s">
        <v>830</v>
      </c>
      <c r="O124" s="107"/>
      <c r="S124" s="107"/>
      <c r="T124" s="107"/>
      <c r="U124" s="107"/>
      <c r="V124" s="107"/>
    </row>
    <row r="125" spans="2:22" ht="27.9" customHeight="1">
      <c r="B125" s="227" t="s">
        <v>831</v>
      </c>
      <c r="C125" s="166" t="s">
        <v>832</v>
      </c>
      <c r="D125" s="194" t="s">
        <v>815</v>
      </c>
      <c r="E125" s="259">
        <f>E135*0.0036</f>
        <v>715191.09479999996</v>
      </c>
      <c r="F125" s="259">
        <f t="shared" si="17"/>
        <v>363069.95759999997</v>
      </c>
      <c r="G125" s="259">
        <f t="shared" si="15"/>
        <v>352121.1372</v>
      </c>
      <c r="H125" s="226">
        <f t="shared" ref="H125:N125" si="19">H135*0.0036</f>
        <v>587419.38359999994</v>
      </c>
      <c r="I125" s="226">
        <f t="shared" si="19"/>
        <v>390460.16159999999</v>
      </c>
      <c r="J125" s="226">
        <f t="shared" si="19"/>
        <v>196959.22200000001</v>
      </c>
      <c r="K125" s="212">
        <f t="shared" si="19"/>
        <v>501251.95439999999</v>
      </c>
      <c r="L125" s="226">
        <f t="shared" si="19"/>
        <v>415296.47519999999</v>
      </c>
      <c r="M125" s="226">
        <f t="shared" si="19"/>
        <v>85955.479200000002</v>
      </c>
      <c r="N125" s="212">
        <f t="shared" si="19"/>
        <v>469925.43479999999</v>
      </c>
      <c r="O125" s="107"/>
      <c r="S125" s="107"/>
      <c r="T125" s="107"/>
      <c r="U125" s="107"/>
      <c r="V125" s="107"/>
    </row>
    <row r="126" spans="2:22">
      <c r="R126" s="13"/>
    </row>
    <row r="127" spans="2:22" ht="69">
      <c r="B127" s="194" t="s">
        <v>813</v>
      </c>
      <c r="C127" s="167" t="s">
        <v>833</v>
      </c>
      <c r="D127" s="194" t="s">
        <v>576</v>
      </c>
      <c r="E127" s="259">
        <v>1185612237</v>
      </c>
      <c r="F127" s="259">
        <v>337487755</v>
      </c>
      <c r="G127" s="259">
        <f>E127-F127</f>
        <v>848124482</v>
      </c>
      <c r="H127" s="226">
        <v>1241805779</v>
      </c>
      <c r="I127" s="226">
        <v>373347388</v>
      </c>
      <c r="J127" s="226">
        <f t="shared" ref="J127:J135" si="20">H127-I127</f>
        <v>868458391</v>
      </c>
      <c r="K127" s="212">
        <v>1168337660</v>
      </c>
      <c r="L127" s="226">
        <v>389386268</v>
      </c>
      <c r="M127" s="226">
        <f t="shared" ref="M127:M135" si="21">K127-L127</f>
        <v>778951392</v>
      </c>
      <c r="N127" s="212">
        <v>1202121141</v>
      </c>
      <c r="O127" s="107"/>
      <c r="P127" s="529" t="s">
        <v>1167</v>
      </c>
      <c r="Q127" s="466">
        <f>E132/1000</f>
        <v>258727.93799999999</v>
      </c>
      <c r="R127" s="467">
        <f t="shared" ref="R127:R133" si="22">Q127/$Q$135</f>
        <v>0.21822306628383506</v>
      </c>
      <c r="S127" s="107"/>
      <c r="T127" s="107"/>
      <c r="U127" s="107"/>
      <c r="V127" s="107"/>
    </row>
    <row r="128" spans="2:22" ht="82.8">
      <c r="B128" s="194" t="s">
        <v>816</v>
      </c>
      <c r="C128" s="167" t="s">
        <v>834</v>
      </c>
      <c r="D128" s="194" t="s">
        <v>576</v>
      </c>
      <c r="E128" s="259">
        <v>484365692</v>
      </c>
      <c r="F128" s="259">
        <v>130584297</v>
      </c>
      <c r="G128" s="259">
        <f>E128-F128</f>
        <v>353781395</v>
      </c>
      <c r="H128" s="226">
        <v>505969050</v>
      </c>
      <c r="I128" s="226">
        <v>138141242</v>
      </c>
      <c r="J128" s="226">
        <f t="shared" si="20"/>
        <v>367827808</v>
      </c>
      <c r="K128" s="212">
        <v>481527362</v>
      </c>
      <c r="L128" s="226">
        <v>150074381</v>
      </c>
      <c r="M128" s="226">
        <f t="shared" si="21"/>
        <v>331452981</v>
      </c>
      <c r="N128" s="212">
        <v>506297193</v>
      </c>
      <c r="O128" s="107"/>
      <c r="P128" s="529" t="s">
        <v>1168</v>
      </c>
      <c r="Q128" s="466">
        <f>191804345/1000</f>
        <v>191804.345</v>
      </c>
      <c r="R128" s="467">
        <f t="shared" si="22"/>
        <v>0.16177662380033564</v>
      </c>
      <c r="S128" s="107"/>
      <c r="T128" s="107"/>
      <c r="U128" s="107"/>
      <c r="V128" s="107"/>
    </row>
    <row r="129" spans="2:25" ht="55.2">
      <c r="B129" s="194" t="s">
        <v>818</v>
      </c>
      <c r="C129" s="167" t="s">
        <v>835</v>
      </c>
      <c r="D129" s="194" t="s">
        <v>576</v>
      </c>
      <c r="E129" s="259">
        <v>619254390</v>
      </c>
      <c r="F129" s="259">
        <v>216421897</v>
      </c>
      <c r="G129" s="259">
        <f>E129-F129</f>
        <v>402832493</v>
      </c>
      <c r="H129" s="226">
        <v>639981882</v>
      </c>
      <c r="I129" s="226">
        <v>245113601</v>
      </c>
      <c r="J129" s="226">
        <f t="shared" si="20"/>
        <v>394868281</v>
      </c>
      <c r="K129" s="212">
        <v>601269960</v>
      </c>
      <c r="L129" s="226">
        <v>253552283</v>
      </c>
      <c r="M129" s="226">
        <f t="shared" si="21"/>
        <v>347717677</v>
      </c>
      <c r="N129" s="212">
        <v>611505343</v>
      </c>
      <c r="O129" s="107"/>
      <c r="P129" s="529" t="s">
        <v>1169</v>
      </c>
      <c r="Q129" s="466">
        <f>6859848/1000</f>
        <v>6859.848</v>
      </c>
      <c r="R129" s="467">
        <f t="shared" si="22"/>
        <v>5.7859119365803987E-3</v>
      </c>
      <c r="S129" s="107"/>
      <c r="T129" s="107"/>
      <c r="U129" s="107"/>
      <c r="V129" s="107"/>
    </row>
    <row r="130" spans="2:25" ht="114.75" customHeight="1">
      <c r="B130" s="194" t="s">
        <v>820</v>
      </c>
      <c r="C130" s="167" t="s">
        <v>836</v>
      </c>
      <c r="D130" s="194" t="s">
        <v>576</v>
      </c>
      <c r="E130" s="243">
        <v>986948044</v>
      </c>
      <c r="F130" s="259">
        <v>236634989</v>
      </c>
      <c r="G130" s="259">
        <f>986948044-F130</f>
        <v>750313055</v>
      </c>
      <c r="H130" s="226">
        <v>1078633728</v>
      </c>
      <c r="I130" s="226">
        <v>264886232</v>
      </c>
      <c r="J130" s="226">
        <f t="shared" si="20"/>
        <v>813747496</v>
      </c>
      <c r="K130" s="212">
        <v>1029101007</v>
      </c>
      <c r="L130" s="226">
        <v>274026136</v>
      </c>
      <c r="M130" s="226">
        <f t="shared" si="21"/>
        <v>755074871</v>
      </c>
      <c r="N130" s="212">
        <v>1071586298</v>
      </c>
      <c r="O130" s="107"/>
      <c r="P130" s="529" t="s">
        <v>1170</v>
      </c>
      <c r="Q130" s="466">
        <f>E129/1000</f>
        <v>619254.39</v>
      </c>
      <c r="R130" s="467">
        <f t="shared" si="22"/>
        <v>0.52230769061950255</v>
      </c>
      <c r="S130" s="107"/>
      <c r="T130" s="107"/>
      <c r="U130" s="107"/>
      <c r="V130" s="107"/>
    </row>
    <row r="131" spans="2:25" ht="55.2">
      <c r="B131" s="328" t="s">
        <v>822</v>
      </c>
      <c r="C131" s="167" t="s">
        <v>823</v>
      </c>
      <c r="D131" s="194" t="s">
        <v>576</v>
      </c>
      <c r="E131" s="259">
        <v>687585698</v>
      </c>
      <c r="F131" s="259">
        <v>222909938</v>
      </c>
      <c r="G131" s="259">
        <f>E131-F131</f>
        <v>464675760</v>
      </c>
      <c r="H131" s="226">
        <v>723767269</v>
      </c>
      <c r="I131" s="226">
        <v>251129117</v>
      </c>
      <c r="J131" s="226">
        <f t="shared" si="20"/>
        <v>472638152</v>
      </c>
      <c r="K131" s="212">
        <v>683372029</v>
      </c>
      <c r="L131" s="226">
        <v>260047193</v>
      </c>
      <c r="M131" s="226">
        <f t="shared" si="21"/>
        <v>423324836</v>
      </c>
      <c r="N131" s="212">
        <v>688983190</v>
      </c>
      <c r="O131" s="107"/>
      <c r="P131" s="529" t="s">
        <v>1171</v>
      </c>
      <c r="Q131" s="466">
        <f>(E131-E129)/1000</f>
        <v>68331.308000000005</v>
      </c>
      <c r="R131" s="467">
        <f t="shared" si="22"/>
        <v>5.7633774188488099E-2</v>
      </c>
      <c r="S131" s="107"/>
      <c r="T131" s="107"/>
      <c r="U131" s="107"/>
      <c r="V131" s="107"/>
    </row>
    <row r="132" spans="2:25" ht="27.6">
      <c r="B132" s="328" t="s">
        <v>824</v>
      </c>
      <c r="C132" s="167" t="s">
        <v>837</v>
      </c>
      <c r="D132" s="194" t="s">
        <v>576</v>
      </c>
      <c r="E132" s="259">
        <v>258727938</v>
      </c>
      <c r="F132" s="259">
        <v>6651820</v>
      </c>
      <c r="G132" s="259">
        <f>E132-F132</f>
        <v>252076118</v>
      </c>
      <c r="H132" s="226">
        <v>313186016</v>
      </c>
      <c r="I132" s="226">
        <v>5745472</v>
      </c>
      <c r="J132" s="226">
        <f t="shared" si="20"/>
        <v>307440544</v>
      </c>
      <c r="K132" s="212">
        <v>310408696</v>
      </c>
      <c r="L132" s="226">
        <v>7666900</v>
      </c>
      <c r="M132" s="226">
        <f t="shared" si="21"/>
        <v>302741796</v>
      </c>
      <c r="N132" s="212">
        <v>349201519</v>
      </c>
      <c r="O132" s="107"/>
      <c r="P132" s="529" t="s">
        <v>1172</v>
      </c>
      <c r="Q132" s="466">
        <f>E133/1000</f>
        <v>35756.911</v>
      </c>
      <c r="R132" s="467">
        <f t="shared" si="22"/>
        <v>3.0159026580493176E-2</v>
      </c>
      <c r="S132" s="107"/>
      <c r="T132" s="107"/>
      <c r="U132" s="107"/>
      <c r="V132" s="107"/>
    </row>
    <row r="133" spans="2:25" ht="41.4">
      <c r="B133" s="329" t="s">
        <v>826</v>
      </c>
      <c r="C133" s="167" t="s">
        <v>838</v>
      </c>
      <c r="D133" s="194" t="s">
        <v>576</v>
      </c>
      <c r="E133" s="259">
        <v>35756911</v>
      </c>
      <c r="F133" s="259">
        <v>5347347</v>
      </c>
      <c r="G133" s="259">
        <f>E133-F133</f>
        <v>30409564</v>
      </c>
      <c r="H133" s="226">
        <v>31539990</v>
      </c>
      <c r="I133" s="226">
        <v>3912950</v>
      </c>
      <c r="J133" s="226">
        <f t="shared" si="20"/>
        <v>27627040</v>
      </c>
      <c r="K133" s="212">
        <v>31234733</v>
      </c>
      <c r="L133" s="226">
        <v>5864382.9800000004</v>
      </c>
      <c r="M133" s="226">
        <f t="shared" si="21"/>
        <v>25370350.02</v>
      </c>
      <c r="N133" s="212">
        <v>33401589</v>
      </c>
      <c r="O133" s="107"/>
      <c r="P133" s="529" t="s">
        <v>1173</v>
      </c>
      <c r="Q133" s="466">
        <f>E134/1000</f>
        <v>4877.4979999999996</v>
      </c>
      <c r="R133" s="467">
        <f t="shared" si="22"/>
        <v>4.1139065907651335E-3</v>
      </c>
      <c r="S133" s="107"/>
      <c r="T133" s="107"/>
      <c r="U133" s="107"/>
      <c r="V133" s="107"/>
    </row>
    <row r="134" spans="2:25" ht="33.75" customHeight="1">
      <c r="B134" s="329" t="s">
        <v>828</v>
      </c>
      <c r="C134" s="167" t="s">
        <v>829</v>
      </c>
      <c r="D134" s="194" t="s">
        <v>576</v>
      </c>
      <c r="E134" s="259">
        <v>4877498</v>
      </c>
      <c r="F134" s="259">
        <v>1725884</v>
      </c>
      <c r="G134" s="259">
        <f>E134-F134</f>
        <v>3151614</v>
      </c>
      <c r="H134" s="226">
        <v>10140453.119999999</v>
      </c>
      <c r="I134" s="226">
        <v>4098693</v>
      </c>
      <c r="J134" s="226">
        <f>H134-I134</f>
        <v>6041760.1199999992</v>
      </c>
      <c r="K134" s="212">
        <v>4085548.5</v>
      </c>
      <c r="L134" s="226">
        <v>447660</v>
      </c>
      <c r="M134" s="226">
        <f>K134-L134</f>
        <v>3637888.5</v>
      </c>
      <c r="N134" s="330">
        <f>N130-N131-N132-N133</f>
        <v>0</v>
      </c>
      <c r="O134" s="107"/>
      <c r="P134" s="468"/>
      <c r="Q134" s="529"/>
      <c r="R134" s="469"/>
      <c r="S134" s="107"/>
      <c r="T134" s="107"/>
      <c r="U134" s="107"/>
      <c r="V134" s="107"/>
    </row>
    <row r="135" spans="2:25" ht="27.6">
      <c r="B135" s="227" t="s">
        <v>831</v>
      </c>
      <c r="C135" s="167" t="s">
        <v>832</v>
      </c>
      <c r="D135" s="194" t="s">
        <v>576</v>
      </c>
      <c r="E135" s="259">
        <v>198664193</v>
      </c>
      <c r="F135" s="259">
        <v>100852766</v>
      </c>
      <c r="G135" s="259">
        <f>E135-F135</f>
        <v>97811427</v>
      </c>
      <c r="H135" s="226">
        <v>163172051</v>
      </c>
      <c r="I135" s="226">
        <v>108461156</v>
      </c>
      <c r="J135" s="226">
        <f t="shared" si="20"/>
        <v>54710895</v>
      </c>
      <c r="K135" s="212">
        <v>139236654</v>
      </c>
      <c r="L135" s="226">
        <v>115360132</v>
      </c>
      <c r="M135" s="226">
        <f t="shared" si="21"/>
        <v>23876522</v>
      </c>
      <c r="N135" s="212">
        <v>130534843</v>
      </c>
      <c r="O135" s="107"/>
      <c r="P135" s="529" t="s">
        <v>1174</v>
      </c>
      <c r="Q135" s="530">
        <f>SUM(Q127:Q133)</f>
        <v>1185612.2379999999</v>
      </c>
      <c r="R135" s="469">
        <f>SUM(R127:R134)</f>
        <v>1</v>
      </c>
      <c r="S135" s="107"/>
      <c r="T135" s="107"/>
      <c r="U135" s="107"/>
      <c r="V135" s="107"/>
    </row>
    <row r="137" spans="2:25" ht="41.4">
      <c r="B137" s="227" t="s">
        <v>578</v>
      </c>
      <c r="C137" s="166" t="s">
        <v>839</v>
      </c>
      <c r="D137" s="194" t="s">
        <v>840</v>
      </c>
      <c r="E137" s="264">
        <f>E135/E128</f>
        <v>0.41015331242742104</v>
      </c>
      <c r="F137" s="264">
        <f>F135/F128</f>
        <v>0.77231924754321724</v>
      </c>
      <c r="G137" s="264">
        <f>G135/G128</f>
        <v>0.27647419672818013</v>
      </c>
      <c r="H137" s="228">
        <v>0.32269999999999999</v>
      </c>
      <c r="I137" s="228">
        <f>I135/I128</f>
        <v>0.78514681372272588</v>
      </c>
      <c r="J137" s="228">
        <f>J135/J128</f>
        <v>0.14874050794985028</v>
      </c>
      <c r="K137" s="228">
        <v>0.2893</v>
      </c>
      <c r="L137" s="228">
        <f>L135/L128</f>
        <v>0.76868637559131425</v>
      </c>
      <c r="M137" s="228">
        <f>M135/M128</f>
        <v>7.2035924757605369E-2</v>
      </c>
      <c r="N137" s="228">
        <v>0.25790000000000002</v>
      </c>
      <c r="O137" s="107"/>
      <c r="P137" s="107"/>
      <c r="R137" s="64">
        <f>21.8+16.2+0.6+52.2+5.8+3+0.4</f>
        <v>100.00000000000001</v>
      </c>
      <c r="S137" s="107"/>
      <c r="T137" s="107"/>
      <c r="U137" s="107"/>
      <c r="V137" s="107"/>
    </row>
    <row r="138" spans="2:25">
      <c r="B138" s="125"/>
      <c r="C138" s="125"/>
      <c r="D138" s="126"/>
      <c r="E138" s="126"/>
      <c r="F138" s="126"/>
      <c r="G138" s="126"/>
      <c r="H138" s="127"/>
      <c r="I138" s="127"/>
      <c r="J138" s="127"/>
      <c r="K138" s="128"/>
      <c r="L138" s="128"/>
      <c r="M138" s="128"/>
      <c r="N138" s="107"/>
      <c r="O138" s="107"/>
      <c r="P138" s="107"/>
      <c r="S138" s="107"/>
      <c r="T138" s="107"/>
      <c r="U138" s="107"/>
      <c r="V138" s="107"/>
      <c r="W138" s="107"/>
      <c r="X138" s="107"/>
      <c r="Y138" s="107"/>
    </row>
    <row r="139" spans="2:25" ht="19.8">
      <c r="B139" s="105"/>
      <c r="C139" s="105"/>
      <c r="D139" s="126"/>
      <c r="E139" s="153"/>
      <c r="F139" s="126"/>
      <c r="G139" s="126"/>
      <c r="H139" s="127"/>
      <c r="I139" s="127"/>
      <c r="J139" s="127"/>
      <c r="K139" s="128"/>
      <c r="L139" s="128"/>
      <c r="M139" s="128"/>
      <c r="N139" s="107"/>
      <c r="O139" s="107"/>
      <c r="P139" s="107"/>
      <c r="S139" s="107"/>
      <c r="T139" s="107"/>
      <c r="U139" s="107"/>
      <c r="V139" s="107"/>
      <c r="W139" s="107"/>
      <c r="X139" s="107"/>
      <c r="Y139" s="107"/>
    </row>
    <row r="140" spans="2:25" ht="19.8">
      <c r="B140" s="249" t="s">
        <v>841</v>
      </c>
      <c r="C140" s="250" t="s">
        <v>842</v>
      </c>
      <c r="D140" s="266" t="s">
        <v>544</v>
      </c>
      <c r="E140" s="251" t="s">
        <v>546</v>
      </c>
    </row>
    <row r="141" spans="2:25">
      <c r="B141" s="194" t="s">
        <v>843</v>
      </c>
      <c r="C141" s="167" t="s">
        <v>844</v>
      </c>
      <c r="D141" s="194" t="s">
        <v>845</v>
      </c>
      <c r="E141" s="265">
        <v>0</v>
      </c>
    </row>
    <row r="147" spans="8:14">
      <c r="H147" s="107"/>
    </row>
    <row r="148" spans="8:14">
      <c r="L148" s="107"/>
      <c r="N148" s="13"/>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90" zoomScaleNormal="90" workbookViewId="0"/>
  </sheetViews>
  <sheetFormatPr defaultColWidth="8.88671875" defaultRowHeight="13.8"/>
  <cols>
    <col min="1" max="1" width="5.88671875" style="2" customWidth="1"/>
    <col min="2" max="9" width="13.88671875" style="2" customWidth="1"/>
    <col min="10" max="10" width="74.5546875" style="2" customWidth="1"/>
    <col min="11" max="11" width="9.88671875" style="2" customWidth="1"/>
    <col min="12" max="13" width="8.88671875" style="2"/>
    <col min="14" max="14" width="37.5546875" style="2" customWidth="1"/>
    <col min="15" max="16384" width="8.88671875" style="2"/>
  </cols>
  <sheetData>
    <row r="1" spans="1:11" ht="3" customHeight="1">
      <c r="A1" s="739"/>
      <c r="B1" s="739"/>
      <c r="C1" s="739"/>
      <c r="D1" s="739"/>
      <c r="E1" s="739"/>
      <c r="F1" s="739"/>
      <c r="G1" s="739"/>
      <c r="H1" s="739"/>
      <c r="I1" s="739"/>
      <c r="J1" s="739"/>
      <c r="K1" s="739"/>
    </row>
    <row r="2" spans="1:11" ht="41.4" customHeight="1">
      <c r="A2" s="887"/>
      <c r="B2" s="1298" t="s">
        <v>0</v>
      </c>
      <c r="C2" s="1298"/>
      <c r="D2" s="1298"/>
      <c r="E2" s="1298"/>
      <c r="F2" s="1298"/>
      <c r="G2" s="1298"/>
      <c r="H2" s="1298"/>
      <c r="I2" s="1298"/>
      <c r="J2" s="1298"/>
      <c r="K2" s="887"/>
    </row>
    <row r="3" spans="1:11" ht="70.5" customHeight="1">
      <c r="A3" s="887"/>
      <c r="B3" s="1299" t="s">
        <v>1</v>
      </c>
      <c r="C3" s="1299"/>
      <c r="D3" s="1299"/>
      <c r="E3" s="1299"/>
      <c r="F3" s="1299"/>
      <c r="G3" s="1299"/>
      <c r="H3" s="1299"/>
      <c r="I3" s="1299"/>
      <c r="J3" s="1299"/>
      <c r="K3" s="887"/>
    </row>
    <row r="4" spans="1:11">
      <c r="A4" s="887"/>
      <c r="B4" s="4"/>
      <c r="C4" s="4"/>
      <c r="D4" s="4"/>
      <c r="E4" s="4"/>
      <c r="F4" s="4"/>
      <c r="G4" s="4"/>
      <c r="H4" s="4"/>
      <c r="I4" s="4"/>
      <c r="J4" s="4"/>
      <c r="K4" s="887"/>
    </row>
    <row r="5" spans="1:11" s="775" customFormat="1">
      <c r="A5" s="888"/>
      <c r="B5" s="773" t="s">
        <v>2</v>
      </c>
      <c r="C5" s="774"/>
      <c r="D5" s="774"/>
      <c r="E5" s="774"/>
      <c r="F5" s="774"/>
      <c r="G5" s="774"/>
      <c r="H5" s="774"/>
      <c r="I5" s="774"/>
      <c r="J5" s="774"/>
      <c r="K5" s="888"/>
    </row>
    <row r="6" spans="1:11" ht="29.1" customHeight="1">
      <c r="A6" s="887"/>
      <c r="B6" s="1296" t="s">
        <v>3</v>
      </c>
      <c r="C6" s="1296"/>
      <c r="D6" s="1296"/>
      <c r="E6" s="1296"/>
      <c r="F6" s="1296"/>
      <c r="G6" s="1296"/>
      <c r="H6" s="1296"/>
      <c r="I6" s="1296"/>
      <c r="J6" s="1296"/>
      <c r="K6" s="887"/>
    </row>
    <row r="7" spans="1:11">
      <c r="A7" s="887"/>
      <c r="B7" s="6"/>
      <c r="C7" s="6"/>
      <c r="D7" s="6"/>
      <c r="E7" s="6"/>
      <c r="F7" s="6"/>
      <c r="G7" s="6"/>
      <c r="H7" s="6"/>
      <c r="I7" s="6"/>
      <c r="J7" s="6"/>
      <c r="K7" s="887"/>
    </row>
    <row r="8" spans="1:11">
      <c r="A8" s="887"/>
      <c r="B8" s="773" t="s">
        <v>4</v>
      </c>
      <c r="C8" s="7"/>
      <c r="D8" s="7"/>
      <c r="E8" s="7"/>
      <c r="F8" s="7"/>
      <c r="G8" s="7"/>
      <c r="H8" s="7"/>
      <c r="I8" s="7"/>
      <c r="J8" s="7"/>
      <c r="K8" s="887"/>
    </row>
    <row r="9" spans="1:11" ht="17.399999999999999" customHeight="1">
      <c r="A9" s="887"/>
      <c r="B9" s="1296" t="s">
        <v>5</v>
      </c>
      <c r="C9" s="1296"/>
      <c r="D9" s="1296"/>
      <c r="E9" s="1296"/>
      <c r="F9" s="1296"/>
      <c r="G9" s="1296"/>
      <c r="H9" s="1296"/>
      <c r="I9" s="1296"/>
      <c r="J9" s="1296"/>
      <c r="K9" s="887"/>
    </row>
    <row r="10" spans="1:11">
      <c r="A10" s="887"/>
      <c r="B10" s="776" t="s">
        <v>6</v>
      </c>
      <c r="C10" s="7"/>
      <c r="D10" s="7"/>
      <c r="E10" s="7"/>
      <c r="F10" s="7"/>
      <c r="G10" s="7"/>
      <c r="H10" s="7"/>
      <c r="I10" s="7"/>
      <c r="J10" s="7"/>
      <c r="K10" s="887"/>
    </row>
    <row r="11" spans="1:11">
      <c r="A11" s="887"/>
      <c r="B11" s="5"/>
      <c r="C11" s="7"/>
      <c r="D11" s="7"/>
      <c r="E11" s="7"/>
      <c r="F11" s="7"/>
      <c r="G11" s="7"/>
      <c r="H11" s="7"/>
      <c r="I11" s="7"/>
      <c r="J11" s="7"/>
      <c r="K11" s="887"/>
    </row>
    <row r="12" spans="1:11" ht="69" customHeight="1">
      <c r="A12" s="887"/>
      <c r="B12" s="1296" t="s">
        <v>7</v>
      </c>
      <c r="C12" s="1296"/>
      <c r="D12" s="1296"/>
      <c r="E12" s="1296"/>
      <c r="F12" s="1296"/>
      <c r="G12" s="1296"/>
      <c r="H12" s="1296"/>
      <c r="I12" s="1296"/>
      <c r="J12" s="1296"/>
      <c r="K12" s="887"/>
    </row>
    <row r="13" spans="1:11" ht="14.4" customHeight="1">
      <c r="A13" s="887"/>
      <c r="B13" s="6"/>
      <c r="C13" s="6"/>
      <c r="D13" s="6"/>
      <c r="E13" s="6"/>
      <c r="F13" s="6"/>
      <c r="G13" s="6"/>
      <c r="H13" s="6"/>
      <c r="I13" s="6"/>
      <c r="J13" s="6"/>
      <c r="K13" s="887"/>
    </row>
    <row r="14" spans="1:11" ht="42.9" customHeight="1">
      <c r="A14" s="887"/>
      <c r="B14" s="1296" t="s">
        <v>8</v>
      </c>
      <c r="C14" s="1296"/>
      <c r="D14" s="1296"/>
      <c r="E14" s="1296"/>
      <c r="F14" s="1296"/>
      <c r="G14" s="1296"/>
      <c r="H14" s="1296"/>
      <c r="I14" s="1296"/>
      <c r="J14" s="1296"/>
      <c r="K14" s="887"/>
    </row>
    <row r="15" spans="1:11" ht="177" customHeight="1">
      <c r="A15" s="887"/>
      <c r="B15" s="1302" t="s">
        <v>9</v>
      </c>
      <c r="C15" s="1303"/>
      <c r="D15" s="1303"/>
      <c r="E15" s="1303"/>
      <c r="F15" s="1303"/>
      <c r="G15" s="1303"/>
      <c r="H15" s="1303"/>
      <c r="I15" s="1303"/>
      <c r="J15" s="1303"/>
      <c r="K15" s="887"/>
    </row>
    <row r="16" spans="1:11" ht="17.100000000000001" customHeight="1">
      <c r="A16" s="887"/>
      <c r="B16" s="1300"/>
      <c r="C16" s="1300"/>
      <c r="D16" s="1300"/>
      <c r="E16" s="1300"/>
      <c r="F16" s="1300"/>
      <c r="G16" s="1300"/>
      <c r="H16" s="1300"/>
      <c r="I16" s="1300"/>
      <c r="J16" s="1300"/>
      <c r="K16" s="887"/>
    </row>
    <row r="17" spans="1:11">
      <c r="A17" s="887"/>
      <c r="B17" s="773" t="s">
        <v>10</v>
      </c>
      <c r="C17" s="6"/>
      <c r="D17" s="6"/>
      <c r="E17" s="6"/>
      <c r="F17" s="6"/>
      <c r="G17" s="6"/>
      <c r="H17" s="6"/>
      <c r="I17" s="6"/>
      <c r="J17" s="6"/>
      <c r="K17" s="887"/>
    </row>
    <row r="18" spans="1:11" ht="42" customHeight="1">
      <c r="A18" s="887"/>
      <c r="B18" s="1296" t="s">
        <v>11</v>
      </c>
      <c r="C18" s="1296"/>
      <c r="D18" s="1296"/>
      <c r="E18" s="1296"/>
      <c r="F18" s="1296"/>
      <c r="G18" s="1296"/>
      <c r="H18" s="1296"/>
      <c r="I18" s="1296"/>
      <c r="J18" s="1296"/>
      <c r="K18" s="887"/>
    </row>
    <row r="19" spans="1:11" ht="19.5" customHeight="1">
      <c r="A19" s="887"/>
      <c r="B19" s="1301" t="s">
        <v>12</v>
      </c>
      <c r="C19" s="1301"/>
      <c r="D19" s="1301"/>
      <c r="E19" s="1301"/>
      <c r="F19" s="1301"/>
      <c r="G19" s="1301"/>
      <c r="H19" s="1301"/>
      <c r="I19" s="1301"/>
      <c r="J19" s="1301"/>
      <c r="K19" s="887"/>
    </row>
    <row r="20" spans="1:11" ht="18" customHeight="1">
      <c r="A20" s="887"/>
      <c r="B20" s="6"/>
      <c r="C20" s="6"/>
      <c r="D20" s="6"/>
      <c r="E20" s="6"/>
      <c r="F20" s="6"/>
      <c r="G20" s="6"/>
      <c r="H20" s="6"/>
      <c r="I20" s="6"/>
      <c r="J20" s="6"/>
      <c r="K20" s="887"/>
    </row>
    <row r="21" spans="1:11">
      <c r="A21" s="887"/>
      <c r="B21" s="1295" t="s">
        <v>13</v>
      </c>
      <c r="C21" s="1295"/>
      <c r="D21" s="1295"/>
      <c r="E21" s="1295"/>
      <c r="F21" s="1295"/>
      <c r="G21" s="1295"/>
      <c r="H21" s="1295"/>
      <c r="I21" s="1295"/>
      <c r="J21" s="1295"/>
      <c r="K21" s="887"/>
    </row>
    <row r="22" spans="1:11" ht="59.1" customHeight="1">
      <c r="A22" s="889"/>
      <c r="B22" s="1296" t="s">
        <v>14</v>
      </c>
      <c r="C22" s="1296"/>
      <c r="D22" s="1296"/>
      <c r="E22" s="1296"/>
      <c r="F22" s="1296"/>
      <c r="G22" s="1296"/>
      <c r="H22" s="1296"/>
      <c r="I22" s="1296"/>
      <c r="J22" s="1296"/>
      <c r="K22" s="889"/>
    </row>
    <row r="23" spans="1:11" ht="38.4" customHeight="1">
      <c r="A23" s="890"/>
      <c r="B23" s="1297"/>
      <c r="C23" s="1297"/>
      <c r="D23" s="1297"/>
      <c r="E23" s="1297"/>
      <c r="F23" s="1297"/>
      <c r="G23" s="1297"/>
      <c r="H23" s="1297"/>
      <c r="I23" s="1297"/>
      <c r="J23" s="1297"/>
      <c r="K23" s="890"/>
    </row>
  </sheetData>
  <sheetProtection algorithmName="SHA-512" hashValue="dXETFoxQlQ7KDl7rRGevinCsYU1BihkGPG7+v24pWheJTlCaUlYVQrcWG8mkpbOZQCOPRk2D24lyGLpPpgHupA==" saltValue="qpO7MQ40tyCsWd991+qqAA==" spinCount="100000" sheet="1" objects="1" scenario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dimension ref="A1:R182"/>
  <sheetViews>
    <sheetView workbookViewId="0"/>
  </sheetViews>
  <sheetFormatPr defaultColWidth="8.88671875" defaultRowHeight="13.8"/>
  <cols>
    <col min="1" max="1" width="21.44140625" style="2" customWidth="1"/>
    <col min="2" max="2" width="52.88671875" style="15" customWidth="1"/>
    <col min="3" max="3" width="83.44140625" style="15" customWidth="1"/>
    <col min="4" max="4" width="14.88671875" style="15" customWidth="1"/>
    <col min="5" max="5" width="15.44140625" style="15" customWidth="1"/>
    <col min="6" max="6" width="15.109375" style="15" customWidth="1"/>
    <col min="7" max="8" width="14.88671875" style="15" customWidth="1"/>
    <col min="9" max="9" width="16.88671875" style="15" customWidth="1"/>
    <col min="10" max="13" width="14.88671875" style="15" customWidth="1"/>
    <col min="14" max="14" width="13.109375" style="15" customWidth="1"/>
    <col min="15" max="15" width="9.109375" style="15" customWidth="1"/>
    <col min="16" max="18" width="9.109375" style="2" customWidth="1"/>
    <col min="19" max="16384" width="8.88671875" style="2"/>
  </cols>
  <sheetData>
    <row r="1" spans="1:18" ht="35.4">
      <c r="A1" s="66"/>
    </row>
    <row r="2" spans="1:18" ht="35.4">
      <c r="A2" s="66"/>
      <c r="B2" s="1574" t="s">
        <v>25</v>
      </c>
      <c r="C2" s="1574"/>
      <c r="D2" s="1574"/>
      <c r="E2" s="1574"/>
      <c r="F2" s="1574"/>
      <c r="G2" s="1574"/>
      <c r="H2" s="1574"/>
      <c r="I2" s="1574"/>
      <c r="J2" s="1574"/>
      <c r="K2" s="1574"/>
      <c r="L2" s="1574"/>
      <c r="M2" s="1574"/>
      <c r="N2" s="1574"/>
      <c r="O2" s="1574"/>
      <c r="P2" s="1574"/>
      <c r="Q2" s="1574"/>
      <c r="R2" s="1574"/>
    </row>
    <row r="4" spans="1:18" ht="22.5" customHeight="1">
      <c r="B4" s="1575" t="s">
        <v>1175</v>
      </c>
      <c r="C4" s="1575"/>
      <c r="D4" s="1575"/>
      <c r="E4" s="1575"/>
      <c r="F4" s="1575"/>
      <c r="G4" s="1575"/>
      <c r="H4" s="1575"/>
      <c r="I4" s="1575"/>
      <c r="J4" s="1575"/>
      <c r="K4" s="1575"/>
      <c r="L4" s="1575"/>
      <c r="M4" s="1575"/>
      <c r="N4" s="1575"/>
      <c r="O4" s="1575"/>
    </row>
    <row r="5" spans="1:18">
      <c r="B5" s="67"/>
      <c r="C5" s="67"/>
      <c r="D5" s="67"/>
      <c r="E5" s="67"/>
      <c r="F5" s="67"/>
      <c r="G5" s="67"/>
      <c r="H5" s="67"/>
      <c r="I5" s="67"/>
      <c r="J5" s="67"/>
      <c r="K5" s="67"/>
      <c r="L5" s="67"/>
      <c r="M5" s="67"/>
      <c r="N5" s="67"/>
      <c r="O5" s="67"/>
    </row>
    <row r="6" spans="1:18" ht="17.399999999999999" customHeight="1">
      <c r="B6" s="290" t="s">
        <v>1176</v>
      </c>
      <c r="C6" s="481" t="s">
        <v>1177</v>
      </c>
      <c r="D6" s="1576" t="s">
        <v>546</v>
      </c>
      <c r="E6" s="1576"/>
      <c r="F6" s="1576"/>
      <c r="G6" s="1576" t="s">
        <v>547</v>
      </c>
      <c r="H6" s="1576"/>
      <c r="I6" s="1576"/>
      <c r="J6" s="1576" t="s">
        <v>548</v>
      </c>
      <c r="K6" s="1576"/>
      <c r="L6" s="1577"/>
      <c r="M6" s="1578" t="s">
        <v>1178</v>
      </c>
      <c r="N6" s="1578" t="s">
        <v>1179</v>
      </c>
      <c r="O6" s="67"/>
      <c r="P6" s="67"/>
    </row>
    <row r="7" spans="1:18" ht="30.9" customHeight="1">
      <c r="A7" s="15"/>
      <c r="B7" s="291" t="s">
        <v>905</v>
      </c>
      <c r="C7" s="292" t="s">
        <v>1180</v>
      </c>
      <c r="D7" s="293" t="s">
        <v>906</v>
      </c>
      <c r="E7" s="293" t="s">
        <v>907</v>
      </c>
      <c r="F7" s="293" t="s">
        <v>709</v>
      </c>
      <c r="G7" s="293" t="s">
        <v>906</v>
      </c>
      <c r="H7" s="293" t="s">
        <v>907</v>
      </c>
      <c r="I7" s="293" t="s">
        <v>709</v>
      </c>
      <c r="J7" s="293" t="s">
        <v>906</v>
      </c>
      <c r="K7" s="293" t="s">
        <v>907</v>
      </c>
      <c r="L7" s="327" t="s">
        <v>709</v>
      </c>
      <c r="M7" s="1579"/>
      <c r="N7" s="1579"/>
      <c r="O7" s="98" t="s">
        <v>908</v>
      </c>
    </row>
    <row r="8" spans="1:18">
      <c r="B8" s="199" t="s">
        <v>909</v>
      </c>
      <c r="C8" s="485"/>
      <c r="D8" s="289"/>
      <c r="E8" s="289"/>
      <c r="F8" s="289"/>
      <c r="G8" s="289"/>
      <c r="H8" s="289"/>
      <c r="I8" s="289"/>
      <c r="J8" s="289"/>
      <c r="K8" s="289"/>
      <c r="L8" s="289"/>
      <c r="M8" s="350"/>
      <c r="N8" s="98"/>
      <c r="O8" s="98"/>
    </row>
    <row r="9" spans="1:18">
      <c r="B9" s="294" t="s">
        <v>910</v>
      </c>
      <c r="C9" s="1542" t="s">
        <v>1181</v>
      </c>
      <c r="D9" s="484">
        <v>1116</v>
      </c>
      <c r="E9" s="484">
        <v>2798</v>
      </c>
      <c r="F9" s="484">
        <f>SUM(D9:E9)</f>
        <v>3914</v>
      </c>
      <c r="G9" s="1530">
        <v>2333</v>
      </c>
      <c r="H9" s="1530">
        <v>4901</v>
      </c>
      <c r="I9" s="1530">
        <f>SUM(G9:H9)</f>
        <v>7234</v>
      </c>
      <c r="J9" s="1530">
        <v>2344</v>
      </c>
      <c r="K9" s="1530">
        <v>5229</v>
      </c>
      <c r="L9" s="1530">
        <f>J9+K9</f>
        <v>7573</v>
      </c>
      <c r="M9" s="349">
        <f t="shared" ref="M9:M14" si="0">D9/F9</f>
        <v>0.28513030148185997</v>
      </c>
      <c r="N9" s="1470"/>
      <c r="O9" s="1470"/>
      <c r="P9" s="2" t="str">
        <f>B9</f>
        <v xml:space="preserve">UK </v>
      </c>
      <c r="Q9" s="95">
        <f>F9+F16</f>
        <v>4079</v>
      </c>
    </row>
    <row r="10" spans="1:18">
      <c r="B10" s="294" t="s">
        <v>911</v>
      </c>
      <c r="C10" s="1542"/>
      <c r="D10" s="484">
        <v>1088</v>
      </c>
      <c r="E10" s="484">
        <v>1602</v>
      </c>
      <c r="F10" s="484">
        <f>SUM(D10:E10)</f>
        <v>2690</v>
      </c>
      <c r="G10" s="1530"/>
      <c r="H10" s="1530"/>
      <c r="I10" s="1530"/>
      <c r="J10" s="1530"/>
      <c r="K10" s="1530"/>
      <c r="L10" s="1530"/>
      <c r="M10" s="349">
        <f t="shared" si="0"/>
        <v>0.40446096654275093</v>
      </c>
      <c r="N10" s="1471"/>
      <c r="O10" s="1471"/>
      <c r="P10" s="2" t="str">
        <f>B10</f>
        <v>Rest of Europe</v>
      </c>
      <c r="Q10" s="95">
        <f>F10+F17</f>
        <v>2858</v>
      </c>
    </row>
    <row r="11" spans="1:18">
      <c r="B11" s="294" t="s">
        <v>912</v>
      </c>
      <c r="C11" s="1542"/>
      <c r="D11" s="484">
        <v>554</v>
      </c>
      <c r="E11" s="484">
        <v>1606</v>
      </c>
      <c r="F11" s="484">
        <f>SUM(D11:E11)</f>
        <v>2160</v>
      </c>
      <c r="G11" s="484">
        <v>685</v>
      </c>
      <c r="H11" s="484">
        <v>2076</v>
      </c>
      <c r="I11" s="484">
        <f>SUM(G11:H11)</f>
        <v>2761</v>
      </c>
      <c r="J11" s="484">
        <v>660</v>
      </c>
      <c r="K11" s="484">
        <v>2078</v>
      </c>
      <c r="L11" s="484">
        <f>J11+K11</f>
        <v>2738</v>
      </c>
      <c r="M11" s="349">
        <f t="shared" si="0"/>
        <v>0.25648148148148148</v>
      </c>
      <c r="N11" s="100"/>
      <c r="O11" s="100"/>
      <c r="P11" s="2" t="str">
        <f>B11</f>
        <v>North America</v>
      </c>
      <c r="Q11" s="95">
        <f>F11+F18</f>
        <v>2186</v>
      </c>
    </row>
    <row r="12" spans="1:18">
      <c r="B12" s="294" t="s">
        <v>913</v>
      </c>
      <c r="C12" s="1542"/>
      <c r="D12" s="484">
        <v>537</v>
      </c>
      <c r="E12" s="484">
        <v>1902</v>
      </c>
      <c r="F12" s="484">
        <f>SUM(D12:E12)</f>
        <v>2439</v>
      </c>
      <c r="G12" s="484">
        <v>510</v>
      </c>
      <c r="H12" s="484">
        <v>1965</v>
      </c>
      <c r="I12" s="484">
        <f>SUM(G12:H12)</f>
        <v>2475</v>
      </c>
      <c r="J12" s="484">
        <v>441</v>
      </c>
      <c r="K12" s="484">
        <v>1913</v>
      </c>
      <c r="L12" s="484">
        <f>J12+K12</f>
        <v>2354</v>
      </c>
      <c r="M12" s="349">
        <f t="shared" si="0"/>
        <v>0.22017220172201721</v>
      </c>
      <c r="N12" s="100"/>
      <c r="O12" s="100"/>
      <c r="P12" s="2" t="str">
        <f>B12</f>
        <v>Asia</v>
      </c>
      <c r="Q12" s="95">
        <f>F12+F19</f>
        <v>2459</v>
      </c>
    </row>
    <row r="13" spans="1:18">
      <c r="B13" s="294" t="s">
        <v>914</v>
      </c>
      <c r="C13" s="1542"/>
      <c r="D13" s="484">
        <v>280</v>
      </c>
      <c r="E13" s="484">
        <v>701</v>
      </c>
      <c r="F13" s="484">
        <f>SUM(D13:E13)</f>
        <v>981</v>
      </c>
      <c r="G13" s="484">
        <v>200</v>
      </c>
      <c r="H13" s="484">
        <v>410</v>
      </c>
      <c r="I13" s="484">
        <f>SUM(G13:H13)</f>
        <v>610</v>
      </c>
      <c r="J13" s="484">
        <v>198</v>
      </c>
      <c r="K13" s="484">
        <v>396</v>
      </c>
      <c r="L13" s="484">
        <f>J13+K13</f>
        <v>594</v>
      </c>
      <c r="M13" s="349">
        <f t="shared" si="0"/>
        <v>0.2854230377166157</v>
      </c>
      <c r="N13" s="100"/>
      <c r="O13" s="100"/>
      <c r="P13" s="2" t="str">
        <f>B13</f>
        <v>Rest of World</v>
      </c>
      <c r="Q13" s="95">
        <f>F13+F20</f>
        <v>1056</v>
      </c>
    </row>
    <row r="14" spans="1:18">
      <c r="B14" s="430" t="s">
        <v>915</v>
      </c>
      <c r="C14" s="1542"/>
      <c r="D14" s="484">
        <f t="shared" ref="D14:L14" si="1">SUM(D9:D13)</f>
        <v>3575</v>
      </c>
      <c r="E14" s="484">
        <f t="shared" si="1"/>
        <v>8609</v>
      </c>
      <c r="F14" s="484">
        <f t="shared" si="1"/>
        <v>12184</v>
      </c>
      <c r="G14" s="484">
        <f t="shared" si="1"/>
        <v>3728</v>
      </c>
      <c r="H14" s="484">
        <f t="shared" si="1"/>
        <v>9352</v>
      </c>
      <c r="I14" s="484">
        <f t="shared" si="1"/>
        <v>13080</v>
      </c>
      <c r="J14" s="484">
        <f t="shared" si="1"/>
        <v>3643</v>
      </c>
      <c r="K14" s="484">
        <f t="shared" si="1"/>
        <v>9616</v>
      </c>
      <c r="L14" s="484">
        <f t="shared" si="1"/>
        <v>13259</v>
      </c>
      <c r="M14" s="349">
        <f t="shared" si="0"/>
        <v>0.29341759684832569</v>
      </c>
      <c r="N14" s="101"/>
      <c r="O14" s="101"/>
      <c r="Q14" s="95"/>
    </row>
    <row r="15" spans="1:18">
      <c r="B15" s="334" t="s">
        <v>916</v>
      </c>
      <c r="C15" s="340"/>
      <c r="D15" s="341"/>
      <c r="E15" s="341"/>
      <c r="F15" s="341"/>
      <c r="G15" s="341"/>
      <c r="H15" s="341"/>
      <c r="I15" s="341"/>
      <c r="J15" s="341"/>
      <c r="K15" s="341"/>
      <c r="L15" s="341"/>
      <c r="M15" s="349"/>
      <c r="N15" s="98"/>
      <c r="O15" s="98"/>
    </row>
    <row r="16" spans="1:18" ht="14.4">
      <c r="B16" s="342" t="s">
        <v>910</v>
      </c>
      <c r="C16" s="1571" t="s">
        <v>1182</v>
      </c>
      <c r="D16" s="482">
        <v>64</v>
      </c>
      <c r="E16" s="482">
        <v>101</v>
      </c>
      <c r="F16" s="482">
        <f>SUM(D16:E16)</f>
        <v>165</v>
      </c>
      <c r="G16" s="1573">
        <v>102</v>
      </c>
      <c r="H16" s="1573">
        <v>104</v>
      </c>
      <c r="I16" s="1573">
        <f>SUM(G16:H16)</f>
        <v>206</v>
      </c>
      <c r="J16" s="1573">
        <v>103</v>
      </c>
      <c r="K16" s="1573">
        <v>154</v>
      </c>
      <c r="L16" s="1573">
        <f>J16+K16</f>
        <v>257</v>
      </c>
      <c r="M16" s="349">
        <f t="shared" ref="M16:M21" si="2">D16/F16</f>
        <v>0.38787878787878788</v>
      </c>
      <c r="N16" s="98"/>
      <c r="O16" s="98"/>
      <c r="P16" t="s">
        <v>917</v>
      </c>
      <c r="Q16" s="384">
        <v>0.54900000000000004</v>
      </c>
      <c r="R16" s="385">
        <v>0.55000000000000004</v>
      </c>
    </row>
    <row r="17" spans="1:18">
      <c r="B17" s="342" t="s">
        <v>911</v>
      </c>
      <c r="C17" s="1571"/>
      <c r="D17" s="482">
        <v>77</v>
      </c>
      <c r="E17" s="482">
        <v>91</v>
      </c>
      <c r="F17" s="482">
        <f>SUM(D17:E17)</f>
        <v>168</v>
      </c>
      <c r="G17" s="1573"/>
      <c r="H17" s="1573"/>
      <c r="I17" s="1573"/>
      <c r="J17" s="1573"/>
      <c r="K17" s="1573"/>
      <c r="L17" s="1573"/>
      <c r="M17" s="349">
        <f t="shared" si="2"/>
        <v>0.45833333333333331</v>
      </c>
      <c r="N17" s="99"/>
      <c r="O17" s="99"/>
      <c r="P17" s="2" t="s">
        <v>918</v>
      </c>
      <c r="Q17" s="384">
        <v>8.3000000000000004E-2</v>
      </c>
      <c r="R17" s="385">
        <v>0.08</v>
      </c>
    </row>
    <row r="18" spans="1:18">
      <c r="B18" s="342" t="s">
        <v>912</v>
      </c>
      <c r="C18" s="1571"/>
      <c r="D18" s="482">
        <v>13</v>
      </c>
      <c r="E18" s="482">
        <v>13</v>
      </c>
      <c r="F18" s="482">
        <f>SUM(D18:E18)</f>
        <v>26</v>
      </c>
      <c r="G18" s="482">
        <v>30</v>
      </c>
      <c r="H18" s="482">
        <v>44</v>
      </c>
      <c r="I18" s="482">
        <f>SUM(G18:H18)</f>
        <v>74</v>
      </c>
      <c r="J18" s="482">
        <v>4</v>
      </c>
      <c r="K18" s="482">
        <v>51</v>
      </c>
      <c r="L18" s="482">
        <f>J18+K18</f>
        <v>55</v>
      </c>
      <c r="M18" s="349">
        <f t="shared" si="2"/>
        <v>0.5</v>
      </c>
      <c r="N18" s="99"/>
      <c r="O18" s="99"/>
      <c r="P18" s="2" t="s">
        <v>919</v>
      </c>
      <c r="Q18" s="384">
        <v>0.111</v>
      </c>
      <c r="R18" s="385">
        <v>0.11</v>
      </c>
    </row>
    <row r="19" spans="1:18">
      <c r="B19" s="342" t="s">
        <v>913</v>
      </c>
      <c r="C19" s="1571"/>
      <c r="D19" s="482">
        <v>10</v>
      </c>
      <c r="E19" s="482">
        <v>10</v>
      </c>
      <c r="F19" s="482">
        <f>SUM(D19:E19)</f>
        <v>20</v>
      </c>
      <c r="G19" s="482">
        <v>10</v>
      </c>
      <c r="H19" s="482">
        <v>12</v>
      </c>
      <c r="I19" s="482">
        <f>SUM(G19:H19)</f>
        <v>22</v>
      </c>
      <c r="J19" s="482">
        <v>14</v>
      </c>
      <c r="K19" s="482">
        <v>13</v>
      </c>
      <c r="L19" s="482">
        <f>J19+K19</f>
        <v>27</v>
      </c>
      <c r="M19" s="349">
        <f t="shared" si="2"/>
        <v>0.5</v>
      </c>
      <c r="N19" s="99"/>
      <c r="O19" s="99"/>
      <c r="P19" s="2" t="s">
        <v>912</v>
      </c>
      <c r="Q19" s="384">
        <v>0.17299999999999999</v>
      </c>
      <c r="R19" s="385">
        <v>0.17</v>
      </c>
    </row>
    <row r="20" spans="1:18">
      <c r="B20" s="342" t="s">
        <v>914</v>
      </c>
      <c r="C20" s="1571"/>
      <c r="D20" s="482">
        <v>34</v>
      </c>
      <c r="E20" s="482">
        <v>41</v>
      </c>
      <c r="F20" s="482">
        <f>SUM(D20:E20)</f>
        <v>75</v>
      </c>
      <c r="G20" s="482">
        <v>28</v>
      </c>
      <c r="H20" s="482">
        <v>20</v>
      </c>
      <c r="I20" s="482">
        <f>SUM(G20:H20)</f>
        <v>48</v>
      </c>
      <c r="J20" s="482">
        <v>19</v>
      </c>
      <c r="K20" s="482">
        <v>24</v>
      </c>
      <c r="L20" s="482">
        <f>J20+K20</f>
        <v>43</v>
      </c>
      <c r="M20" s="349">
        <f t="shared" si="2"/>
        <v>0.45333333333333331</v>
      </c>
      <c r="N20" s="99"/>
      <c r="O20" s="99"/>
      <c r="P20" s="2" t="s">
        <v>914</v>
      </c>
      <c r="Q20" s="384">
        <v>8.4000000000000005E-2</v>
      </c>
      <c r="R20" s="385">
        <v>0.09</v>
      </c>
    </row>
    <row r="21" spans="1:18">
      <c r="B21" s="429" t="s">
        <v>915</v>
      </c>
      <c r="C21" s="1572"/>
      <c r="D21" s="419">
        <f t="shared" ref="D21:K21" si="3">SUM(D16:D20)</f>
        <v>198</v>
      </c>
      <c r="E21" s="419">
        <f t="shared" si="3"/>
        <v>256</v>
      </c>
      <c r="F21" s="419">
        <f t="shared" si="3"/>
        <v>454</v>
      </c>
      <c r="G21" s="419">
        <f t="shared" si="3"/>
        <v>170</v>
      </c>
      <c r="H21" s="419">
        <f t="shared" si="3"/>
        <v>180</v>
      </c>
      <c r="I21" s="419">
        <f t="shared" si="3"/>
        <v>350</v>
      </c>
      <c r="J21" s="419">
        <f t="shared" si="3"/>
        <v>140</v>
      </c>
      <c r="K21" s="419">
        <f t="shared" si="3"/>
        <v>242</v>
      </c>
      <c r="L21" s="419">
        <f>J21+K21</f>
        <v>382</v>
      </c>
      <c r="M21" s="420">
        <f t="shared" si="2"/>
        <v>0.43612334801762115</v>
      </c>
      <c r="N21" s="67"/>
      <c r="O21" s="67"/>
      <c r="Q21" s="384">
        <f>SUM(Q16:Q20)</f>
        <v>0.99999999999999989</v>
      </c>
      <c r="R21" s="348">
        <f>SUM(R16:R20)</f>
        <v>1</v>
      </c>
    </row>
    <row r="22" spans="1:18">
      <c r="B22" s="422" t="s">
        <v>920</v>
      </c>
      <c r="C22" s="423"/>
      <c r="D22" s="424"/>
      <c r="E22" s="424"/>
      <c r="F22" s="424"/>
      <c r="G22" s="424"/>
      <c r="H22" s="424"/>
      <c r="I22" s="424"/>
      <c r="J22" s="424"/>
      <c r="K22" s="424"/>
      <c r="L22" s="424"/>
      <c r="M22" s="424"/>
      <c r="N22" s="67"/>
      <c r="O22" s="67"/>
    </row>
    <row r="23" spans="1:18">
      <c r="B23" s="425" t="s">
        <v>910</v>
      </c>
      <c r="C23" s="1570" t="s">
        <v>1183</v>
      </c>
      <c r="D23" s="436">
        <f t="shared" ref="D23:L23" si="4">D9+D16</f>
        <v>1180</v>
      </c>
      <c r="E23" s="436">
        <f t="shared" si="4"/>
        <v>2899</v>
      </c>
      <c r="F23" s="436">
        <f t="shared" si="4"/>
        <v>4079</v>
      </c>
      <c r="G23" s="1566">
        <f t="shared" si="4"/>
        <v>2435</v>
      </c>
      <c r="H23" s="1566">
        <f t="shared" si="4"/>
        <v>5005</v>
      </c>
      <c r="I23" s="1566">
        <f t="shared" si="4"/>
        <v>7440</v>
      </c>
      <c r="J23" s="1566">
        <f t="shared" si="4"/>
        <v>2447</v>
      </c>
      <c r="K23" s="1566">
        <f t="shared" si="4"/>
        <v>5383</v>
      </c>
      <c r="L23" s="1566">
        <f t="shared" si="4"/>
        <v>7830</v>
      </c>
      <c r="M23" s="427">
        <f t="shared" ref="M23:M28" si="5">D23/F23</f>
        <v>0.28928658985045352</v>
      </c>
      <c r="N23" s="67"/>
      <c r="O23" s="67"/>
    </row>
    <row r="24" spans="1:18">
      <c r="B24" s="425" t="s">
        <v>911</v>
      </c>
      <c r="C24" s="1570"/>
      <c r="D24" s="436">
        <f t="shared" ref="D24:F27" si="6">D10+D17</f>
        <v>1165</v>
      </c>
      <c r="E24" s="436">
        <f t="shared" si="6"/>
        <v>1693</v>
      </c>
      <c r="F24" s="436">
        <f t="shared" si="6"/>
        <v>2858</v>
      </c>
      <c r="G24" s="1567"/>
      <c r="H24" s="1567"/>
      <c r="I24" s="1567"/>
      <c r="J24" s="1567"/>
      <c r="K24" s="1567"/>
      <c r="L24" s="1567"/>
      <c r="M24" s="427">
        <f t="shared" si="5"/>
        <v>0.40762771168649403</v>
      </c>
      <c r="N24" s="67"/>
      <c r="O24" s="67"/>
    </row>
    <row r="25" spans="1:18">
      <c r="B25" s="425" t="s">
        <v>912</v>
      </c>
      <c r="C25" s="1570"/>
      <c r="D25" s="436">
        <f t="shared" si="6"/>
        <v>567</v>
      </c>
      <c r="E25" s="436">
        <f t="shared" si="6"/>
        <v>1619</v>
      </c>
      <c r="F25" s="436">
        <f t="shared" si="6"/>
        <v>2186</v>
      </c>
      <c r="G25" s="436">
        <f t="shared" ref="G25:L27" si="7">G11+G18</f>
        <v>715</v>
      </c>
      <c r="H25" s="436">
        <f t="shared" si="7"/>
        <v>2120</v>
      </c>
      <c r="I25" s="436">
        <f t="shared" si="7"/>
        <v>2835</v>
      </c>
      <c r="J25" s="436">
        <f t="shared" si="7"/>
        <v>664</v>
      </c>
      <c r="K25" s="436">
        <f t="shared" si="7"/>
        <v>2129</v>
      </c>
      <c r="L25" s="436">
        <f t="shared" si="7"/>
        <v>2793</v>
      </c>
      <c r="M25" s="427">
        <f t="shared" si="5"/>
        <v>0.25937785910338518</v>
      </c>
      <c r="N25" s="67"/>
      <c r="O25" s="67"/>
    </row>
    <row r="26" spans="1:18">
      <c r="B26" s="425" t="s">
        <v>913</v>
      </c>
      <c r="C26" s="1570"/>
      <c r="D26" s="436">
        <f t="shared" si="6"/>
        <v>547</v>
      </c>
      <c r="E26" s="436">
        <f t="shared" si="6"/>
        <v>1912</v>
      </c>
      <c r="F26" s="436">
        <f t="shared" si="6"/>
        <v>2459</v>
      </c>
      <c r="G26" s="436">
        <f t="shared" si="7"/>
        <v>520</v>
      </c>
      <c r="H26" s="436">
        <f t="shared" si="7"/>
        <v>1977</v>
      </c>
      <c r="I26" s="436">
        <f t="shared" si="7"/>
        <v>2497</v>
      </c>
      <c r="J26" s="436">
        <f t="shared" si="7"/>
        <v>455</v>
      </c>
      <c r="K26" s="436">
        <f t="shared" si="7"/>
        <v>1926</v>
      </c>
      <c r="L26" s="436">
        <f t="shared" si="7"/>
        <v>2381</v>
      </c>
      <c r="M26" s="427">
        <f t="shared" si="5"/>
        <v>0.22244814965433102</v>
      </c>
      <c r="N26" s="67"/>
      <c r="O26" s="67"/>
    </row>
    <row r="27" spans="1:18">
      <c r="B27" s="425" t="s">
        <v>914</v>
      </c>
      <c r="C27" s="1570"/>
      <c r="D27" s="436">
        <f t="shared" si="6"/>
        <v>314</v>
      </c>
      <c r="E27" s="436">
        <f t="shared" si="6"/>
        <v>742</v>
      </c>
      <c r="F27" s="436">
        <f t="shared" si="6"/>
        <v>1056</v>
      </c>
      <c r="G27" s="436">
        <f t="shared" si="7"/>
        <v>228</v>
      </c>
      <c r="H27" s="436">
        <f t="shared" si="7"/>
        <v>430</v>
      </c>
      <c r="I27" s="436">
        <f t="shared" si="7"/>
        <v>658</v>
      </c>
      <c r="J27" s="436">
        <f t="shared" si="7"/>
        <v>217</v>
      </c>
      <c r="K27" s="436">
        <f t="shared" si="7"/>
        <v>420</v>
      </c>
      <c r="L27" s="436">
        <f t="shared" si="7"/>
        <v>637</v>
      </c>
      <c r="M27" s="427">
        <f t="shared" si="5"/>
        <v>0.29734848484848486</v>
      </c>
      <c r="N27" s="67"/>
      <c r="O27" s="67"/>
    </row>
    <row r="28" spans="1:18">
      <c r="B28" s="428" t="s">
        <v>915</v>
      </c>
      <c r="C28" s="1570"/>
      <c r="D28" s="426">
        <f>D14+D21</f>
        <v>3773</v>
      </c>
      <c r="E28" s="426">
        <f>E14+E21</f>
        <v>8865</v>
      </c>
      <c r="F28" s="426">
        <f>D28+E28</f>
        <v>12638</v>
      </c>
      <c r="G28" s="426">
        <f>G14+G21</f>
        <v>3898</v>
      </c>
      <c r="H28" s="426">
        <f>H14+H21</f>
        <v>9532</v>
      </c>
      <c r="I28" s="426">
        <f>G28+H28</f>
        <v>13430</v>
      </c>
      <c r="J28" s="426">
        <f>J14+J21</f>
        <v>3783</v>
      </c>
      <c r="K28" s="426">
        <f>K14+K21</f>
        <v>9858</v>
      </c>
      <c r="L28" s="426">
        <f>J28+K28</f>
        <v>13641</v>
      </c>
      <c r="M28" s="427">
        <f t="shared" si="5"/>
        <v>0.29854407342934008</v>
      </c>
      <c r="N28" s="67"/>
      <c r="O28" s="67"/>
    </row>
    <row r="29" spans="1:18">
      <c r="B29" s="346"/>
      <c r="C29" s="347"/>
      <c r="D29" s="565"/>
      <c r="E29" s="565"/>
      <c r="F29" s="565"/>
      <c r="G29" s="565"/>
      <c r="H29" s="565"/>
      <c r="I29" s="565"/>
      <c r="J29" s="565"/>
      <c r="K29" s="565"/>
      <c r="L29" s="565"/>
      <c r="M29" s="565"/>
      <c r="N29" s="1470"/>
      <c r="O29" s="67"/>
    </row>
    <row r="30" spans="1:18">
      <c r="B30" s="434" t="s">
        <v>922</v>
      </c>
      <c r="C30" s="435" t="s">
        <v>1184</v>
      </c>
      <c r="D30" s="436">
        <v>3</v>
      </c>
      <c r="E30" s="436">
        <v>6</v>
      </c>
      <c r="F30" s="436">
        <f t="shared" ref="F30:F35" si="8">D30+E30</f>
        <v>9</v>
      </c>
      <c r="G30" s="436">
        <v>3</v>
      </c>
      <c r="H30" s="436">
        <v>6</v>
      </c>
      <c r="I30" s="436">
        <f t="shared" ref="I30:I35" si="9">G30+H30</f>
        <v>9</v>
      </c>
      <c r="J30" s="436">
        <v>2</v>
      </c>
      <c r="K30" s="436">
        <v>5</v>
      </c>
      <c r="L30" s="436">
        <f t="shared" ref="L30:L35" si="10">J30+K30</f>
        <v>7</v>
      </c>
      <c r="M30" s="427">
        <f t="shared" ref="M30:M35" si="11">D30/F30</f>
        <v>0.33333333333333331</v>
      </c>
      <c r="N30" s="1471"/>
      <c r="O30" s="67"/>
    </row>
    <row r="31" spans="1:18">
      <c r="B31" s="434" t="s">
        <v>923</v>
      </c>
      <c r="C31" s="435" t="s">
        <v>1185</v>
      </c>
      <c r="D31" s="436">
        <v>3</v>
      </c>
      <c r="E31" s="436">
        <v>9</v>
      </c>
      <c r="F31" s="436">
        <f t="shared" si="8"/>
        <v>12</v>
      </c>
      <c r="G31" s="436">
        <v>2</v>
      </c>
      <c r="H31" s="436">
        <v>6</v>
      </c>
      <c r="I31" s="436">
        <f t="shared" si="9"/>
        <v>8</v>
      </c>
      <c r="J31" s="436">
        <v>4</v>
      </c>
      <c r="K31" s="436">
        <v>5</v>
      </c>
      <c r="L31" s="436">
        <f t="shared" si="10"/>
        <v>9</v>
      </c>
      <c r="M31" s="427">
        <f t="shared" si="11"/>
        <v>0.25</v>
      </c>
      <c r="O31" s="67"/>
    </row>
    <row r="32" spans="1:18" s="15" customFormat="1" ht="27.9" customHeight="1">
      <c r="A32" s="2"/>
      <c r="B32" s="432" t="s">
        <v>924</v>
      </c>
      <c r="C32" s="433" t="s">
        <v>1186</v>
      </c>
      <c r="D32" s="431">
        <v>13</v>
      </c>
      <c r="E32" s="431">
        <v>86</v>
      </c>
      <c r="F32" s="431">
        <f t="shared" si="8"/>
        <v>99</v>
      </c>
      <c r="G32" s="431">
        <v>17</v>
      </c>
      <c r="H32" s="431">
        <v>100</v>
      </c>
      <c r="I32" s="431">
        <f t="shared" si="9"/>
        <v>117</v>
      </c>
      <c r="J32" s="431">
        <v>16</v>
      </c>
      <c r="K32" s="431">
        <v>95</v>
      </c>
      <c r="L32" s="431">
        <f t="shared" si="10"/>
        <v>111</v>
      </c>
      <c r="M32" s="421">
        <f t="shared" si="11"/>
        <v>0.13131313131313133</v>
      </c>
      <c r="O32" s="67"/>
    </row>
    <row r="33" spans="1:15">
      <c r="B33" s="338" t="s">
        <v>925</v>
      </c>
      <c r="C33" s="339" t="s">
        <v>1187</v>
      </c>
      <c r="D33" s="337">
        <v>31</v>
      </c>
      <c r="E33" s="337">
        <v>52</v>
      </c>
      <c r="F33" s="337">
        <f t="shared" si="8"/>
        <v>83</v>
      </c>
      <c r="G33" s="337">
        <v>22</v>
      </c>
      <c r="H33" s="337">
        <v>38</v>
      </c>
      <c r="I33" s="337">
        <f t="shared" si="9"/>
        <v>60</v>
      </c>
      <c r="J33" s="337">
        <v>21</v>
      </c>
      <c r="K33" s="337">
        <v>41</v>
      </c>
      <c r="L33" s="337">
        <f t="shared" si="10"/>
        <v>62</v>
      </c>
      <c r="M33" s="349">
        <f t="shared" si="11"/>
        <v>0.37349397590361444</v>
      </c>
      <c r="O33" s="67"/>
    </row>
    <row r="34" spans="1:15" ht="52.8">
      <c r="B34" s="351" t="s">
        <v>1188</v>
      </c>
      <c r="C34" s="352" t="s">
        <v>1189</v>
      </c>
      <c r="D34" s="343">
        <v>478</v>
      </c>
      <c r="E34" s="343">
        <v>1223</v>
      </c>
      <c r="F34" s="343">
        <f t="shared" si="8"/>
        <v>1701</v>
      </c>
      <c r="G34" s="343">
        <v>487</v>
      </c>
      <c r="H34" s="343">
        <v>1302</v>
      </c>
      <c r="I34" s="343">
        <f t="shared" si="9"/>
        <v>1789</v>
      </c>
      <c r="J34" s="353"/>
      <c r="K34" s="353"/>
      <c r="L34" s="354">
        <f t="shared" si="10"/>
        <v>0</v>
      </c>
      <c r="M34" s="415">
        <f t="shared" si="11"/>
        <v>0.28101116990005881</v>
      </c>
      <c r="N34" s="416">
        <f>(M34-0.3)/(0.4-0.3)</f>
        <v>-0.18988830099941173</v>
      </c>
      <c r="O34" s="77"/>
    </row>
    <row r="35" spans="1:15">
      <c r="B35" s="335" t="s">
        <v>927</v>
      </c>
      <c r="C35" s="336"/>
      <c r="D35" s="337">
        <v>748</v>
      </c>
      <c r="E35" s="337">
        <v>1496</v>
      </c>
      <c r="F35" s="337">
        <f t="shared" si="8"/>
        <v>2244</v>
      </c>
      <c r="G35" s="337">
        <v>718</v>
      </c>
      <c r="H35" s="337">
        <v>1355</v>
      </c>
      <c r="I35" s="337">
        <f t="shared" si="9"/>
        <v>2073</v>
      </c>
      <c r="J35" s="337">
        <v>475</v>
      </c>
      <c r="K35" s="337">
        <v>1117</v>
      </c>
      <c r="L35" s="337">
        <f t="shared" si="10"/>
        <v>1592</v>
      </c>
      <c r="M35" s="349">
        <f t="shared" si="11"/>
        <v>0.33333333333333331</v>
      </c>
      <c r="O35" s="67"/>
    </row>
    <row r="36" spans="1:15">
      <c r="C36" s="70"/>
      <c r="D36" s="566"/>
      <c r="E36" s="566"/>
      <c r="F36" s="567"/>
      <c r="G36" s="568"/>
      <c r="H36" s="568"/>
      <c r="I36" s="568"/>
      <c r="J36" s="566"/>
      <c r="K36" s="566"/>
      <c r="L36" s="566"/>
      <c r="M36" s="67"/>
      <c r="O36" s="67"/>
    </row>
    <row r="37" spans="1:15">
      <c r="B37" s="319" t="s">
        <v>931</v>
      </c>
      <c r="C37" s="302"/>
      <c r="D37" s="297">
        <v>0</v>
      </c>
      <c r="E37" s="297">
        <v>0</v>
      </c>
      <c r="F37" s="297">
        <f>D37+E37</f>
        <v>0</v>
      </c>
      <c r="G37" s="297">
        <v>0</v>
      </c>
      <c r="H37" s="297">
        <v>0</v>
      </c>
      <c r="I37" s="297">
        <f>G37+H37</f>
        <v>0</v>
      </c>
      <c r="J37" s="297">
        <v>1</v>
      </c>
      <c r="K37" s="297">
        <v>0</v>
      </c>
      <c r="L37" s="297">
        <v>1</v>
      </c>
      <c r="M37" s="67"/>
      <c r="O37" s="67"/>
    </row>
    <row r="38" spans="1:15">
      <c r="B38" s="319" t="s">
        <v>932</v>
      </c>
      <c r="C38" s="302"/>
      <c r="D38" s="297">
        <v>0</v>
      </c>
      <c r="E38" s="297">
        <v>3</v>
      </c>
      <c r="F38" s="297">
        <f>D38+E38</f>
        <v>3</v>
      </c>
      <c r="G38" s="297">
        <v>0</v>
      </c>
      <c r="H38" s="297">
        <v>3</v>
      </c>
      <c r="I38" s="297">
        <f>G38+H38</f>
        <v>3</v>
      </c>
      <c r="J38" s="297">
        <v>0</v>
      </c>
      <c r="K38" s="297">
        <v>2</v>
      </c>
      <c r="L38" s="297">
        <v>2</v>
      </c>
      <c r="M38" s="67"/>
      <c r="O38" s="67"/>
    </row>
    <row r="39" spans="1:15">
      <c r="B39" s="319" t="s">
        <v>933</v>
      </c>
      <c r="C39" s="302"/>
      <c r="D39" s="297">
        <v>0</v>
      </c>
      <c r="E39" s="297">
        <v>2</v>
      </c>
      <c r="F39" s="297">
        <f>D39+E39</f>
        <v>2</v>
      </c>
      <c r="G39" s="297">
        <v>0</v>
      </c>
      <c r="H39" s="297">
        <v>2</v>
      </c>
      <c r="I39" s="297">
        <f>G39+H39</f>
        <v>2</v>
      </c>
      <c r="J39" s="297">
        <v>2</v>
      </c>
      <c r="K39" s="297">
        <v>4</v>
      </c>
      <c r="L39" s="297">
        <v>6</v>
      </c>
      <c r="M39" s="67"/>
      <c r="O39" s="67"/>
    </row>
    <row r="40" spans="1:15">
      <c r="B40" s="319" t="s">
        <v>934</v>
      </c>
      <c r="C40" s="302"/>
      <c r="D40" s="297">
        <v>3</v>
      </c>
      <c r="E40" s="297">
        <v>1</v>
      </c>
      <c r="F40" s="297">
        <f>D40+E40</f>
        <v>4</v>
      </c>
      <c r="G40" s="297">
        <v>3</v>
      </c>
      <c r="H40" s="297">
        <v>1</v>
      </c>
      <c r="I40" s="297">
        <f>G40+H40</f>
        <v>4</v>
      </c>
      <c r="J40" s="297">
        <v>0</v>
      </c>
      <c r="K40" s="297">
        <v>0</v>
      </c>
      <c r="L40" s="297">
        <v>0</v>
      </c>
      <c r="M40" s="67"/>
      <c r="O40" s="67"/>
    </row>
    <row r="41" spans="1:15">
      <c r="B41" s="320" t="s">
        <v>935</v>
      </c>
      <c r="C41" s="321"/>
      <c r="D41" s="299">
        <f t="shared" ref="D41:K41" si="12">SUM(D37:D40)</f>
        <v>3</v>
      </c>
      <c r="E41" s="299">
        <f t="shared" si="12"/>
        <v>6</v>
      </c>
      <c r="F41" s="299">
        <f t="shared" si="12"/>
        <v>9</v>
      </c>
      <c r="G41" s="299">
        <f t="shared" si="12"/>
        <v>3</v>
      </c>
      <c r="H41" s="299">
        <f t="shared" si="12"/>
        <v>6</v>
      </c>
      <c r="I41" s="299">
        <f t="shared" si="12"/>
        <v>9</v>
      </c>
      <c r="J41" s="299">
        <f t="shared" si="12"/>
        <v>3</v>
      </c>
      <c r="K41" s="299">
        <f t="shared" si="12"/>
        <v>6</v>
      </c>
      <c r="L41" s="299">
        <v>9</v>
      </c>
      <c r="M41" s="349">
        <f>D41/F41</f>
        <v>0.33333333333333331</v>
      </c>
      <c r="O41" s="67"/>
    </row>
    <row r="42" spans="1:15">
      <c r="C42" s="70"/>
      <c r="D42" s="569"/>
      <c r="E42" s="569"/>
      <c r="F42" s="567"/>
      <c r="G42" s="567"/>
      <c r="H42" s="567"/>
      <c r="I42" s="567"/>
      <c r="J42" s="569"/>
      <c r="K42" s="569"/>
      <c r="L42" s="569"/>
      <c r="M42" s="67"/>
      <c r="O42" s="67"/>
    </row>
    <row r="43" spans="1:15" ht="21.6" customHeight="1">
      <c r="B43" s="278" t="s">
        <v>936</v>
      </c>
      <c r="C43" s="1548" t="s">
        <v>1190</v>
      </c>
      <c r="D43" s="297">
        <v>640</v>
      </c>
      <c r="E43" s="297">
        <v>1388</v>
      </c>
      <c r="F43" s="297">
        <f>D43+E43</f>
        <v>2028</v>
      </c>
      <c r="G43" s="358">
        <v>719</v>
      </c>
      <c r="H43" s="358">
        <v>1509</v>
      </c>
      <c r="I43" s="358">
        <f>G43+H43</f>
        <v>2228</v>
      </c>
      <c r="J43" s="358">
        <v>730</v>
      </c>
      <c r="K43" s="358">
        <v>1608</v>
      </c>
      <c r="L43" s="358">
        <f>J43+K43</f>
        <v>2338</v>
      </c>
      <c r="M43" s="349">
        <f>D43/F43</f>
        <v>0.31558185404339251</v>
      </c>
      <c r="O43" s="67"/>
    </row>
    <row r="44" spans="1:15" ht="21.6" customHeight="1">
      <c r="B44" s="278" t="s">
        <v>1191</v>
      </c>
      <c r="C44" s="1548"/>
      <c r="D44" s="297">
        <v>1971</v>
      </c>
      <c r="E44" s="297">
        <v>4463</v>
      </c>
      <c r="F44" s="297">
        <f>D44+E44</f>
        <v>6434</v>
      </c>
      <c r="G44" s="1568">
        <v>2477</v>
      </c>
      <c r="H44" s="1568">
        <v>6050</v>
      </c>
      <c r="I44" s="1568">
        <f>G44+H44</f>
        <v>8527</v>
      </c>
      <c r="J44" s="1568">
        <v>2331</v>
      </c>
      <c r="K44" s="1568">
        <v>5927</v>
      </c>
      <c r="L44" s="1568">
        <f>J44+K44</f>
        <v>8258</v>
      </c>
      <c r="M44" s="349">
        <f>D44/F44</f>
        <v>0.30634131178116258</v>
      </c>
      <c r="O44" s="67"/>
    </row>
    <row r="45" spans="1:15" ht="21.6" customHeight="1">
      <c r="A45" s="12"/>
      <c r="B45" s="278" t="s">
        <v>938</v>
      </c>
      <c r="C45" s="1548"/>
      <c r="D45" s="297">
        <v>962</v>
      </c>
      <c r="E45" s="297">
        <v>2456</v>
      </c>
      <c r="F45" s="297">
        <f>D45+E45</f>
        <v>3418</v>
      </c>
      <c r="G45" s="1569"/>
      <c r="H45" s="1569"/>
      <c r="I45" s="1569"/>
      <c r="J45" s="1569"/>
      <c r="K45" s="1569"/>
      <c r="L45" s="1569"/>
      <c r="M45" s="349">
        <f>D45/F45</f>
        <v>0.28145114101813928</v>
      </c>
      <c r="O45" s="67"/>
    </row>
    <row r="46" spans="1:15" ht="21.6" customHeight="1">
      <c r="A46" s="376"/>
      <c r="B46" s="278" t="s">
        <v>939</v>
      </c>
      <c r="C46" s="1548"/>
      <c r="D46" s="297">
        <v>123</v>
      </c>
      <c r="E46" s="297">
        <v>434</v>
      </c>
      <c r="F46" s="297">
        <f>D46+E46</f>
        <v>557</v>
      </c>
      <c r="G46" s="358">
        <v>703</v>
      </c>
      <c r="H46" s="358">
        <v>1972</v>
      </c>
      <c r="I46" s="358">
        <f>G46+H46</f>
        <v>2675</v>
      </c>
      <c r="J46" s="358">
        <v>722</v>
      </c>
      <c r="K46" s="358">
        <v>2322</v>
      </c>
      <c r="L46" s="358">
        <f>J46+K46</f>
        <v>3044</v>
      </c>
      <c r="M46" s="349">
        <f>D46/F46</f>
        <v>0.22082585278276481</v>
      </c>
      <c r="O46" s="67"/>
    </row>
    <row r="47" spans="1:15" s="78" customFormat="1" ht="25.2">
      <c r="A47" s="377"/>
      <c r="B47" s="199" t="s">
        <v>920</v>
      </c>
      <c r="C47" s="298" t="s">
        <v>1192</v>
      </c>
      <c r="D47" s="303">
        <f t="shared" ref="D47:L47" si="13">SUM(D43:D46)</f>
        <v>3696</v>
      </c>
      <c r="E47" s="303">
        <f t="shared" si="13"/>
        <v>8741</v>
      </c>
      <c r="F47" s="303">
        <f t="shared" si="13"/>
        <v>12437</v>
      </c>
      <c r="G47" s="359">
        <f t="shared" si="13"/>
        <v>3899</v>
      </c>
      <c r="H47" s="359">
        <f t="shared" si="13"/>
        <v>9531</v>
      </c>
      <c r="I47" s="359">
        <f t="shared" si="13"/>
        <v>13430</v>
      </c>
      <c r="J47" s="359">
        <f t="shared" si="13"/>
        <v>3783</v>
      </c>
      <c r="K47" s="359">
        <f t="shared" si="13"/>
        <v>9857</v>
      </c>
      <c r="L47" s="359">
        <f t="shared" si="13"/>
        <v>13640</v>
      </c>
      <c r="M47" s="349">
        <f>D47/F47</f>
        <v>0.2971777759909946</v>
      </c>
      <c r="O47" s="79"/>
    </row>
    <row r="48" spans="1:15">
      <c r="B48" s="102"/>
      <c r="C48" s="317"/>
      <c r="D48" s="567"/>
      <c r="E48" s="567"/>
      <c r="F48" s="567"/>
      <c r="G48" s="567"/>
      <c r="H48" s="567"/>
      <c r="I48" s="567"/>
      <c r="J48" s="569"/>
      <c r="K48" s="569"/>
      <c r="L48" s="569"/>
      <c r="M48" s="67"/>
      <c r="O48" s="67"/>
    </row>
    <row r="49" spans="2:16" ht="16.5" customHeight="1">
      <c r="B49" s="174" t="s">
        <v>927</v>
      </c>
      <c r="C49" s="485" t="s">
        <v>1193</v>
      </c>
      <c r="D49" s="305">
        <v>748</v>
      </c>
      <c r="E49" s="305">
        <v>1496</v>
      </c>
      <c r="F49" s="306">
        <f>D49+E49</f>
        <v>2244</v>
      </c>
      <c r="G49" s="297">
        <v>718</v>
      </c>
      <c r="H49" s="297">
        <v>1355</v>
      </c>
      <c r="I49" s="297">
        <f>G49+H49</f>
        <v>2073</v>
      </c>
      <c r="J49" s="297">
        <v>475</v>
      </c>
      <c r="K49" s="297">
        <v>1117</v>
      </c>
      <c r="L49" s="297">
        <f>J49+K49</f>
        <v>1592</v>
      </c>
      <c r="M49" s="67"/>
      <c r="O49" s="67"/>
    </row>
    <row r="50" spans="2:16" ht="17.25" customHeight="1">
      <c r="B50" s="174" t="s">
        <v>966</v>
      </c>
      <c r="C50" s="485" t="s">
        <v>1194</v>
      </c>
      <c r="D50" s="307">
        <v>449</v>
      </c>
      <c r="E50" s="307">
        <v>1082</v>
      </c>
      <c r="F50" s="306">
        <f>D50+E50</f>
        <v>1531</v>
      </c>
      <c r="G50" s="301">
        <v>444</v>
      </c>
      <c r="H50" s="301">
        <v>1115</v>
      </c>
      <c r="I50" s="301">
        <f>G50+H50</f>
        <v>1559</v>
      </c>
      <c r="J50" s="301">
        <v>317</v>
      </c>
      <c r="K50" s="301">
        <v>797</v>
      </c>
      <c r="L50" s="301">
        <f>J50+K50</f>
        <v>1114</v>
      </c>
      <c r="M50" s="67"/>
      <c r="O50" s="67"/>
    </row>
    <row r="51" spans="2:16" ht="23.25" customHeight="1">
      <c r="B51" s="174" t="s">
        <v>968</v>
      </c>
      <c r="C51" s="1548" t="s">
        <v>1195</v>
      </c>
      <c r="D51" s="307">
        <v>375</v>
      </c>
      <c r="E51" s="307">
        <v>996</v>
      </c>
      <c r="F51" s="306">
        <f>D51+E51</f>
        <v>1371</v>
      </c>
      <c r="G51" s="301">
        <v>115</v>
      </c>
      <c r="H51" s="301">
        <v>396</v>
      </c>
      <c r="I51" s="301">
        <f>G51+H51</f>
        <v>511</v>
      </c>
      <c r="J51" s="301">
        <v>230</v>
      </c>
      <c r="K51" s="301">
        <v>782</v>
      </c>
      <c r="L51" s="301">
        <f>J51+K51</f>
        <v>1012</v>
      </c>
      <c r="M51" s="67"/>
      <c r="O51" s="67"/>
    </row>
    <row r="52" spans="2:16" ht="26.25" customHeight="1">
      <c r="B52" s="207" t="s">
        <v>1196</v>
      </c>
      <c r="C52" s="1548"/>
      <c r="D52" s="365">
        <v>125</v>
      </c>
      <c r="E52" s="365">
        <v>375</v>
      </c>
      <c r="F52" s="365">
        <f>D52+E52</f>
        <v>500</v>
      </c>
      <c r="G52" s="1549"/>
      <c r="H52" s="1550"/>
      <c r="I52" s="1551"/>
      <c r="J52" s="1549"/>
      <c r="K52" s="1550"/>
      <c r="L52" s="1551"/>
      <c r="M52" s="67"/>
      <c r="O52" s="67"/>
    </row>
    <row r="53" spans="2:16" ht="37.799999999999997">
      <c r="B53" s="207" t="s">
        <v>970</v>
      </c>
      <c r="C53" s="485" t="s">
        <v>1197</v>
      </c>
      <c r="D53" s="308">
        <v>0.123</v>
      </c>
      <c r="E53" s="308">
        <v>0.121</v>
      </c>
      <c r="F53" s="308">
        <v>0.122</v>
      </c>
      <c r="G53" s="1552">
        <v>0.11550000000000001</v>
      </c>
      <c r="H53" s="1553"/>
      <c r="I53" s="1554"/>
      <c r="J53" s="1552">
        <v>8.2000000000000003E-2</v>
      </c>
      <c r="K53" s="1553"/>
      <c r="L53" s="1554"/>
      <c r="M53" s="67"/>
      <c r="O53" s="67"/>
    </row>
    <row r="54" spans="2:16" ht="28.5" customHeight="1">
      <c r="B54" s="207" t="s">
        <v>1198</v>
      </c>
      <c r="C54" s="1548" t="s">
        <v>1199</v>
      </c>
      <c r="D54" s="308">
        <v>0.10299999999999999</v>
      </c>
      <c r="E54" s="308">
        <v>0.111</v>
      </c>
      <c r="F54" s="308">
        <v>0.109</v>
      </c>
      <c r="G54" s="1552">
        <v>3.7900000000000003E-2</v>
      </c>
      <c r="H54" s="1553"/>
      <c r="I54" s="1554"/>
      <c r="J54" s="1552">
        <v>7.4999999999999997E-2</v>
      </c>
      <c r="K54" s="1553"/>
      <c r="L54" s="1554"/>
      <c r="M54" s="67"/>
      <c r="O54" s="67"/>
    </row>
    <row r="55" spans="2:16" ht="35.1" customHeight="1">
      <c r="B55" s="207" t="s">
        <v>1200</v>
      </c>
      <c r="C55" s="1548"/>
      <c r="D55" s="366">
        <v>3.4000000000000002E-2</v>
      </c>
      <c r="E55" s="366">
        <v>3.7999999999999999E-2</v>
      </c>
      <c r="F55" s="366">
        <v>3.6999999999999998E-2</v>
      </c>
      <c r="G55" s="1555">
        <v>3.8199999999999998E-2</v>
      </c>
      <c r="H55" s="1556"/>
      <c r="I55" s="1557"/>
      <c r="J55" s="1558">
        <v>7.5999999999999998E-2</v>
      </c>
      <c r="K55" s="1559"/>
      <c r="L55" s="1560"/>
      <c r="M55" s="67"/>
      <c r="O55" s="67"/>
    </row>
    <row r="56" spans="2:16" ht="30" customHeight="1">
      <c r="B56" s="207" t="s">
        <v>1201</v>
      </c>
      <c r="C56" s="1561" t="s">
        <v>1202</v>
      </c>
      <c r="D56" s="308">
        <f>D53+D54</f>
        <v>0.22599999999999998</v>
      </c>
      <c r="E56" s="308">
        <f>E53+E54</f>
        <v>0.23199999999999998</v>
      </c>
      <c r="F56" s="308">
        <f>F53+F54</f>
        <v>0.23099999999999998</v>
      </c>
      <c r="G56" s="1563">
        <f>G53+G54</f>
        <v>0.15340000000000001</v>
      </c>
      <c r="H56" s="1564"/>
      <c r="I56" s="1565"/>
      <c r="J56" s="1563">
        <f>J53+J54</f>
        <v>0.157</v>
      </c>
      <c r="K56" s="1564"/>
      <c r="L56" s="1565"/>
      <c r="M56" s="67"/>
      <c r="O56" s="67"/>
    </row>
    <row r="57" spans="2:16" ht="30" customHeight="1">
      <c r="B57" s="207" t="s">
        <v>1203</v>
      </c>
      <c r="C57" s="1562"/>
      <c r="D57" s="366">
        <f>D53+D55</f>
        <v>0.157</v>
      </c>
      <c r="E57" s="366">
        <f>E53+E55</f>
        <v>0.159</v>
      </c>
      <c r="F57" s="366">
        <f>F53+F55</f>
        <v>0.159</v>
      </c>
      <c r="G57" s="1555">
        <f>G53+G55</f>
        <v>0.1537</v>
      </c>
      <c r="H57" s="1556"/>
      <c r="I57" s="1557"/>
      <c r="J57" s="1555">
        <f>J53+J55</f>
        <v>0.158</v>
      </c>
      <c r="K57" s="1556"/>
      <c r="L57" s="1557"/>
      <c r="M57" s="67"/>
      <c r="O57" s="67"/>
    </row>
    <row r="58" spans="2:16">
      <c r="B58" s="68" t="s">
        <v>1204</v>
      </c>
      <c r="C58" s="102"/>
      <c r="D58" s="69"/>
      <c r="E58" s="69"/>
      <c r="F58" s="69"/>
      <c r="G58" s="69"/>
      <c r="H58" s="69"/>
      <c r="I58" s="69"/>
      <c r="J58" s="69"/>
      <c r="K58" s="69"/>
      <c r="L58" s="69"/>
      <c r="M58" s="69"/>
      <c r="O58" s="67"/>
      <c r="P58" s="67"/>
    </row>
    <row r="59" spans="2:16">
      <c r="B59" s="67"/>
      <c r="C59" s="67"/>
      <c r="D59" s="67"/>
      <c r="E59" s="67"/>
      <c r="F59" s="67"/>
      <c r="G59" s="67"/>
      <c r="H59" s="67"/>
      <c r="I59" s="67"/>
      <c r="J59" s="67"/>
      <c r="K59" s="67"/>
      <c r="L59" s="67"/>
      <c r="M59" s="67"/>
      <c r="O59" s="67"/>
    </row>
    <row r="60" spans="2:16" s="87" customFormat="1" ht="17.399999999999999" hidden="1" customHeight="1">
      <c r="B60" s="81" t="s">
        <v>1205</v>
      </c>
      <c r="C60" s="82" t="s">
        <v>1177</v>
      </c>
      <c r="D60" s="83" t="s">
        <v>546</v>
      </c>
      <c r="E60" s="83" t="s">
        <v>547</v>
      </c>
      <c r="F60" s="83" t="s">
        <v>548</v>
      </c>
      <c r="G60" s="84"/>
      <c r="H60" s="85"/>
      <c r="I60" s="85"/>
      <c r="J60" s="84"/>
      <c r="K60" s="85"/>
      <c r="L60" s="85"/>
      <c r="M60" s="86"/>
      <c r="O60" s="86"/>
    </row>
    <row r="61" spans="2:16" s="87" customFormat="1" ht="17.399999999999999" hidden="1" customHeight="1">
      <c r="B61" s="88" t="s">
        <v>1206</v>
      </c>
      <c r="C61" s="82"/>
      <c r="D61" s="89"/>
      <c r="E61" s="89"/>
      <c r="F61" s="89"/>
      <c r="G61" s="84"/>
      <c r="H61" s="85"/>
      <c r="I61" s="85"/>
      <c r="J61" s="84"/>
      <c r="K61" s="85"/>
      <c r="L61" s="85"/>
      <c r="M61" s="86"/>
      <c r="O61" s="86"/>
    </row>
    <row r="62" spans="2:16" s="87" customFormat="1" ht="17.399999999999999" hidden="1" customHeight="1">
      <c r="B62" s="90" t="s">
        <v>910</v>
      </c>
      <c r="C62" s="1545" t="s">
        <v>1207</v>
      </c>
      <c r="D62" s="91"/>
      <c r="E62" s="91"/>
      <c r="F62" s="91"/>
      <c r="G62" s="86"/>
      <c r="H62" s="86"/>
      <c r="I62" s="86"/>
      <c r="J62" s="86"/>
      <c r="K62" s="86"/>
      <c r="L62" s="86"/>
      <c r="M62" s="86"/>
      <c r="O62" s="86"/>
    </row>
    <row r="63" spans="2:16" s="87" customFormat="1" ht="17.399999999999999" hidden="1" customHeight="1">
      <c r="B63" s="90" t="s">
        <v>911</v>
      </c>
      <c r="C63" s="1545"/>
      <c r="D63" s="91"/>
      <c r="E63" s="91"/>
      <c r="F63" s="91"/>
      <c r="G63" s="86"/>
      <c r="H63" s="86"/>
      <c r="I63" s="86"/>
      <c r="J63" s="86"/>
      <c r="K63" s="86"/>
      <c r="L63" s="86"/>
      <c r="M63" s="86"/>
      <c r="O63" s="86"/>
    </row>
    <row r="64" spans="2:16" s="87" customFormat="1" ht="17.399999999999999" hidden="1" customHeight="1">
      <c r="B64" s="90" t="s">
        <v>912</v>
      </c>
      <c r="C64" s="1545"/>
      <c r="D64" s="91"/>
      <c r="E64" s="91"/>
      <c r="F64" s="91"/>
      <c r="G64" s="86"/>
      <c r="H64" s="86"/>
      <c r="I64" s="86"/>
      <c r="J64" s="86"/>
      <c r="K64" s="86"/>
      <c r="L64" s="86"/>
      <c r="M64" s="86"/>
      <c r="O64" s="86"/>
    </row>
    <row r="65" spans="2:15" s="87" customFormat="1" ht="17.399999999999999" hidden="1" customHeight="1">
      <c r="B65" s="90" t="s">
        <v>913</v>
      </c>
      <c r="C65" s="1545"/>
      <c r="D65" s="91"/>
      <c r="E65" s="91"/>
      <c r="F65" s="91"/>
      <c r="G65" s="86"/>
      <c r="H65" s="86"/>
      <c r="I65" s="86"/>
      <c r="J65" s="86"/>
      <c r="K65" s="86"/>
      <c r="L65" s="86"/>
      <c r="M65" s="86"/>
      <c r="O65" s="86"/>
    </row>
    <row r="66" spans="2:15" s="87" customFormat="1" ht="17.399999999999999" hidden="1" customHeight="1">
      <c r="B66" s="90" t="s">
        <v>914</v>
      </c>
      <c r="C66" s="1545"/>
      <c r="D66" s="91"/>
      <c r="E66" s="91"/>
      <c r="F66" s="91"/>
      <c r="G66" s="86"/>
      <c r="H66" s="86"/>
      <c r="I66" s="86"/>
      <c r="J66" s="86"/>
      <c r="K66" s="86"/>
      <c r="L66" s="86"/>
      <c r="M66" s="86"/>
      <c r="O66" s="86"/>
    </row>
    <row r="67" spans="2:15" s="87" customFormat="1" ht="17.399999999999999" hidden="1" customHeight="1">
      <c r="B67" s="92" t="s">
        <v>915</v>
      </c>
      <c r="C67" s="1545"/>
      <c r="D67" s="91">
        <f>SUM(D62:D66)</f>
        <v>0</v>
      </c>
      <c r="E67" s="91">
        <f>SUM(E62:E66)</f>
        <v>0</v>
      </c>
      <c r="F67" s="91">
        <f>SUM(F62:F66)</f>
        <v>0</v>
      </c>
      <c r="G67" s="86"/>
      <c r="H67" s="86"/>
      <c r="I67" s="86"/>
      <c r="J67" s="86"/>
      <c r="K67" s="86"/>
      <c r="L67" s="86"/>
      <c r="M67" s="86"/>
      <c r="O67" s="86"/>
    </row>
    <row r="68" spans="2:15" s="87" customFormat="1" ht="17.399999999999999" hidden="1" customHeight="1">
      <c r="B68" s="93" t="s">
        <v>1208</v>
      </c>
      <c r="C68" s="487"/>
      <c r="D68" s="91"/>
      <c r="E68" s="91"/>
      <c r="F68" s="91"/>
      <c r="G68" s="86"/>
      <c r="H68" s="86"/>
      <c r="I68" s="86"/>
      <c r="J68" s="86"/>
      <c r="K68" s="86"/>
      <c r="L68" s="86"/>
      <c r="M68" s="86"/>
      <c r="O68" s="86"/>
    </row>
    <row r="69" spans="2:15" s="87" customFormat="1" ht="17.399999999999999" hidden="1" customHeight="1">
      <c r="B69" s="90" t="s">
        <v>910</v>
      </c>
      <c r="C69" s="1545" t="s">
        <v>1209</v>
      </c>
      <c r="D69" s="91">
        <v>376</v>
      </c>
      <c r="E69" s="91"/>
      <c r="F69" s="91"/>
      <c r="G69" s="86"/>
      <c r="H69" s="86"/>
      <c r="I69" s="86"/>
      <c r="J69" s="86"/>
      <c r="K69" s="86"/>
      <c r="L69" s="86"/>
      <c r="M69" s="86"/>
      <c r="O69" s="86"/>
    </row>
    <row r="70" spans="2:15" s="87" customFormat="1" ht="17.399999999999999" hidden="1" customHeight="1">
      <c r="B70" s="90" t="s">
        <v>911</v>
      </c>
      <c r="C70" s="1545"/>
      <c r="D70" s="91">
        <v>316</v>
      </c>
      <c r="E70" s="91"/>
      <c r="F70" s="91"/>
      <c r="G70" s="86"/>
      <c r="H70" s="86"/>
      <c r="I70" s="86"/>
      <c r="J70" s="86"/>
      <c r="K70" s="86"/>
      <c r="L70" s="86"/>
      <c r="M70" s="86"/>
      <c r="O70" s="86"/>
    </row>
    <row r="71" spans="2:15" s="87" customFormat="1" ht="17.399999999999999" hidden="1" customHeight="1">
      <c r="B71" s="90" t="s">
        <v>912</v>
      </c>
      <c r="C71" s="1545"/>
      <c r="D71" s="91">
        <v>72</v>
      </c>
      <c r="E71" s="91"/>
      <c r="F71" s="91"/>
      <c r="G71" s="86"/>
      <c r="H71" s="86"/>
      <c r="I71" s="86"/>
      <c r="J71" s="86"/>
      <c r="K71" s="86"/>
      <c r="L71" s="86"/>
      <c r="M71" s="86"/>
      <c r="O71" s="86"/>
    </row>
    <row r="72" spans="2:15" s="87" customFormat="1" ht="17.399999999999999" hidden="1" customHeight="1">
      <c r="B72" s="90" t="s">
        <v>913</v>
      </c>
      <c r="C72" s="1545"/>
      <c r="D72" s="91">
        <v>142</v>
      </c>
      <c r="E72" s="91"/>
      <c r="F72" s="91"/>
      <c r="G72" s="86"/>
      <c r="H72" s="86"/>
      <c r="I72" s="86"/>
      <c r="J72" s="86"/>
      <c r="K72" s="86"/>
      <c r="L72" s="86"/>
      <c r="M72" s="86"/>
      <c r="O72" s="86"/>
    </row>
    <row r="73" spans="2:15" s="87" customFormat="1" ht="17.399999999999999" hidden="1" customHeight="1">
      <c r="B73" s="90" t="s">
        <v>914</v>
      </c>
      <c r="C73" s="1545"/>
      <c r="D73" s="91">
        <v>43</v>
      </c>
      <c r="E73" s="91"/>
      <c r="F73" s="91"/>
      <c r="G73" s="86"/>
      <c r="H73" s="86"/>
      <c r="I73" s="86"/>
      <c r="J73" s="86"/>
      <c r="K73" s="86"/>
      <c r="L73" s="86"/>
      <c r="M73" s="86"/>
      <c r="O73" s="86"/>
    </row>
    <row r="74" spans="2:15" s="87" customFormat="1" ht="17.399999999999999" hidden="1" customHeight="1">
      <c r="B74" s="92" t="s">
        <v>915</v>
      </c>
      <c r="C74" s="1545"/>
      <c r="D74" s="91">
        <f>SUM(D69:D73)</f>
        <v>949</v>
      </c>
      <c r="E74" s="91">
        <f>SUM(E69:E73)</f>
        <v>0</v>
      </c>
      <c r="F74" s="91">
        <f>SUM(F69:F73)</f>
        <v>0</v>
      </c>
      <c r="G74" s="86"/>
      <c r="H74" s="86"/>
      <c r="I74" s="86"/>
      <c r="J74" s="86"/>
      <c r="K74" s="86"/>
      <c r="L74" s="86"/>
      <c r="M74" s="86"/>
      <c r="O74" s="86"/>
    </row>
    <row r="75" spans="2:15" s="87" customFormat="1" ht="17.399999999999999" hidden="1" customHeight="1">
      <c r="B75" s="93" t="s">
        <v>1210</v>
      </c>
      <c r="C75" s="487"/>
      <c r="D75" s="91"/>
      <c r="E75" s="91"/>
      <c r="F75" s="91"/>
      <c r="G75" s="86"/>
      <c r="H75" s="86"/>
      <c r="I75" s="86"/>
      <c r="J75" s="86"/>
      <c r="K75" s="86"/>
      <c r="L75" s="86"/>
      <c r="M75" s="86"/>
      <c r="O75" s="86"/>
    </row>
    <row r="76" spans="2:15" s="87" customFormat="1" ht="17.399999999999999" hidden="1" customHeight="1">
      <c r="B76" s="90" t="s">
        <v>910</v>
      </c>
      <c r="C76" s="1545" t="s">
        <v>1211</v>
      </c>
      <c r="D76" s="91"/>
      <c r="E76" s="91"/>
      <c r="F76" s="91"/>
      <c r="G76" s="86"/>
      <c r="H76" s="86"/>
      <c r="I76" s="86"/>
      <c r="J76" s="86"/>
      <c r="K76" s="86"/>
      <c r="L76" s="86"/>
      <c r="M76" s="86"/>
      <c r="O76" s="86"/>
    </row>
    <row r="77" spans="2:15" s="87" customFormat="1" ht="17.399999999999999" hidden="1" customHeight="1">
      <c r="B77" s="90" t="s">
        <v>911</v>
      </c>
      <c r="C77" s="1545"/>
      <c r="D77" s="91"/>
      <c r="E77" s="91"/>
      <c r="F77" s="91"/>
      <c r="G77" s="86"/>
      <c r="H77" s="86"/>
      <c r="I77" s="86"/>
      <c r="J77" s="86"/>
      <c r="K77" s="86"/>
      <c r="L77" s="86"/>
      <c r="M77" s="86"/>
      <c r="O77" s="86"/>
    </row>
    <row r="78" spans="2:15" s="87" customFormat="1" ht="17.399999999999999" hidden="1" customHeight="1">
      <c r="B78" s="90" t="s">
        <v>912</v>
      </c>
      <c r="C78" s="1545"/>
      <c r="D78" s="91"/>
      <c r="E78" s="91"/>
      <c r="F78" s="91"/>
      <c r="G78" s="86"/>
      <c r="H78" s="86"/>
      <c r="I78" s="86"/>
      <c r="J78" s="86"/>
      <c r="K78" s="86"/>
      <c r="L78" s="86"/>
      <c r="M78" s="86"/>
      <c r="O78" s="86"/>
    </row>
    <row r="79" spans="2:15" s="87" customFormat="1" ht="17.399999999999999" hidden="1" customHeight="1">
      <c r="B79" s="90" t="s">
        <v>913</v>
      </c>
      <c r="C79" s="1545"/>
      <c r="D79" s="91"/>
      <c r="E79" s="91"/>
      <c r="F79" s="91"/>
      <c r="G79" s="86"/>
      <c r="H79" s="86"/>
      <c r="I79" s="86"/>
      <c r="J79" s="86"/>
      <c r="K79" s="86"/>
      <c r="L79" s="86"/>
      <c r="M79" s="86"/>
      <c r="O79" s="86"/>
    </row>
    <row r="80" spans="2:15" s="87" customFormat="1" ht="17.399999999999999" hidden="1" customHeight="1">
      <c r="B80" s="90" t="s">
        <v>914</v>
      </c>
      <c r="C80" s="1545"/>
      <c r="D80" s="91"/>
      <c r="E80" s="91"/>
      <c r="F80" s="91"/>
      <c r="G80" s="86"/>
      <c r="H80" s="86"/>
      <c r="I80" s="86"/>
      <c r="J80" s="86"/>
      <c r="K80" s="86"/>
      <c r="L80" s="86"/>
      <c r="M80" s="86"/>
      <c r="O80" s="86"/>
    </row>
    <row r="81" spans="1:15" s="87" customFormat="1" ht="17.399999999999999" hidden="1" customHeight="1">
      <c r="B81" s="92" t="s">
        <v>915</v>
      </c>
      <c r="C81" s="1545"/>
      <c r="D81" s="91">
        <f>SUM(D76:D80)</f>
        <v>0</v>
      </c>
      <c r="E81" s="91">
        <f>SUM(E76:E80)</f>
        <v>0</v>
      </c>
      <c r="F81" s="91">
        <f>SUM(F76:F80)</f>
        <v>0</v>
      </c>
      <c r="G81" s="86"/>
      <c r="H81" s="86"/>
      <c r="I81" s="86"/>
      <c r="J81" s="86"/>
      <c r="K81" s="86"/>
      <c r="L81" s="86"/>
      <c r="M81" s="86"/>
      <c r="O81" s="86"/>
    </row>
    <row r="82" spans="1:15" s="87" customFormat="1" ht="17.399999999999999" hidden="1" customHeight="1">
      <c r="B82" s="94" t="s">
        <v>1212</v>
      </c>
      <c r="C82" s="487"/>
      <c r="D82" s="91">
        <f>D67+D74+D81</f>
        <v>949</v>
      </c>
      <c r="E82" s="91">
        <f>E67+E74+E81</f>
        <v>0</v>
      </c>
      <c r="F82" s="91">
        <f>F67+F74+F81</f>
        <v>0</v>
      </c>
      <c r="G82" s="86"/>
      <c r="H82" s="86"/>
      <c r="I82" s="86"/>
      <c r="J82" s="86"/>
      <c r="K82" s="86"/>
      <c r="L82" s="86"/>
      <c r="M82" s="86"/>
      <c r="O82" s="86"/>
    </row>
    <row r="83" spans="1:15" ht="23.1" customHeight="1">
      <c r="A83" s="1546" t="s">
        <v>1213</v>
      </c>
      <c r="B83" s="314" t="s">
        <v>1205</v>
      </c>
      <c r="C83" s="316" t="s">
        <v>1177</v>
      </c>
      <c r="D83" s="491" t="s">
        <v>546</v>
      </c>
      <c r="E83" s="491" t="s">
        <v>547</v>
      </c>
      <c r="F83" s="491" t="s">
        <v>548</v>
      </c>
      <c r="G83" s="67"/>
      <c r="H83" s="67"/>
      <c r="I83" s="67"/>
      <c r="J83" s="67"/>
      <c r="K83" s="67"/>
      <c r="L83" s="67"/>
      <c r="M83" s="67"/>
      <c r="O83" s="67"/>
    </row>
    <row r="84" spans="1:15">
      <c r="A84" s="1546"/>
      <c r="B84" s="294" t="s">
        <v>910</v>
      </c>
      <c r="C84" s="1547" t="s">
        <v>1214</v>
      </c>
      <c r="D84" s="309">
        <v>376</v>
      </c>
      <c r="E84" s="310"/>
      <c r="F84" s="310"/>
      <c r="G84" s="67"/>
      <c r="H84" s="67"/>
      <c r="I84" s="67"/>
      <c r="J84" s="67"/>
      <c r="K84" s="67"/>
      <c r="L84" s="67"/>
      <c r="M84" s="67"/>
      <c r="O84" s="67"/>
    </row>
    <row r="85" spans="1:15">
      <c r="A85" s="1546"/>
      <c r="B85" s="294" t="s">
        <v>911</v>
      </c>
      <c r="C85" s="1547"/>
      <c r="D85" s="309">
        <v>316</v>
      </c>
      <c r="E85" s="310"/>
      <c r="F85" s="310"/>
      <c r="G85" s="67"/>
      <c r="H85" s="67"/>
      <c r="I85" s="67"/>
      <c r="J85" s="67"/>
      <c r="K85" s="67"/>
      <c r="L85" s="67"/>
      <c r="M85" s="67"/>
      <c r="O85" s="67"/>
    </row>
    <row r="86" spans="1:15">
      <c r="A86" s="1546"/>
      <c r="B86" s="294" t="s">
        <v>912</v>
      </c>
      <c r="C86" s="1547"/>
      <c r="D86" s="309">
        <v>72</v>
      </c>
      <c r="E86" s="310"/>
      <c r="F86" s="310"/>
      <c r="G86" s="67"/>
      <c r="H86" s="67"/>
      <c r="I86" s="67"/>
      <c r="J86" s="67"/>
      <c r="K86" s="67"/>
      <c r="L86" s="67"/>
      <c r="M86" s="67"/>
      <c r="O86" s="67"/>
    </row>
    <row r="87" spans="1:15">
      <c r="A87" s="1546"/>
      <c r="B87" s="294" t="s">
        <v>913</v>
      </c>
      <c r="C87" s="1547"/>
      <c r="D87" s="309">
        <v>142</v>
      </c>
      <c r="E87" s="310"/>
      <c r="F87" s="310"/>
      <c r="G87" s="67"/>
      <c r="H87" s="67"/>
      <c r="I87" s="67"/>
      <c r="J87" s="67"/>
      <c r="K87" s="67"/>
      <c r="L87" s="67"/>
      <c r="M87" s="67"/>
      <c r="O87" s="67"/>
    </row>
    <row r="88" spans="1:15">
      <c r="A88" s="1546"/>
      <c r="B88" s="294" t="s">
        <v>914</v>
      </c>
      <c r="C88" s="1547"/>
      <c r="D88" s="309">
        <v>43</v>
      </c>
      <c r="E88" s="310"/>
      <c r="F88" s="310"/>
      <c r="G88" s="67"/>
      <c r="H88" s="67"/>
      <c r="I88" s="67"/>
      <c r="J88" s="67"/>
      <c r="K88" s="67"/>
      <c r="L88" s="67"/>
      <c r="M88" s="67"/>
      <c r="O88" s="67"/>
    </row>
    <row r="89" spans="1:15">
      <c r="A89" s="1546"/>
      <c r="B89" s="295" t="s">
        <v>915</v>
      </c>
      <c r="C89" s="1547"/>
      <c r="D89" s="309">
        <f>SUM(D84:D88)</f>
        <v>949</v>
      </c>
      <c r="E89" s="310">
        <f>SUM(E84:E88)</f>
        <v>0</v>
      </c>
      <c r="F89" s="310">
        <f>SUM(F84:F88)</f>
        <v>0</v>
      </c>
      <c r="G89" s="67"/>
      <c r="H89" s="67"/>
      <c r="I89" s="67"/>
      <c r="J89" s="67"/>
      <c r="K89" s="67"/>
      <c r="L89" s="67"/>
      <c r="M89" s="67"/>
      <c r="O89" s="67"/>
    </row>
    <row r="90" spans="1:15">
      <c r="C90" s="70"/>
      <c r="D90" s="486"/>
      <c r="E90" s="486"/>
      <c r="F90" s="486"/>
      <c r="G90" s="67"/>
      <c r="H90" s="67"/>
      <c r="I90" s="67"/>
      <c r="J90" s="67"/>
      <c r="K90" s="67"/>
      <c r="L90" s="67"/>
      <c r="M90" s="67"/>
      <c r="O90" s="67"/>
    </row>
    <row r="91" spans="1:15" ht="17.399999999999999">
      <c r="B91" s="489" t="s">
        <v>1215</v>
      </c>
      <c r="C91" s="316" t="s">
        <v>1177</v>
      </c>
      <c r="D91" s="288" t="s">
        <v>546</v>
      </c>
      <c r="E91" s="288" t="s">
        <v>547</v>
      </c>
      <c r="F91" s="288" t="s">
        <v>548</v>
      </c>
      <c r="G91" s="67"/>
      <c r="H91" s="67"/>
      <c r="I91" s="67"/>
      <c r="J91" s="67"/>
      <c r="K91" s="67"/>
      <c r="L91" s="67"/>
      <c r="M91" s="67"/>
      <c r="O91" s="67"/>
    </row>
    <row r="92" spans="1:15" ht="25.2">
      <c r="B92" s="333" t="s">
        <v>1216</v>
      </c>
      <c r="C92" s="311" t="s">
        <v>1217</v>
      </c>
      <c r="D92" s="360">
        <f>D89+F28</f>
        <v>13587</v>
      </c>
      <c r="E92" s="360">
        <f>E89+I28</f>
        <v>13430</v>
      </c>
      <c r="F92" s="361">
        <f>F89+L28</f>
        <v>13641</v>
      </c>
      <c r="G92" s="67"/>
      <c r="H92" s="67"/>
      <c r="I92" s="67"/>
      <c r="J92" s="67"/>
      <c r="K92" s="67"/>
      <c r="L92" s="67"/>
      <c r="M92" s="67"/>
      <c r="O92" s="67"/>
    </row>
    <row r="93" spans="1:15">
      <c r="B93" s="174" t="s">
        <v>1218</v>
      </c>
      <c r="C93" s="313" t="s">
        <v>1183</v>
      </c>
      <c r="D93" s="179">
        <v>12666</v>
      </c>
      <c r="E93" s="179">
        <v>13497</v>
      </c>
      <c r="F93" s="179">
        <v>13546</v>
      </c>
      <c r="G93" s="67"/>
      <c r="H93" s="67"/>
      <c r="I93" s="67"/>
      <c r="J93" s="67"/>
      <c r="K93" s="67"/>
      <c r="L93" s="67"/>
      <c r="M93" s="67"/>
      <c r="O93" s="67"/>
    </row>
    <row r="94" spans="1:15">
      <c r="B94" s="174" t="s">
        <v>1219</v>
      </c>
      <c r="C94" s="313" t="s">
        <v>1183</v>
      </c>
      <c r="D94" s="322">
        <v>12510</v>
      </c>
      <c r="E94" s="355"/>
      <c r="F94" s="355"/>
      <c r="G94" s="67"/>
      <c r="H94" s="67"/>
      <c r="I94" s="67"/>
      <c r="J94" s="67"/>
      <c r="K94" s="67"/>
      <c r="L94" s="67"/>
      <c r="M94" s="67"/>
      <c r="O94" s="67"/>
    </row>
    <row r="95" spans="1:15">
      <c r="B95" s="67"/>
      <c r="C95" s="67"/>
      <c r="D95" s="67"/>
      <c r="E95" s="67"/>
      <c r="F95" s="67"/>
      <c r="G95" s="67"/>
      <c r="H95" s="67"/>
      <c r="I95" s="67"/>
      <c r="J95" s="67"/>
      <c r="K95" s="67"/>
      <c r="L95" s="67"/>
      <c r="M95" s="67"/>
      <c r="O95" s="67"/>
    </row>
    <row r="96" spans="1:15" ht="17.399999999999999">
      <c r="B96" s="489" t="s">
        <v>1220</v>
      </c>
      <c r="C96" s="316" t="s">
        <v>1177</v>
      </c>
      <c r="D96" s="1540" t="s">
        <v>546</v>
      </c>
      <c r="E96" s="1540"/>
      <c r="F96" s="1540"/>
      <c r="G96" s="1540" t="s">
        <v>547</v>
      </c>
      <c r="H96" s="1540"/>
      <c r="I96" s="1540"/>
      <c r="J96" s="1540" t="s">
        <v>548</v>
      </c>
      <c r="K96" s="1540"/>
      <c r="L96" s="1541"/>
      <c r="M96" s="67"/>
      <c r="O96" s="67"/>
    </row>
    <row r="97" spans="1:15" ht="25.2">
      <c r="B97" s="291" t="s">
        <v>905</v>
      </c>
      <c r="C97" s="292" t="s">
        <v>1180</v>
      </c>
      <c r="D97" s="293" t="s">
        <v>906</v>
      </c>
      <c r="E97" s="293" t="s">
        <v>907</v>
      </c>
      <c r="F97" s="293" t="s">
        <v>709</v>
      </c>
      <c r="G97" s="293" t="s">
        <v>906</v>
      </c>
      <c r="H97" s="293" t="s">
        <v>907</v>
      </c>
      <c r="I97" s="293" t="s">
        <v>709</v>
      </c>
      <c r="J97" s="293" t="s">
        <v>906</v>
      </c>
      <c r="K97" s="293" t="s">
        <v>907</v>
      </c>
      <c r="L97" s="327" t="s">
        <v>709</v>
      </c>
      <c r="M97" s="67"/>
      <c r="O97" s="67"/>
    </row>
    <row r="98" spans="1:15">
      <c r="A98" s="80"/>
      <c r="B98" s="199" t="s">
        <v>902</v>
      </c>
      <c r="C98" s="296"/>
      <c r="D98" s="484"/>
      <c r="E98" s="484"/>
      <c r="F98" s="484"/>
      <c r="G98" s="484"/>
      <c r="H98" s="484"/>
      <c r="I98" s="484"/>
      <c r="J98" s="484"/>
      <c r="K98" s="484"/>
      <c r="L98" s="484"/>
      <c r="M98" s="67"/>
      <c r="O98" s="67"/>
    </row>
    <row r="99" spans="1:15">
      <c r="A99" s="80"/>
      <c r="B99" s="294" t="s">
        <v>910</v>
      </c>
      <c r="C99" s="1542" t="s">
        <v>1221</v>
      </c>
      <c r="D99" s="1543">
        <v>289</v>
      </c>
      <c r="E99" s="1543">
        <v>270</v>
      </c>
      <c r="F99" s="1543">
        <f>SUM(D99:E99)</f>
        <v>559</v>
      </c>
      <c r="G99" s="1530">
        <v>342</v>
      </c>
      <c r="H99" s="1530">
        <v>407</v>
      </c>
      <c r="I99" s="1530">
        <f>SUM(G99:H99)</f>
        <v>749</v>
      </c>
      <c r="J99" s="1530">
        <v>258</v>
      </c>
      <c r="K99" s="1530">
        <v>476</v>
      </c>
      <c r="L99" s="1530">
        <v>734</v>
      </c>
      <c r="M99" s="67"/>
      <c r="O99" s="67"/>
    </row>
    <row r="100" spans="1:15">
      <c r="A100" s="80"/>
      <c r="B100" s="294" t="s">
        <v>911</v>
      </c>
      <c r="C100" s="1542"/>
      <c r="D100" s="1544"/>
      <c r="E100" s="1544"/>
      <c r="F100" s="1544"/>
      <c r="G100" s="1530"/>
      <c r="H100" s="1530"/>
      <c r="I100" s="1530"/>
      <c r="J100" s="1530"/>
      <c r="K100" s="1530"/>
      <c r="L100" s="1530"/>
      <c r="M100" s="67"/>
      <c r="O100" s="67"/>
    </row>
    <row r="101" spans="1:15">
      <c r="A101" s="80"/>
      <c r="B101" s="294" t="s">
        <v>912</v>
      </c>
      <c r="C101" s="1542"/>
      <c r="D101" s="300">
        <v>21</v>
      </c>
      <c r="E101" s="300">
        <v>49</v>
      </c>
      <c r="F101" s="300">
        <f>SUM(D101:E101)</f>
        <v>70</v>
      </c>
      <c r="G101" s="484">
        <v>3</v>
      </c>
      <c r="H101" s="484">
        <v>8</v>
      </c>
      <c r="I101" s="484">
        <f>SUM(G101:H101)</f>
        <v>11</v>
      </c>
      <c r="J101" s="484">
        <v>12</v>
      </c>
      <c r="K101" s="484">
        <v>26</v>
      </c>
      <c r="L101" s="484">
        <v>38</v>
      </c>
      <c r="M101" s="67"/>
      <c r="O101" s="67"/>
    </row>
    <row r="102" spans="1:15">
      <c r="A102" s="80"/>
      <c r="B102" s="294" t="s">
        <v>913</v>
      </c>
      <c r="C102" s="1542"/>
      <c r="D102" s="300">
        <v>16</v>
      </c>
      <c r="E102" s="300">
        <v>235</v>
      </c>
      <c r="F102" s="300">
        <f>SUM(D102:E102)</f>
        <v>251</v>
      </c>
      <c r="G102" s="484">
        <v>18</v>
      </c>
      <c r="H102" s="484">
        <v>124</v>
      </c>
      <c r="I102" s="484">
        <f>SUM(G102:H102)</f>
        <v>142</v>
      </c>
      <c r="J102" s="484">
        <v>34</v>
      </c>
      <c r="K102" s="484">
        <v>135</v>
      </c>
      <c r="L102" s="484">
        <v>169</v>
      </c>
      <c r="M102" s="67"/>
      <c r="O102" s="67"/>
    </row>
    <row r="103" spans="1:15">
      <c r="A103" s="80"/>
      <c r="B103" s="294" t="s">
        <v>914</v>
      </c>
      <c r="C103" s="1542"/>
      <c r="D103" s="300">
        <v>1</v>
      </c>
      <c r="E103" s="300">
        <v>4</v>
      </c>
      <c r="F103" s="300">
        <f>SUM(D103:E103)</f>
        <v>5</v>
      </c>
      <c r="G103" s="484">
        <v>4</v>
      </c>
      <c r="H103" s="484">
        <v>9</v>
      </c>
      <c r="I103" s="484">
        <f>SUM(G103:H103)</f>
        <v>13</v>
      </c>
      <c r="J103" s="484">
        <v>1</v>
      </c>
      <c r="K103" s="484"/>
      <c r="L103" s="484">
        <v>1</v>
      </c>
      <c r="M103" s="67"/>
      <c r="O103" s="67"/>
    </row>
    <row r="104" spans="1:15">
      <c r="A104" s="80"/>
      <c r="B104" s="295" t="s">
        <v>915</v>
      </c>
      <c r="C104" s="1542"/>
      <c r="D104" s="300">
        <f t="shared" ref="D104:L104" si="14">SUM(D99:D103)</f>
        <v>327</v>
      </c>
      <c r="E104" s="300">
        <f t="shared" si="14"/>
        <v>558</v>
      </c>
      <c r="F104" s="300">
        <f t="shared" si="14"/>
        <v>885</v>
      </c>
      <c r="G104" s="484">
        <f t="shared" si="14"/>
        <v>367</v>
      </c>
      <c r="H104" s="484">
        <f t="shared" si="14"/>
        <v>548</v>
      </c>
      <c r="I104" s="484">
        <f t="shared" si="14"/>
        <v>915</v>
      </c>
      <c r="J104" s="484">
        <f t="shared" si="14"/>
        <v>305</v>
      </c>
      <c r="K104" s="484">
        <f t="shared" si="14"/>
        <v>637</v>
      </c>
      <c r="L104" s="484">
        <f t="shared" si="14"/>
        <v>942</v>
      </c>
      <c r="M104" s="67"/>
      <c r="O104" s="67"/>
    </row>
    <row r="105" spans="1:15">
      <c r="B105" s="67"/>
      <c r="C105" s="67"/>
      <c r="D105" s="67"/>
      <c r="E105" s="67"/>
      <c r="F105" s="67"/>
      <c r="G105" s="67"/>
      <c r="H105" s="67"/>
      <c r="I105" s="67"/>
      <c r="J105" s="67"/>
      <c r="K105" s="67"/>
      <c r="L105" s="67"/>
      <c r="M105" s="67"/>
      <c r="O105" s="67"/>
    </row>
    <row r="106" spans="1:15">
      <c r="B106" s="1531" t="s">
        <v>975</v>
      </c>
      <c r="C106" s="1533" t="s">
        <v>1177</v>
      </c>
      <c r="D106" s="1535" t="s">
        <v>546</v>
      </c>
      <c r="E106" s="1536"/>
      <c r="F106" s="1537"/>
      <c r="G106" s="1538" t="s">
        <v>547</v>
      </c>
      <c r="H106" s="1539"/>
      <c r="I106" s="1538" t="s">
        <v>548</v>
      </c>
      <c r="J106" s="1539"/>
      <c r="K106" s="69"/>
      <c r="L106" s="69"/>
      <c r="M106" s="69"/>
      <c r="O106" s="69"/>
    </row>
    <row r="107" spans="1:15" ht="82.8">
      <c r="B107" s="1532"/>
      <c r="C107" s="1534"/>
      <c r="D107" s="439" t="s">
        <v>1222</v>
      </c>
      <c r="E107" s="492" t="s">
        <v>977</v>
      </c>
      <c r="F107" s="492" t="s">
        <v>978</v>
      </c>
      <c r="G107" s="492" t="s">
        <v>977</v>
      </c>
      <c r="H107" s="492" t="s">
        <v>978</v>
      </c>
      <c r="I107" s="492" t="s">
        <v>977</v>
      </c>
      <c r="J107" s="492" t="s">
        <v>978</v>
      </c>
      <c r="K107" s="69"/>
      <c r="L107" s="69"/>
      <c r="O107" s="69"/>
    </row>
    <row r="108" spans="1:15">
      <c r="B108" s="424" t="s">
        <v>910</v>
      </c>
      <c r="C108" s="1521" t="s">
        <v>1223</v>
      </c>
      <c r="D108" s="440">
        <v>4162</v>
      </c>
      <c r="E108" s="437">
        <v>893</v>
      </c>
      <c r="F108" s="441">
        <f t="shared" ref="F108:F113" si="15">E108/(D108)</f>
        <v>0.2145603075444498</v>
      </c>
      <c r="G108" s="1522">
        <v>2468</v>
      </c>
      <c r="H108" s="1523">
        <v>0.32</v>
      </c>
      <c r="I108" s="1525">
        <v>2134</v>
      </c>
      <c r="J108" s="1523">
        <v>0.27</v>
      </c>
      <c r="K108" s="69"/>
      <c r="L108" s="69"/>
      <c r="M108" s="69"/>
      <c r="N108" s="69"/>
      <c r="O108" s="69"/>
    </row>
    <row r="109" spans="1:15">
      <c r="B109" s="424" t="s">
        <v>911</v>
      </c>
      <c r="C109" s="1521"/>
      <c r="D109" s="440">
        <v>2734</v>
      </c>
      <c r="E109" s="437">
        <v>668</v>
      </c>
      <c r="F109" s="441">
        <f t="shared" si="15"/>
        <v>0.24433065106071689</v>
      </c>
      <c r="G109" s="1522"/>
      <c r="H109" s="1524"/>
      <c r="I109" s="1526"/>
      <c r="J109" s="1524"/>
      <c r="K109" s="357"/>
      <c r="L109" s="69"/>
      <c r="M109" s="69"/>
      <c r="N109" s="69"/>
      <c r="O109" s="69"/>
    </row>
    <row r="110" spans="1:15">
      <c r="B110" s="424" t="s">
        <v>912</v>
      </c>
      <c r="C110" s="1521"/>
      <c r="D110" s="440">
        <v>2271</v>
      </c>
      <c r="E110" s="437">
        <v>397</v>
      </c>
      <c r="F110" s="441">
        <f t="shared" si="15"/>
        <v>0.17481285777190664</v>
      </c>
      <c r="G110" s="488">
        <v>502</v>
      </c>
      <c r="H110" s="455">
        <v>0.18</v>
      </c>
      <c r="I110" s="488">
        <v>494</v>
      </c>
      <c r="J110" s="455">
        <v>0.21</v>
      </c>
      <c r="K110" s="357"/>
      <c r="L110" s="69"/>
      <c r="M110" s="69"/>
      <c r="N110" s="69"/>
      <c r="O110" s="69"/>
    </row>
    <row r="111" spans="1:15">
      <c r="B111" s="424" t="s">
        <v>913</v>
      </c>
      <c r="C111" s="1521"/>
      <c r="D111" s="440">
        <v>2442</v>
      </c>
      <c r="E111" s="570">
        <v>660</v>
      </c>
      <c r="F111" s="441">
        <f t="shared" si="15"/>
        <v>0.27027027027027029</v>
      </c>
      <c r="G111" s="488">
        <v>149</v>
      </c>
      <c r="H111" s="455">
        <v>0.06</v>
      </c>
      <c r="I111" s="488">
        <v>118</v>
      </c>
      <c r="J111" s="455">
        <v>0.05</v>
      </c>
      <c r="K111" s="357"/>
      <c r="L111" s="69"/>
      <c r="M111" s="69"/>
      <c r="N111" s="69"/>
      <c r="O111" s="69"/>
    </row>
    <row r="112" spans="1:15">
      <c r="B112" s="424" t="s">
        <v>914</v>
      </c>
      <c r="C112" s="1521"/>
      <c r="D112" s="440">
        <v>1057</v>
      </c>
      <c r="E112" s="437">
        <v>545</v>
      </c>
      <c r="F112" s="441">
        <f t="shared" si="15"/>
        <v>0.51561021759697256</v>
      </c>
      <c r="G112" s="488">
        <v>295</v>
      </c>
      <c r="H112" s="456">
        <v>0.49</v>
      </c>
      <c r="I112" s="457">
        <v>252</v>
      </c>
      <c r="J112" s="456">
        <v>0.4</v>
      </c>
      <c r="K112" s="357"/>
      <c r="L112" s="69"/>
      <c r="M112" s="69"/>
      <c r="N112" s="69"/>
      <c r="O112" s="69"/>
    </row>
    <row r="113" spans="1:15">
      <c r="B113" s="438" t="s">
        <v>979</v>
      </c>
      <c r="C113" s="1521"/>
      <c r="D113" s="437">
        <f>SUM(D108:D112)</f>
        <v>12666</v>
      </c>
      <c r="E113" s="437">
        <f>SUM(E108:E112)</f>
        <v>3163</v>
      </c>
      <c r="F113" s="441">
        <f t="shared" si="15"/>
        <v>0.24972366966682458</v>
      </c>
      <c r="G113" s="488">
        <f>G108+G110+G111+G112</f>
        <v>3414</v>
      </c>
      <c r="H113" s="455">
        <v>0.25</v>
      </c>
      <c r="I113" s="488">
        <f>I108+I110+I111+I112</f>
        <v>2998</v>
      </c>
      <c r="J113" s="455">
        <v>0.22</v>
      </c>
      <c r="K113" s="357"/>
      <c r="L113" s="69"/>
      <c r="M113" s="69"/>
      <c r="N113" s="69"/>
      <c r="O113" s="69"/>
    </row>
    <row r="114" spans="1:15">
      <c r="C114" s="97"/>
    </row>
    <row r="115" spans="1:15" ht="17.399999999999999">
      <c r="B115" s="490" t="s">
        <v>981</v>
      </c>
      <c r="C115" s="445" t="s">
        <v>1177</v>
      </c>
      <c r="D115" s="1527" t="s">
        <v>546</v>
      </c>
      <c r="E115" s="1528"/>
      <c r="F115" s="1528"/>
      <c r="G115" s="1529"/>
    </row>
    <row r="116" spans="1:15" ht="26.25" customHeight="1">
      <c r="B116" s="382" t="s">
        <v>905</v>
      </c>
      <c r="C116" s="383" t="s">
        <v>1180</v>
      </c>
      <c r="D116" s="446" t="s">
        <v>906</v>
      </c>
      <c r="E116" s="446" t="s">
        <v>907</v>
      </c>
      <c r="F116" s="446" t="s">
        <v>709</v>
      </c>
      <c r="G116" s="446" t="s">
        <v>982</v>
      </c>
    </row>
    <row r="117" spans="1:15">
      <c r="B117" s="424" t="s">
        <v>910</v>
      </c>
      <c r="C117" s="1513" t="s">
        <v>1224</v>
      </c>
      <c r="D117" s="442">
        <v>215</v>
      </c>
      <c r="E117" s="442">
        <v>370</v>
      </c>
      <c r="F117" s="442">
        <v>585</v>
      </c>
      <c r="G117" s="447">
        <f t="shared" ref="G117:G122" si="16">F117/F23</f>
        <v>0.14341750429026723</v>
      </c>
    </row>
    <row r="118" spans="1:15">
      <c r="B118" s="424" t="s">
        <v>911</v>
      </c>
      <c r="C118" s="1514"/>
      <c r="D118" s="442">
        <v>83</v>
      </c>
      <c r="E118" s="442">
        <v>102</v>
      </c>
      <c r="F118" s="442">
        <v>185</v>
      </c>
      <c r="G118" s="447">
        <f t="shared" si="16"/>
        <v>6.4730580825752268E-2</v>
      </c>
    </row>
    <row r="119" spans="1:15">
      <c r="B119" s="424" t="s">
        <v>912</v>
      </c>
      <c r="C119" s="1514"/>
      <c r="D119" s="442">
        <v>99</v>
      </c>
      <c r="E119" s="442">
        <v>205</v>
      </c>
      <c r="F119" s="442">
        <v>304</v>
      </c>
      <c r="G119" s="447">
        <f t="shared" si="16"/>
        <v>0.13906678865507777</v>
      </c>
    </row>
    <row r="120" spans="1:15">
      <c r="B120" s="424" t="s">
        <v>913</v>
      </c>
      <c r="C120" s="1514"/>
      <c r="D120" s="442">
        <v>42</v>
      </c>
      <c r="E120" s="442">
        <v>111</v>
      </c>
      <c r="F120" s="442">
        <v>153</v>
      </c>
      <c r="G120" s="447">
        <f t="shared" si="16"/>
        <v>6.2220414802765349E-2</v>
      </c>
    </row>
    <row r="121" spans="1:15">
      <c r="B121" s="424" t="s">
        <v>914</v>
      </c>
      <c r="C121" s="1514"/>
      <c r="D121" s="442">
        <v>13</v>
      </c>
      <c r="E121" s="442">
        <v>38</v>
      </c>
      <c r="F121" s="442">
        <v>51</v>
      </c>
      <c r="G121" s="447">
        <f t="shared" si="16"/>
        <v>4.8295454545454544E-2</v>
      </c>
    </row>
    <row r="122" spans="1:15">
      <c r="B122" s="438" t="s">
        <v>979</v>
      </c>
      <c r="C122" s="1514"/>
      <c r="D122" s="443">
        <f>SUM(D117:D121)</f>
        <v>452</v>
      </c>
      <c r="E122" s="443">
        <f>SUM(E117:E121)</f>
        <v>826</v>
      </c>
      <c r="F122" s="444">
        <f>SUM(F117:F121)</f>
        <v>1278</v>
      </c>
      <c r="G122" s="447">
        <f t="shared" si="16"/>
        <v>0.10112359550561797</v>
      </c>
    </row>
    <row r="123" spans="1:15">
      <c r="C123" s="97"/>
    </row>
    <row r="124" spans="1:15" ht="17.399999999999999">
      <c r="A124" s="2" t="s">
        <v>1225</v>
      </c>
      <c r="B124" s="459" t="s">
        <v>983</v>
      </c>
      <c r="C124" s="470" t="s">
        <v>1177</v>
      </c>
      <c r="D124" s="1515" t="s">
        <v>546</v>
      </c>
      <c r="E124" s="1515"/>
      <c r="F124" s="1515"/>
    </row>
    <row r="125" spans="1:15" ht="27.6">
      <c r="A125" s="15" t="s">
        <v>1226</v>
      </c>
      <c r="B125" s="471" t="s">
        <v>905</v>
      </c>
      <c r="C125" s="472" t="s">
        <v>1180</v>
      </c>
      <c r="D125" s="473" t="s">
        <v>906</v>
      </c>
      <c r="E125" s="473" t="s">
        <v>907</v>
      </c>
      <c r="F125" s="473" t="s">
        <v>709</v>
      </c>
    </row>
    <row r="126" spans="1:15" ht="27.6">
      <c r="B126" s="474" t="s">
        <v>1227</v>
      </c>
      <c r="C126" s="475"/>
      <c r="D126" s="556"/>
      <c r="E126" s="556"/>
      <c r="F126" s="556"/>
    </row>
    <row r="127" spans="1:15" ht="27.6">
      <c r="B127" s="474" t="s">
        <v>984</v>
      </c>
      <c r="C127" s="475"/>
      <c r="D127" s="556">
        <v>20</v>
      </c>
      <c r="E127" s="556">
        <v>6</v>
      </c>
      <c r="F127" s="556">
        <v>26</v>
      </c>
    </row>
    <row r="128" spans="1:15" ht="37.5" customHeight="1">
      <c r="B128" s="474" t="s">
        <v>985</v>
      </c>
      <c r="C128" s="477" t="s">
        <v>1228</v>
      </c>
      <c r="D128" s="556">
        <v>0</v>
      </c>
      <c r="E128" s="556">
        <v>2</v>
      </c>
      <c r="F128" s="556">
        <v>2</v>
      </c>
    </row>
    <row r="129" spans="1:9" ht="48.9" customHeight="1">
      <c r="B129" s="474" t="s">
        <v>986</v>
      </c>
      <c r="C129" s="477" t="s">
        <v>1229</v>
      </c>
      <c r="D129" s="556"/>
      <c r="E129" s="556"/>
      <c r="F129" s="556"/>
    </row>
    <row r="130" spans="1:9" ht="27.6">
      <c r="B130" s="474" t="s">
        <v>987</v>
      </c>
      <c r="C130" s="477" t="s">
        <v>1228</v>
      </c>
      <c r="D130" s="557" t="s">
        <v>1230</v>
      </c>
      <c r="E130" s="557" t="s">
        <v>1231</v>
      </c>
      <c r="F130" s="556"/>
    </row>
    <row r="131" spans="1:9" ht="14.25" customHeight="1">
      <c r="C131" s="97"/>
    </row>
    <row r="132" spans="1:9" ht="32.1" customHeight="1">
      <c r="A132" s="2" t="s">
        <v>1225</v>
      </c>
      <c r="B132" s="459" t="s">
        <v>988</v>
      </c>
      <c r="C132" s="558" t="s">
        <v>1177</v>
      </c>
      <c r="D132" s="1516" t="s">
        <v>546</v>
      </c>
      <c r="E132" s="1516"/>
      <c r="F132" s="1516"/>
      <c r="G132" s="1516" t="s">
        <v>546</v>
      </c>
      <c r="H132" s="1516"/>
      <c r="I132" s="1516"/>
    </row>
    <row r="133" spans="1:9" ht="25.2">
      <c r="A133" s="1517" t="s">
        <v>1232</v>
      </c>
      <c r="B133" s="471" t="s">
        <v>905</v>
      </c>
      <c r="C133" s="472" t="s">
        <v>1180</v>
      </c>
      <c r="D133" s="473" t="s">
        <v>906</v>
      </c>
      <c r="E133" s="473" t="s">
        <v>907</v>
      </c>
      <c r="F133" s="473" t="s">
        <v>709</v>
      </c>
      <c r="G133" s="473" t="s">
        <v>906</v>
      </c>
      <c r="H133" s="473" t="s">
        <v>907</v>
      </c>
      <c r="I133" s="473" t="s">
        <v>709</v>
      </c>
    </row>
    <row r="134" spans="1:9">
      <c r="A134" s="1517"/>
      <c r="B134" s="474" t="s">
        <v>989</v>
      </c>
      <c r="C134" s="1518" t="s">
        <v>1233</v>
      </c>
      <c r="D134" s="476">
        <v>3509</v>
      </c>
      <c r="E134" s="476">
        <v>7737</v>
      </c>
      <c r="F134" s="476">
        <v>11246</v>
      </c>
      <c r="G134" s="555">
        <v>0.98199999999999998</v>
      </c>
      <c r="H134" s="555">
        <v>0.89900000000000002</v>
      </c>
      <c r="I134" s="555">
        <v>0.92300000000000004</v>
      </c>
    </row>
    <row r="135" spans="1:9">
      <c r="B135" s="449" t="s">
        <v>990</v>
      </c>
      <c r="C135" s="1519"/>
      <c r="D135" s="476">
        <v>182</v>
      </c>
      <c r="E135" s="476">
        <v>230</v>
      </c>
      <c r="F135" s="476">
        <v>412</v>
      </c>
      <c r="G135" s="555">
        <v>0.91900000000000004</v>
      </c>
      <c r="H135" s="555">
        <v>0.89800000000000002</v>
      </c>
      <c r="I135" s="555">
        <v>0.90700000000000003</v>
      </c>
    </row>
    <row r="136" spans="1:9">
      <c r="B136" s="449" t="s">
        <v>991</v>
      </c>
      <c r="C136" s="1520"/>
      <c r="D136" s="476">
        <v>3691</v>
      </c>
      <c r="E136" s="476">
        <v>7967</v>
      </c>
      <c r="F136" s="476">
        <v>11658</v>
      </c>
      <c r="G136" s="555">
        <v>0.97799999999999998</v>
      </c>
      <c r="H136" s="555">
        <v>0.89900000000000002</v>
      </c>
      <c r="I136" s="555">
        <v>0.92200000000000004</v>
      </c>
    </row>
    <row r="137" spans="1:9" ht="14.25" customHeight="1">
      <c r="C137" s="97"/>
    </row>
    <row r="138" spans="1:9" ht="22.5" customHeight="1">
      <c r="B138" s="1506" t="s">
        <v>988</v>
      </c>
      <c r="C138" s="1508" t="s">
        <v>1177</v>
      </c>
      <c r="D138" s="1510" t="s">
        <v>546</v>
      </c>
      <c r="E138" s="1511"/>
      <c r="F138" s="69"/>
      <c r="G138" s="69"/>
    </row>
    <row r="139" spans="1:9" ht="22.5" customHeight="1">
      <c r="B139" s="1507"/>
      <c r="C139" s="1509"/>
      <c r="D139" s="316" t="s">
        <v>709</v>
      </c>
      <c r="E139" s="316" t="s">
        <v>574</v>
      </c>
      <c r="F139" s="69"/>
      <c r="G139" s="69"/>
    </row>
    <row r="140" spans="1:9" ht="69">
      <c r="B140" s="449" t="s">
        <v>921</v>
      </c>
      <c r="C140" s="561" t="s">
        <v>1234</v>
      </c>
      <c r="D140" s="559">
        <f>F28-980</f>
        <v>11658</v>
      </c>
      <c r="E140" s="560">
        <v>0.92200000000000004</v>
      </c>
      <c r="F140" s="479"/>
      <c r="G140" s="478"/>
      <c r="I140" s="478"/>
    </row>
    <row r="141" spans="1:9" ht="14.25" customHeight="1">
      <c r="C141" s="97"/>
    </row>
    <row r="142" spans="1:9" ht="27.6">
      <c r="A142" s="16" t="s">
        <v>1235</v>
      </c>
      <c r="B142" s="314" t="s">
        <v>1008</v>
      </c>
      <c r="C142" s="316" t="s">
        <v>1177</v>
      </c>
      <c r="D142" s="315" t="s">
        <v>546</v>
      </c>
      <c r="E142" s="315" t="s">
        <v>547</v>
      </c>
      <c r="F142" s="315" t="s">
        <v>548</v>
      </c>
      <c r="G142" s="315" t="s">
        <v>549</v>
      </c>
    </row>
    <row r="143" spans="1:9">
      <c r="A143" s="2" t="s">
        <v>1236</v>
      </c>
      <c r="B143" s="277" t="s">
        <v>1009</v>
      </c>
      <c r="C143" s="485" t="s">
        <v>1237</v>
      </c>
      <c r="D143" s="312">
        <v>0.75</v>
      </c>
      <c r="E143" s="312" t="s">
        <v>1010</v>
      </c>
      <c r="F143" s="571">
        <v>0.74</v>
      </c>
      <c r="G143" s="571">
        <v>0.64</v>
      </c>
    </row>
    <row r="144" spans="1:9">
      <c r="B144" s="304" t="s">
        <v>1011</v>
      </c>
      <c r="C144" s="485"/>
      <c r="D144" s="312"/>
      <c r="E144" s="312" t="s">
        <v>1010</v>
      </c>
      <c r="F144" s="571">
        <v>0.65</v>
      </c>
      <c r="G144" s="571">
        <v>0.63</v>
      </c>
    </row>
    <row r="145" spans="1:15" ht="25.2">
      <c r="B145" s="304" t="s">
        <v>1012</v>
      </c>
      <c r="C145" s="485" t="s">
        <v>1238</v>
      </c>
      <c r="D145" s="304">
        <v>6.9</v>
      </c>
      <c r="E145" s="312" t="s">
        <v>1010</v>
      </c>
      <c r="F145" s="572"/>
      <c r="G145" s="572"/>
    </row>
    <row r="146" spans="1:15">
      <c r="C146" s="70"/>
      <c r="O146" s="2"/>
    </row>
    <row r="147" spans="1:15" ht="17.399999999999999">
      <c r="B147" s="314" t="s">
        <v>992</v>
      </c>
      <c r="C147" s="316" t="s">
        <v>1177</v>
      </c>
      <c r="D147" s="315" t="s">
        <v>546</v>
      </c>
    </row>
    <row r="148" spans="1:15" ht="46.5" customHeight="1">
      <c r="A148" s="318" t="s">
        <v>1239</v>
      </c>
      <c r="B148" s="345" t="s">
        <v>1240</v>
      </c>
      <c r="C148" s="336" t="s">
        <v>1241</v>
      </c>
      <c r="D148" s="356">
        <v>25.52</v>
      </c>
      <c r="N148" s="67"/>
      <c r="O148" s="67"/>
    </row>
    <row r="149" spans="1:15">
      <c r="C149" s="97"/>
    </row>
    <row r="150" spans="1:15" ht="17.399999999999999">
      <c r="A150" s="2" t="s">
        <v>1225</v>
      </c>
      <c r="B150" s="367" t="s">
        <v>992</v>
      </c>
      <c r="C150" s="483" t="s">
        <v>1177</v>
      </c>
      <c r="D150" s="1512" t="s">
        <v>546</v>
      </c>
      <c r="E150" s="1512"/>
      <c r="F150" s="1512"/>
      <c r="G150" s="1512"/>
      <c r="H150" s="1512"/>
    </row>
    <row r="151" spans="1:15" ht="96" customHeight="1">
      <c r="B151" s="368"/>
      <c r="C151" s="379"/>
      <c r="D151" s="562" t="s">
        <v>1242</v>
      </c>
      <c r="E151" s="562" t="s">
        <v>1243</v>
      </c>
      <c r="F151" s="562" t="s">
        <v>1244</v>
      </c>
      <c r="G151" s="369" t="s">
        <v>1245</v>
      </c>
      <c r="H151" s="369" t="s">
        <v>1000</v>
      </c>
    </row>
    <row r="152" spans="1:15" ht="14.4" hidden="1">
      <c r="B152" s="368" t="s">
        <v>1246</v>
      </c>
      <c r="C152" s="380"/>
      <c r="D152" s="563">
        <v>20</v>
      </c>
      <c r="E152" s="563">
        <v>491</v>
      </c>
      <c r="F152" s="563">
        <v>42</v>
      </c>
      <c r="G152" s="368">
        <v>553</v>
      </c>
      <c r="H152" s="370">
        <f t="shared" ref="H152:H159" si="17">E152/G152</f>
        <v>0.88788426763110306</v>
      </c>
    </row>
    <row r="153" spans="1:15" ht="14.4" hidden="1">
      <c r="B153" s="368" t="s">
        <v>1247</v>
      </c>
      <c r="C153" s="380"/>
      <c r="D153" s="563">
        <v>58</v>
      </c>
      <c r="E153" s="563">
        <v>648</v>
      </c>
      <c r="F153" s="563">
        <v>177</v>
      </c>
      <c r="G153" s="368">
        <v>883</v>
      </c>
      <c r="H153" s="370">
        <f t="shared" si="17"/>
        <v>0.73386183465458665</v>
      </c>
    </row>
    <row r="154" spans="1:15" ht="14.4" hidden="1">
      <c r="B154" s="368" t="s">
        <v>1248</v>
      </c>
      <c r="C154" s="380"/>
      <c r="D154" s="563">
        <v>2</v>
      </c>
      <c r="E154" s="563">
        <v>562</v>
      </c>
      <c r="F154" s="563">
        <v>188</v>
      </c>
      <c r="G154" s="368">
        <v>752</v>
      </c>
      <c r="H154" s="370">
        <f t="shared" si="17"/>
        <v>0.74734042553191493</v>
      </c>
    </row>
    <row r="155" spans="1:15" ht="14.4" hidden="1">
      <c r="B155" s="368" t="s">
        <v>1249</v>
      </c>
      <c r="C155" s="380"/>
      <c r="D155" s="563">
        <v>2</v>
      </c>
      <c r="E155" s="563">
        <v>86</v>
      </c>
      <c r="F155" s="563">
        <v>44</v>
      </c>
      <c r="G155" s="368">
        <v>132</v>
      </c>
      <c r="H155" s="370">
        <f t="shared" si="17"/>
        <v>0.65151515151515149</v>
      </c>
    </row>
    <row r="156" spans="1:15" ht="14.4" hidden="1">
      <c r="B156" s="368" t="s">
        <v>1250</v>
      </c>
      <c r="C156" s="380"/>
      <c r="D156" s="563">
        <v>2</v>
      </c>
      <c r="E156" s="563">
        <v>270</v>
      </c>
      <c r="F156" s="563">
        <v>92</v>
      </c>
      <c r="G156" s="368">
        <v>364</v>
      </c>
      <c r="H156" s="370">
        <f t="shared" si="17"/>
        <v>0.74175824175824179</v>
      </c>
    </row>
    <row r="157" spans="1:15" ht="14.4" hidden="1">
      <c r="B157" s="368" t="s">
        <v>1251</v>
      </c>
      <c r="C157" s="380"/>
      <c r="D157" s="563">
        <v>1</v>
      </c>
      <c r="E157" s="563">
        <v>113</v>
      </c>
      <c r="F157" s="563">
        <v>47</v>
      </c>
      <c r="G157" s="368">
        <v>161</v>
      </c>
      <c r="H157" s="370">
        <f t="shared" si="17"/>
        <v>0.70186335403726707</v>
      </c>
    </row>
    <row r="158" spans="1:15" ht="14.4" hidden="1">
      <c r="B158" s="368" t="s">
        <v>1252</v>
      </c>
      <c r="C158" s="380"/>
      <c r="D158" s="563">
        <v>159</v>
      </c>
      <c r="E158" s="563">
        <v>149</v>
      </c>
      <c r="F158" s="563">
        <v>87</v>
      </c>
      <c r="G158" s="368">
        <v>395</v>
      </c>
      <c r="H158" s="370">
        <f t="shared" si="17"/>
        <v>0.37721518987341773</v>
      </c>
    </row>
    <row r="159" spans="1:15" ht="42.75" customHeight="1">
      <c r="B159" s="449" t="s">
        <v>1003</v>
      </c>
      <c r="C159" s="449" t="s">
        <v>1253</v>
      </c>
      <c r="D159" s="450">
        <v>244</v>
      </c>
      <c r="E159" s="450">
        <v>2319</v>
      </c>
      <c r="F159" s="450">
        <v>677</v>
      </c>
      <c r="G159" s="450">
        <f t="shared" ref="G159:G181" si="18">SUM(D159:F159)</f>
        <v>3240</v>
      </c>
      <c r="H159" s="451">
        <f t="shared" si="17"/>
        <v>0.71574074074074079</v>
      </c>
    </row>
    <row r="160" spans="1:15" hidden="1">
      <c r="B160" s="449"/>
      <c r="C160" s="449"/>
      <c r="D160" s="452"/>
      <c r="E160" s="452"/>
      <c r="F160" s="452"/>
      <c r="G160" s="450">
        <f t="shared" si="18"/>
        <v>0</v>
      </c>
      <c r="H160" s="453"/>
    </row>
    <row r="161" spans="2:8" hidden="1">
      <c r="B161" s="449"/>
      <c r="C161" s="449"/>
      <c r="D161" s="452"/>
      <c r="E161" s="452"/>
      <c r="F161" s="452"/>
      <c r="G161" s="450">
        <f t="shared" si="18"/>
        <v>0</v>
      </c>
      <c r="H161" s="453"/>
    </row>
    <row r="162" spans="2:8" hidden="1">
      <c r="B162" s="449"/>
      <c r="C162" s="449"/>
      <c r="D162" s="452"/>
      <c r="E162" s="452"/>
      <c r="F162" s="452"/>
      <c r="G162" s="450">
        <f t="shared" si="18"/>
        <v>0</v>
      </c>
      <c r="H162" s="453"/>
    </row>
    <row r="163" spans="2:8" hidden="1">
      <c r="B163" s="454"/>
      <c r="C163" s="449"/>
      <c r="D163" s="452"/>
      <c r="E163" s="450" t="s">
        <v>1243</v>
      </c>
      <c r="F163" s="450" t="s">
        <v>1254</v>
      </c>
      <c r="G163" s="450">
        <f t="shared" si="18"/>
        <v>0</v>
      </c>
      <c r="H163" s="451"/>
    </row>
    <row r="164" spans="2:8" hidden="1">
      <c r="B164" s="454" t="s">
        <v>1246</v>
      </c>
      <c r="C164" s="449"/>
      <c r="D164" s="452"/>
      <c r="E164" s="450">
        <v>617</v>
      </c>
      <c r="F164" s="450">
        <v>120</v>
      </c>
      <c r="G164" s="450">
        <f t="shared" si="18"/>
        <v>737</v>
      </c>
      <c r="H164" s="451">
        <v>83.7</v>
      </c>
    </row>
    <row r="165" spans="2:8" hidden="1">
      <c r="B165" s="454" t="s">
        <v>1247</v>
      </c>
      <c r="C165" s="449"/>
      <c r="D165" s="452"/>
      <c r="E165" s="450">
        <v>1227</v>
      </c>
      <c r="F165" s="450">
        <v>462</v>
      </c>
      <c r="G165" s="450">
        <f t="shared" si="18"/>
        <v>1689</v>
      </c>
      <c r="H165" s="451">
        <v>72.599999999999994</v>
      </c>
    </row>
    <row r="166" spans="2:8" hidden="1">
      <c r="B166" s="454" t="s">
        <v>1248</v>
      </c>
      <c r="C166" s="449"/>
      <c r="D166" s="452"/>
      <c r="E166" s="450">
        <v>518</v>
      </c>
      <c r="F166" s="450">
        <v>310</v>
      </c>
      <c r="G166" s="450">
        <f t="shared" si="18"/>
        <v>828</v>
      </c>
      <c r="H166" s="451">
        <v>62.6</v>
      </c>
    </row>
    <row r="167" spans="2:8" hidden="1">
      <c r="B167" s="454" t="s">
        <v>1249</v>
      </c>
      <c r="C167" s="449"/>
      <c r="D167" s="452"/>
      <c r="E167" s="450">
        <v>91</v>
      </c>
      <c r="F167" s="450">
        <v>48</v>
      </c>
      <c r="G167" s="450">
        <f t="shared" si="18"/>
        <v>139</v>
      </c>
      <c r="H167" s="451">
        <v>65.5</v>
      </c>
    </row>
    <row r="168" spans="2:8" hidden="1">
      <c r="B168" s="454" t="s">
        <v>1250</v>
      </c>
      <c r="C168" s="449"/>
      <c r="D168" s="452"/>
      <c r="E168" s="450">
        <v>435</v>
      </c>
      <c r="F168" s="450">
        <v>226</v>
      </c>
      <c r="G168" s="450">
        <f t="shared" si="18"/>
        <v>661</v>
      </c>
      <c r="H168" s="451">
        <v>65.8</v>
      </c>
    </row>
    <row r="169" spans="2:8" hidden="1">
      <c r="B169" s="454" t="s">
        <v>1251</v>
      </c>
      <c r="C169" s="449"/>
      <c r="D169" s="452"/>
      <c r="E169" s="450">
        <v>264</v>
      </c>
      <c r="F169" s="450">
        <v>66</v>
      </c>
      <c r="G169" s="450">
        <f t="shared" si="18"/>
        <v>330</v>
      </c>
      <c r="H169" s="451">
        <v>80</v>
      </c>
    </row>
    <row r="170" spans="2:8" hidden="1">
      <c r="B170" s="454" t="s">
        <v>1252</v>
      </c>
      <c r="C170" s="449"/>
      <c r="D170" s="452"/>
      <c r="E170" s="450">
        <v>754</v>
      </c>
      <c r="F170" s="450">
        <v>985</v>
      </c>
      <c r="G170" s="450">
        <f t="shared" si="18"/>
        <v>1739</v>
      </c>
      <c r="H170" s="451">
        <v>43.4</v>
      </c>
    </row>
    <row r="171" spans="2:8" ht="48" customHeight="1">
      <c r="B171" s="454" t="s">
        <v>1002</v>
      </c>
      <c r="C171" s="449" t="s">
        <v>1255</v>
      </c>
      <c r="D171" s="452">
        <v>0</v>
      </c>
      <c r="E171" s="450">
        <v>3906</v>
      </c>
      <c r="F171" s="450">
        <v>2217</v>
      </c>
      <c r="G171" s="450">
        <f t="shared" si="18"/>
        <v>6123</v>
      </c>
      <c r="H171" s="451">
        <f>E171/G171</f>
        <v>0.63792258696717297</v>
      </c>
    </row>
    <row r="172" spans="2:8" hidden="1">
      <c r="B172" s="379"/>
      <c r="C172" s="379"/>
      <c r="D172" s="452"/>
      <c r="E172" s="452"/>
      <c r="F172" s="452"/>
      <c r="G172" s="371">
        <f t="shared" si="18"/>
        <v>0</v>
      </c>
      <c r="H172" s="381"/>
    </row>
    <row r="173" spans="2:8" hidden="1">
      <c r="B173" s="379"/>
      <c r="C173" s="379"/>
      <c r="D173" s="452"/>
      <c r="E173" s="452"/>
      <c r="F173" s="452"/>
      <c r="G173" s="371">
        <f t="shared" si="18"/>
        <v>0</v>
      </c>
      <c r="H173" s="381"/>
    </row>
    <row r="174" spans="2:8" ht="41.4" hidden="1">
      <c r="B174" s="373"/>
      <c r="C174" s="379"/>
      <c r="D174" s="452" t="s">
        <v>1256</v>
      </c>
      <c r="E174" s="450" t="s">
        <v>1243</v>
      </c>
      <c r="F174" s="450" t="s">
        <v>1254</v>
      </c>
      <c r="G174" s="371">
        <f t="shared" si="18"/>
        <v>0</v>
      </c>
      <c r="H174" s="374"/>
    </row>
    <row r="175" spans="2:8" hidden="1">
      <c r="B175" s="373" t="s">
        <v>1246</v>
      </c>
      <c r="C175" s="379"/>
      <c r="D175" s="564">
        <v>6</v>
      </c>
      <c r="E175" s="564">
        <v>1261</v>
      </c>
      <c r="F175" s="564">
        <v>138</v>
      </c>
      <c r="G175" s="371">
        <f t="shared" si="18"/>
        <v>1405</v>
      </c>
      <c r="H175" s="375">
        <v>0.897509</v>
      </c>
    </row>
    <row r="176" spans="2:8" hidden="1">
      <c r="B176" s="373" t="s">
        <v>1247</v>
      </c>
      <c r="C176" s="379"/>
      <c r="D176" s="564">
        <v>8</v>
      </c>
      <c r="E176" s="564">
        <v>4043</v>
      </c>
      <c r="F176" s="564">
        <v>531</v>
      </c>
      <c r="G176" s="371">
        <f t="shared" si="18"/>
        <v>4582</v>
      </c>
      <c r="H176" s="375">
        <v>0.88236599999999998</v>
      </c>
    </row>
    <row r="177" spans="2:8" hidden="1">
      <c r="B177" s="373" t="s">
        <v>1248</v>
      </c>
      <c r="C177" s="379"/>
      <c r="D177" s="564">
        <v>1</v>
      </c>
      <c r="E177" s="564">
        <v>1221</v>
      </c>
      <c r="F177" s="564">
        <v>168</v>
      </c>
      <c r="G177" s="371">
        <f t="shared" si="18"/>
        <v>1390</v>
      </c>
      <c r="H177" s="375">
        <v>0.878417</v>
      </c>
    </row>
    <row r="178" spans="2:8" hidden="1">
      <c r="B178" s="373" t="s">
        <v>1249</v>
      </c>
      <c r="C178" s="379"/>
      <c r="D178" s="564">
        <v>53</v>
      </c>
      <c r="E178" s="564">
        <v>372</v>
      </c>
      <c r="F178" s="564">
        <v>77</v>
      </c>
      <c r="G178" s="371">
        <f t="shared" si="18"/>
        <v>502</v>
      </c>
      <c r="H178" s="375">
        <v>0.74103600000000003</v>
      </c>
    </row>
    <row r="179" spans="2:8" hidden="1">
      <c r="B179" s="373" t="s">
        <v>1250</v>
      </c>
      <c r="C179" s="379"/>
      <c r="D179" s="564">
        <v>11</v>
      </c>
      <c r="E179" s="564">
        <v>1506</v>
      </c>
      <c r="F179" s="564">
        <v>183</v>
      </c>
      <c r="G179" s="371">
        <f t="shared" si="18"/>
        <v>1700</v>
      </c>
      <c r="H179" s="375">
        <v>0.88588199999999995</v>
      </c>
    </row>
    <row r="180" spans="2:8" hidden="1">
      <c r="B180" s="373" t="s">
        <v>1251</v>
      </c>
      <c r="C180" s="379"/>
      <c r="D180" s="564">
        <v>19</v>
      </c>
      <c r="E180" s="564">
        <v>1232</v>
      </c>
      <c r="F180" s="564">
        <v>260</v>
      </c>
      <c r="G180" s="371">
        <f t="shared" si="18"/>
        <v>1511</v>
      </c>
      <c r="H180" s="375">
        <v>0.81535400000000002</v>
      </c>
    </row>
    <row r="181" spans="2:8" hidden="1">
      <c r="B181" s="373" t="s">
        <v>1252</v>
      </c>
      <c r="C181" s="379"/>
      <c r="D181" s="450"/>
      <c r="E181" s="564">
        <v>12</v>
      </c>
      <c r="F181" s="450"/>
      <c r="G181" s="371">
        <f t="shared" si="18"/>
        <v>12</v>
      </c>
      <c r="H181" s="375">
        <v>1</v>
      </c>
    </row>
    <row r="182" spans="2:8" ht="32.25" customHeight="1">
      <c r="B182" s="373" t="s">
        <v>1257</v>
      </c>
      <c r="C182" s="379" t="s">
        <v>1258</v>
      </c>
      <c r="D182" s="564"/>
      <c r="E182" s="564"/>
      <c r="F182" s="564"/>
      <c r="G182" s="371"/>
      <c r="H182" s="372"/>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7105-3513-41CB-AF58-D4FB2BF474AE}">
  <sheetPr codeName="Sheet1">
    <tabColor theme="3"/>
    <pageSetUpPr fitToPage="1"/>
  </sheetPr>
  <dimension ref="A2:N18"/>
  <sheetViews>
    <sheetView workbookViewId="0"/>
  </sheetViews>
  <sheetFormatPr defaultColWidth="8.88671875" defaultRowHeight="13.8"/>
  <cols>
    <col min="1" max="1" width="3" style="2" customWidth="1"/>
    <col min="2" max="2" width="49.88671875" style="2" customWidth="1"/>
    <col min="3" max="3" width="19" style="2" customWidth="1"/>
    <col min="4" max="4" width="14.109375" style="2" customWidth="1"/>
    <col min="5" max="5" width="37" style="2" customWidth="1"/>
    <col min="6" max="10" width="14.109375" style="2" customWidth="1"/>
    <col min="11" max="16384" width="8.88671875" style="2"/>
  </cols>
  <sheetData>
    <row r="2" spans="1:14" ht="30.9" customHeight="1">
      <c r="B2" s="891" t="s">
        <v>15</v>
      </c>
      <c r="C2" s="740"/>
      <c r="D2" s="741"/>
      <c r="E2" s="741"/>
      <c r="F2" s="8"/>
      <c r="G2" s="8"/>
      <c r="H2" s="8"/>
      <c r="I2" s="8"/>
      <c r="J2" s="8"/>
      <c r="K2" s="8"/>
      <c r="L2" s="8"/>
      <c r="M2" s="8"/>
      <c r="N2" s="8"/>
    </row>
    <row r="3" spans="1:14" ht="18.600000000000001" customHeight="1">
      <c r="B3" s="777"/>
      <c r="C3" s="742"/>
      <c r="D3" s="743"/>
      <c r="E3" s="743"/>
      <c r="F3" s="9"/>
      <c r="G3" s="9"/>
      <c r="H3" s="9"/>
      <c r="I3" s="9"/>
      <c r="J3" s="9"/>
    </row>
    <row r="4" spans="1:14" ht="18" customHeight="1">
      <c r="A4" s="448"/>
      <c r="B4" s="892" t="s">
        <v>16</v>
      </c>
      <c r="C4" s="893"/>
      <c r="D4" s="893"/>
      <c r="E4" s="893"/>
    </row>
    <row r="5" spans="1:14" ht="18" customHeight="1">
      <c r="A5" s="448"/>
      <c r="B5" s="894" t="s">
        <v>17</v>
      </c>
      <c r="C5" s="893"/>
      <c r="D5" s="893"/>
      <c r="E5" s="893"/>
    </row>
    <row r="6" spans="1:14" ht="18" customHeight="1">
      <c r="A6" s="448"/>
      <c r="B6" s="894" t="s">
        <v>18</v>
      </c>
      <c r="C6" s="893"/>
      <c r="D6" s="893"/>
      <c r="E6" s="893"/>
    </row>
    <row r="7" spans="1:14" ht="18" customHeight="1">
      <c r="A7" s="448"/>
      <c r="B7" s="894" t="s">
        <v>19</v>
      </c>
      <c r="C7" s="893"/>
      <c r="D7" s="893"/>
      <c r="E7" s="893"/>
    </row>
    <row r="8" spans="1:14" ht="18" customHeight="1">
      <c r="A8" s="448"/>
      <c r="B8" s="894" t="s">
        <v>20</v>
      </c>
      <c r="C8" s="893"/>
      <c r="D8" s="893"/>
      <c r="E8" s="893"/>
    </row>
    <row r="9" spans="1:14" ht="18" customHeight="1">
      <c r="A9" s="448"/>
      <c r="B9" s="894" t="s">
        <v>21</v>
      </c>
      <c r="C9" s="893"/>
      <c r="D9" s="893"/>
      <c r="E9" s="893"/>
    </row>
    <row r="10" spans="1:14" ht="18" customHeight="1">
      <c r="A10" s="448"/>
      <c r="B10" s="894" t="s">
        <v>22</v>
      </c>
      <c r="C10" s="893"/>
      <c r="D10" s="893"/>
      <c r="E10" s="893"/>
    </row>
    <row r="11" spans="1:14" ht="18" customHeight="1">
      <c r="A11" s="448"/>
      <c r="B11" s="894" t="s">
        <v>23</v>
      </c>
      <c r="C11" s="893"/>
      <c r="D11" s="893"/>
      <c r="E11" s="893"/>
    </row>
    <row r="12" spans="1:14" ht="18" customHeight="1">
      <c r="A12" s="448"/>
      <c r="B12" s="894" t="s">
        <v>24</v>
      </c>
      <c r="C12" s="893"/>
      <c r="D12" s="893"/>
      <c r="E12" s="893"/>
    </row>
    <row r="13" spans="1:14" ht="18" customHeight="1">
      <c r="A13" s="448"/>
      <c r="B13" s="894" t="s">
        <v>25</v>
      </c>
      <c r="C13" s="893"/>
      <c r="D13" s="893"/>
      <c r="E13" s="893"/>
    </row>
    <row r="14" spans="1:14" ht="18" customHeight="1">
      <c r="A14" s="448"/>
      <c r="B14" s="894" t="s">
        <v>26</v>
      </c>
      <c r="C14" s="893"/>
      <c r="D14" s="893"/>
      <c r="E14" s="893"/>
    </row>
    <row r="15" spans="1:14" ht="18" customHeight="1">
      <c r="A15" s="448"/>
      <c r="B15" s="894" t="s">
        <v>27</v>
      </c>
      <c r="C15" s="893"/>
      <c r="D15" s="893"/>
      <c r="E15" s="893"/>
    </row>
    <row r="16" spans="1:14" ht="18" customHeight="1">
      <c r="A16" s="448"/>
      <c r="B16" s="894" t="s">
        <v>28</v>
      </c>
      <c r="C16" s="893"/>
      <c r="D16" s="893"/>
      <c r="E16" s="893"/>
    </row>
    <row r="17" spans="1:5" ht="18" customHeight="1">
      <c r="A17" s="448"/>
      <c r="B17" s="894" t="s">
        <v>29</v>
      </c>
      <c r="C17" s="893"/>
      <c r="D17" s="893"/>
      <c r="E17" s="893"/>
    </row>
    <row r="18" spans="1:5" ht="14.4" customHeight="1">
      <c r="B18" s="740"/>
      <c r="C18" s="740"/>
      <c r="D18" s="740"/>
      <c r="E18" s="740"/>
    </row>
  </sheetData>
  <sheetProtection algorithmName="SHA-512" hashValue="G2NV4HH4Jt9ytY/kY7rjFZq5muw1WyUjgdbK5sksy2MCWnza2mQiZaZsd0foPeqIGEHErXd2ZEu4S2s6eUthbQ==" saltValue="lUuE2zTSgy9bcwPM75Ii3A==" spinCount="100000" sheet="1" objects="1" scenarios="1"/>
  <hyperlinks>
    <hyperlink ref="B5" location="'GRI Content index in accordance'!A1" display="GRI Content Index in accordance" xr:uid="{7F5DFDF5-FEF3-45F3-876D-AB76B75BF463}"/>
    <hyperlink ref="B6" location="'SASB Index'!A1" display="SASB Index" xr:uid="{FE074972-410A-435D-91E1-252C8F59A80F}"/>
    <hyperlink ref="B7" location="'TCFD Compliance Table'!A1" display="TCFD Compliance Table" xr:uid="{DE7DEAE2-D20B-4126-92B9-AEA22D9A2D90}"/>
    <hyperlink ref="B8" location="'PAI statement'!A1" display="PAI Statement" xr:uid="{06DDF1C0-F925-4A84-9D5C-396377F4E17D}"/>
    <hyperlink ref="B10" location="'ERM CVS Audited metrics'!A1" display="ERM CVS Audited metrics" xr:uid="{B3B08489-F50B-45FB-B1D7-FA8CE32E8DC3}"/>
    <hyperlink ref="B11" location="'2030 targets'!A1" display="2030 targets" xr:uid="{87B28707-19FF-4E27-B2EB-EA55260F44F6}"/>
    <hyperlink ref="B12" location="Environment!A1" display="Environment" xr:uid="{BCFA1647-5EB9-4662-A571-49FF70179CD1}"/>
    <hyperlink ref="B14" location="'Health and Safety'!A1" display="Health and Safety" xr:uid="{F3FD2434-366A-4CCF-B1A4-AD5FCF76A749}"/>
    <hyperlink ref="B13" location="People!A1" display="People" xr:uid="{9AA10CB9-8D5D-45CA-8BA0-0C8A9D55782F}"/>
    <hyperlink ref="B15" location="'Ethics and Compliance'!A1" display="Ethics and Compliance" xr:uid="{BCD38343-DF9B-4126-B115-D3FA7E55B2B0}"/>
    <hyperlink ref="B16" location="'Community Investment'!A1" display="Community Investment" xr:uid="{EF6B5F51-59C1-4838-99E0-72D21E826A44}"/>
    <hyperlink ref="B17" location="'Responsible Sourcing'!A1" display="Responsible Sourcing" xr:uid="{B6796D86-FEDB-469F-AABA-7A5E5C6F73B6}"/>
    <hyperlink ref="B4" location="'Material Topics'!A1" display="Material Topics" xr:uid="{A992F81B-A40F-49AE-B248-73FDD9EC5958}"/>
    <hyperlink ref="B9" location="'UK SECR'!Print_Area" display="UK SECR" xr:uid="{E43E5AF5-6EDD-4AAC-9725-2685DB0C466F}"/>
  </hyperlinks>
  <pageMargins left="0.70866141732283472" right="0.70866141732283472" top="0.74803149606299213" bottom="0.74803149606299213" header="0.31496062992125984" footer="0.31496062992125984"/>
  <pageSetup paperSize="9" orientation="landscape" r:id="rId1"/>
  <rowBreaks count="1" manualBreakCount="1">
    <brk id="19"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tabColor theme="3"/>
    <pageSetUpPr fitToPage="1"/>
  </sheetPr>
  <dimension ref="B2:Q17"/>
  <sheetViews>
    <sheetView zoomScale="80" zoomScaleNormal="80" workbookViewId="0"/>
  </sheetViews>
  <sheetFormatPr defaultColWidth="8.88671875" defaultRowHeight="13.8"/>
  <cols>
    <col min="1" max="1" width="2.33203125" style="2" customWidth="1"/>
    <col min="2" max="2" width="11.5546875" style="2" customWidth="1"/>
    <col min="3" max="3" width="12.109375" style="2" customWidth="1"/>
    <col min="4" max="16" width="8.88671875" style="2"/>
    <col min="17" max="17" width="6.6640625" style="2" customWidth="1"/>
    <col min="18" max="16384" width="8.88671875" style="2"/>
  </cols>
  <sheetData>
    <row r="2" spans="2:17" ht="24.6">
      <c r="B2" s="895" t="s">
        <v>16</v>
      </c>
      <c r="C2" s="896"/>
      <c r="D2" s="896"/>
    </row>
    <row r="4" spans="2:17" ht="51.9" customHeight="1">
      <c r="B4" s="1304" t="s">
        <v>30</v>
      </c>
      <c r="C4" s="1304"/>
      <c r="D4" s="1304"/>
      <c r="E4" s="1304"/>
      <c r="F4" s="1304"/>
      <c r="G4" s="1304"/>
      <c r="H4" s="1304"/>
      <c r="I4" s="1304"/>
      <c r="J4" s="1304"/>
      <c r="K4" s="1304"/>
      <c r="L4" s="1304"/>
      <c r="M4" s="1304"/>
      <c r="N4" s="1304"/>
      <c r="O4" s="1304"/>
      <c r="P4" s="1304"/>
    </row>
    <row r="5" spans="2:17">
      <c r="B5" s="78" t="s">
        <v>31</v>
      </c>
      <c r="C5" s="78"/>
      <c r="D5" s="78"/>
      <c r="E5" s="78"/>
    </row>
    <row r="6" spans="2:17" ht="3.6" customHeight="1"/>
    <row r="7" spans="2:17" ht="31.35" customHeight="1">
      <c r="B7" s="1305" t="s">
        <v>32</v>
      </c>
      <c r="C7" s="980" t="s">
        <v>33</v>
      </c>
      <c r="D7" s="956"/>
      <c r="E7" s="956"/>
      <c r="F7" s="956"/>
      <c r="G7" s="957"/>
      <c r="H7" s="958"/>
      <c r="I7" s="958"/>
      <c r="J7" s="958"/>
      <c r="K7" s="958"/>
      <c r="L7" s="958"/>
      <c r="M7" s="958"/>
      <c r="N7" s="958"/>
      <c r="O7" s="958"/>
      <c r="P7" s="958"/>
      <c r="Q7" s="959"/>
    </row>
    <row r="8" spans="2:17" ht="31.35" customHeight="1">
      <c r="B8" s="1306"/>
      <c r="C8" s="981" t="s">
        <v>34</v>
      </c>
      <c r="D8" s="960"/>
      <c r="E8" s="960"/>
      <c r="F8" s="960"/>
      <c r="G8" s="961"/>
      <c r="H8" s="962"/>
      <c r="I8" s="962"/>
      <c r="J8" s="962"/>
      <c r="K8" s="962"/>
      <c r="L8" s="962"/>
      <c r="M8" s="962"/>
      <c r="N8" s="962"/>
      <c r="O8" s="962"/>
      <c r="P8" s="962"/>
      <c r="Q8" s="963"/>
    </row>
    <row r="9" spans="2:17" ht="31.35" customHeight="1">
      <c r="B9" s="1306"/>
      <c r="C9" s="981" t="s">
        <v>35</v>
      </c>
      <c r="D9" s="960"/>
      <c r="E9" s="960"/>
      <c r="F9" s="960"/>
      <c r="G9" s="961"/>
      <c r="H9" s="962"/>
      <c r="I9" s="962"/>
      <c r="J9" s="962"/>
      <c r="K9" s="962"/>
      <c r="L9" s="962"/>
      <c r="M9" s="962"/>
      <c r="N9" s="962"/>
      <c r="O9" s="962"/>
      <c r="P9" s="962"/>
      <c r="Q9" s="963"/>
    </row>
    <row r="10" spans="2:17" ht="31.35" customHeight="1">
      <c r="B10" s="1306"/>
      <c r="C10" s="981" t="s">
        <v>36</v>
      </c>
      <c r="D10" s="960"/>
      <c r="E10" s="960"/>
      <c r="F10" s="960"/>
      <c r="G10" s="961"/>
      <c r="H10" s="962"/>
      <c r="I10" s="962"/>
      <c r="J10" s="962"/>
      <c r="K10" s="962"/>
      <c r="L10" s="962"/>
      <c r="M10" s="962"/>
      <c r="N10" s="962"/>
      <c r="O10" s="962"/>
      <c r="P10" s="962"/>
      <c r="Q10" s="963"/>
    </row>
    <row r="11" spans="2:17" ht="31.35" customHeight="1">
      <c r="B11" s="1307"/>
      <c r="C11" s="982" t="s">
        <v>37</v>
      </c>
      <c r="D11" s="964"/>
      <c r="E11" s="964"/>
      <c r="F11" s="964"/>
      <c r="G11" s="965"/>
      <c r="H11" s="966"/>
      <c r="I11" s="966"/>
      <c r="J11" s="966"/>
      <c r="K11" s="966"/>
      <c r="L11" s="966"/>
      <c r="M11" s="966"/>
      <c r="N11" s="966"/>
      <c r="O11" s="966"/>
      <c r="P11" s="966"/>
      <c r="Q11" s="967"/>
    </row>
    <row r="12" spans="2:17" ht="31.35" customHeight="1">
      <c r="B12" s="1308" t="s">
        <v>25</v>
      </c>
      <c r="C12" s="983" t="s">
        <v>26</v>
      </c>
      <c r="D12" s="968"/>
      <c r="E12" s="968"/>
      <c r="F12" s="968"/>
      <c r="G12" s="969"/>
      <c r="H12" s="970"/>
      <c r="I12" s="970"/>
      <c r="J12" s="970"/>
      <c r="K12" s="970"/>
      <c r="L12" s="970"/>
      <c r="M12" s="970"/>
      <c r="N12" s="970"/>
      <c r="O12" s="970"/>
      <c r="P12" s="970"/>
      <c r="Q12" s="971"/>
    </row>
    <row r="13" spans="2:17" ht="31.35" customHeight="1">
      <c r="B13" s="1309"/>
      <c r="C13" s="984" t="s">
        <v>38</v>
      </c>
      <c r="D13" s="953"/>
      <c r="E13" s="953"/>
      <c r="F13" s="953"/>
      <c r="G13" s="954"/>
      <c r="H13" s="955"/>
      <c r="I13" s="955"/>
      <c r="J13" s="955"/>
      <c r="K13" s="955"/>
      <c r="L13" s="955"/>
      <c r="M13" s="955"/>
      <c r="N13" s="955"/>
      <c r="O13" s="955"/>
      <c r="P13" s="955"/>
      <c r="Q13" s="972"/>
    </row>
    <row r="14" spans="2:17" ht="31.35" customHeight="1">
      <c r="B14" s="1309"/>
      <c r="C14" s="984" t="s">
        <v>39</v>
      </c>
      <c r="D14" s="953"/>
      <c r="E14" s="953"/>
      <c r="F14" s="953"/>
      <c r="G14" s="954"/>
      <c r="H14" s="955"/>
      <c r="I14" s="955"/>
      <c r="J14" s="955"/>
      <c r="K14" s="955"/>
      <c r="L14" s="955"/>
      <c r="M14" s="955"/>
      <c r="N14" s="955"/>
      <c r="O14" s="955"/>
      <c r="P14" s="955"/>
      <c r="Q14" s="972"/>
    </row>
    <row r="15" spans="2:17" ht="31.35" customHeight="1">
      <c r="B15" s="1309"/>
      <c r="C15" s="984" t="s">
        <v>40</v>
      </c>
      <c r="D15" s="953"/>
      <c r="E15" s="953"/>
      <c r="F15" s="953"/>
      <c r="G15" s="954"/>
      <c r="H15" s="955"/>
      <c r="I15" s="955"/>
      <c r="J15" s="955"/>
      <c r="K15" s="955"/>
      <c r="L15" s="955"/>
      <c r="M15" s="955"/>
      <c r="N15" s="955"/>
      <c r="O15" s="955"/>
      <c r="P15" s="955"/>
      <c r="Q15" s="972"/>
    </row>
    <row r="16" spans="2:17" ht="31.35" customHeight="1">
      <c r="B16" s="1310"/>
      <c r="C16" s="985" t="s">
        <v>41</v>
      </c>
      <c r="D16" s="973"/>
      <c r="E16" s="973"/>
      <c r="F16" s="973"/>
      <c r="G16" s="974"/>
      <c r="H16" s="975"/>
      <c r="I16" s="975"/>
      <c r="J16" s="975"/>
      <c r="K16" s="975"/>
      <c r="L16" s="975"/>
      <c r="M16" s="975"/>
      <c r="N16" s="975"/>
      <c r="O16" s="975"/>
      <c r="P16" s="975"/>
      <c r="Q16" s="976"/>
    </row>
    <row r="17" spans="2:17" ht="31.35" customHeight="1">
      <c r="B17" s="1311" t="s">
        <v>42</v>
      </c>
      <c r="C17" s="1312"/>
      <c r="D17" s="1312"/>
      <c r="E17" s="1312"/>
      <c r="F17" s="1312"/>
      <c r="G17" s="977"/>
      <c r="H17" s="978"/>
      <c r="I17" s="978"/>
      <c r="J17" s="978"/>
      <c r="K17" s="978"/>
      <c r="L17" s="978"/>
      <c r="M17" s="978"/>
      <c r="N17" s="978"/>
      <c r="O17" s="978"/>
      <c r="P17" s="978"/>
      <c r="Q17" s="979"/>
    </row>
  </sheetData>
  <sheetProtection algorithmName="SHA-512" hashValue="RBiDfDTYmiFP26d60aGtdbAf1CWlfP1swOb8cOxojmYnVbbBQEK6SSk77oi4sH3C6fdn/zg16UzNuYOmsOoYsA==" saltValue="+3VZPsruVVv4xCKLKMHFEg==" spinCount="100000" sheet="1" objects="1" scenarios="1"/>
  <mergeCells count="4">
    <mergeCell ref="B4:P4"/>
    <mergeCell ref="B7:B11"/>
    <mergeCell ref="B12:B16"/>
    <mergeCell ref="B17:F17"/>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pageSetUpPr fitToPage="1"/>
  </sheetPr>
  <dimension ref="B2:R208"/>
  <sheetViews>
    <sheetView topLeftCell="A33" zoomScale="60" zoomScaleNormal="60" workbookViewId="0">
      <selection activeCell="E215" sqref="E215"/>
    </sheetView>
  </sheetViews>
  <sheetFormatPr defaultColWidth="9.109375" defaultRowHeight="17.399999999999999"/>
  <cols>
    <col min="1" max="1" width="4.33203125" style="64" customWidth="1"/>
    <col min="2" max="2" width="22.109375" style="634" customWidth="1"/>
    <col min="3" max="3" width="49.109375" style="634" customWidth="1"/>
    <col min="4" max="4" width="83.44140625" style="64" customWidth="1"/>
    <col min="5" max="5" width="48.109375" style="64" customWidth="1"/>
    <col min="6" max="6" width="22.44140625" style="64" customWidth="1"/>
    <col min="7" max="7" width="12.5546875" style="64" customWidth="1"/>
    <col min="8" max="8" width="37.88671875" style="64" customWidth="1"/>
    <col min="9" max="9" width="13" style="64" customWidth="1"/>
    <col min="10" max="10" width="47.44140625" style="64" customWidth="1"/>
    <col min="11" max="16384" width="9.109375" style="64"/>
  </cols>
  <sheetData>
    <row r="2" spans="2:18" ht="33.6" customHeight="1">
      <c r="B2" s="1364" t="s">
        <v>43</v>
      </c>
      <c r="C2" s="1364"/>
      <c r="D2" s="1364"/>
      <c r="E2" s="1364"/>
      <c r="F2" s="1364"/>
      <c r="G2" s="1364"/>
      <c r="H2" s="1364"/>
      <c r="I2" s="1364"/>
    </row>
    <row r="4" spans="2:18" ht="20.399999999999999" customHeight="1">
      <c r="B4" s="1362" t="s">
        <v>44</v>
      </c>
      <c r="C4" s="1362"/>
      <c r="D4" s="1321" t="s">
        <v>45</v>
      </c>
      <c r="E4" s="1321"/>
    </row>
    <row r="5" spans="2:18" ht="21" customHeight="1">
      <c r="B5" s="1363" t="s">
        <v>46</v>
      </c>
      <c r="C5" s="1363"/>
      <c r="D5" s="1322" t="s">
        <v>47</v>
      </c>
      <c r="E5" s="1322"/>
    </row>
    <row r="6" spans="2:18" hidden="1">
      <c r="B6" s="635" t="s">
        <v>48</v>
      </c>
      <c r="C6" s="635"/>
      <c r="D6" s="641" t="s">
        <v>49</v>
      </c>
    </row>
    <row r="7" spans="2:18">
      <c r="C7" s="636"/>
      <c r="D7" s="523"/>
      <c r="F7"/>
      <c r="G7" s="523"/>
      <c r="H7" s="523"/>
      <c r="I7" s="460"/>
    </row>
    <row r="8" spans="2:18" ht="13.8">
      <c r="B8" s="10" t="s">
        <v>50</v>
      </c>
      <c r="C8" s="64"/>
      <c r="D8" s="10"/>
      <c r="F8" s="523"/>
      <c r="G8" s="523"/>
      <c r="H8" s="523"/>
      <c r="I8" s="460"/>
      <c r="M8" s="1368"/>
      <c r="N8" s="1368"/>
      <c r="O8" s="1368"/>
      <c r="P8" s="1368"/>
      <c r="Q8" s="1368"/>
      <c r="R8" s="1368"/>
    </row>
    <row r="9" spans="2:18" ht="13.8">
      <c r="B9" s="11" t="s">
        <v>51</v>
      </c>
      <c r="C9" s="64"/>
      <c r="D9" s="10"/>
      <c r="E9" s="523"/>
      <c r="F9" s="523"/>
      <c r="G9" s="523"/>
      <c r="H9" s="523"/>
      <c r="I9" s="460"/>
      <c r="M9" s="1368"/>
      <c r="N9" s="1368"/>
      <c r="O9" s="1368"/>
      <c r="P9" s="1368"/>
      <c r="Q9" s="1368"/>
      <c r="R9" s="1368"/>
    </row>
    <row r="10" spans="2:18" ht="13.8">
      <c r="B10" s="11" t="s">
        <v>52</v>
      </c>
      <c r="C10" s="64"/>
      <c r="D10" s="10"/>
      <c r="E10" s="523"/>
      <c r="F10" s="523"/>
      <c r="G10" s="523"/>
      <c r="H10" s="523"/>
      <c r="I10" s="460"/>
      <c r="M10" s="1368"/>
      <c r="N10" s="1368"/>
      <c r="O10" s="1368"/>
      <c r="P10" s="1368"/>
      <c r="Q10" s="1368"/>
      <c r="R10" s="1368"/>
    </row>
    <row r="11" spans="2:18" ht="0.6" customHeight="1">
      <c r="C11" s="636"/>
      <c r="D11" s="523"/>
      <c r="E11" s="523"/>
      <c r="F11" s="523"/>
      <c r="G11" s="523"/>
      <c r="H11" s="523"/>
      <c r="I11" s="460"/>
      <c r="M11" s="1368"/>
      <c r="N11" s="1368"/>
      <c r="O11" s="1368"/>
      <c r="P11" s="1368"/>
      <c r="Q11" s="1368"/>
      <c r="R11" s="1368"/>
    </row>
    <row r="12" spans="2:18" ht="14.4" customHeight="1">
      <c r="B12" s="1331" t="s">
        <v>53</v>
      </c>
      <c r="C12" s="1372" t="s">
        <v>54</v>
      </c>
      <c r="D12" s="1372" t="s">
        <v>55</v>
      </c>
      <c r="E12" s="1374" t="s">
        <v>56</v>
      </c>
      <c r="F12" s="1374" t="s">
        <v>57</v>
      </c>
      <c r="G12" s="1374"/>
      <c r="H12" s="1374"/>
      <c r="I12" s="1372" t="s">
        <v>58</v>
      </c>
      <c r="M12" s="1368"/>
      <c r="N12" s="1368"/>
      <c r="O12" s="1368"/>
      <c r="P12" s="1368"/>
      <c r="Q12" s="1368"/>
      <c r="R12" s="1368"/>
    </row>
    <row r="13" spans="2:18" ht="30" customHeight="1">
      <c r="B13" s="1331"/>
      <c r="C13" s="1372"/>
      <c r="D13" s="1372"/>
      <c r="E13" s="1374"/>
      <c r="F13" s="897" t="s">
        <v>59</v>
      </c>
      <c r="G13" s="897" t="s">
        <v>60</v>
      </c>
      <c r="H13" s="897" t="s">
        <v>61</v>
      </c>
      <c r="I13" s="1372"/>
      <c r="M13" s="1368"/>
      <c r="N13" s="1368"/>
      <c r="O13" s="1368"/>
      <c r="P13" s="1368"/>
      <c r="Q13" s="1368"/>
      <c r="R13" s="1368"/>
    </row>
    <row r="14" spans="2:18">
      <c r="B14" s="875"/>
      <c r="C14" s="1365" t="s">
        <v>62</v>
      </c>
      <c r="D14" s="1365"/>
      <c r="E14" s="1365"/>
      <c r="F14" s="1365"/>
      <c r="G14" s="1365"/>
      <c r="H14" s="1365"/>
      <c r="I14" s="1365"/>
      <c r="M14" s="1368"/>
      <c r="N14" s="1368"/>
      <c r="O14" s="1368"/>
      <c r="P14" s="1368"/>
      <c r="Q14" s="1368"/>
      <c r="R14" s="1368"/>
    </row>
    <row r="15" spans="2:18" ht="18" customHeight="1">
      <c r="B15" s="1325"/>
      <c r="C15" s="1373" t="s">
        <v>63</v>
      </c>
      <c r="D15" s="884" t="s">
        <v>64</v>
      </c>
      <c r="E15" s="1266" t="s">
        <v>65</v>
      </c>
      <c r="F15" s="1376" t="s">
        <v>66</v>
      </c>
      <c r="G15" s="1376"/>
      <c r="H15" s="1376"/>
      <c r="I15" s="1376"/>
    </row>
    <row r="16" spans="2:18" ht="18" customHeight="1">
      <c r="B16" s="1325"/>
      <c r="C16" s="1373"/>
      <c r="D16" s="547" t="s">
        <v>67</v>
      </c>
      <c r="E16" s="609" t="s">
        <v>68</v>
      </c>
      <c r="F16" s="1376"/>
      <c r="G16" s="1376"/>
      <c r="H16" s="1376"/>
      <c r="I16" s="1376"/>
    </row>
    <row r="17" spans="2:10" ht="18" customHeight="1">
      <c r="B17" s="1325"/>
      <c r="C17" s="1373"/>
      <c r="D17" s="547" t="s">
        <v>69</v>
      </c>
      <c r="E17" s="609" t="s">
        <v>70</v>
      </c>
      <c r="F17" s="1376"/>
      <c r="G17" s="1376"/>
      <c r="H17" s="1376"/>
      <c r="I17" s="1376"/>
      <c r="J17" s="536"/>
    </row>
    <row r="18" spans="2:10" ht="37.799999999999997">
      <c r="B18" s="1325"/>
      <c r="C18" s="1373"/>
      <c r="D18" s="547" t="s">
        <v>71</v>
      </c>
      <c r="E18" s="609" t="s">
        <v>72</v>
      </c>
      <c r="F18" s="1376"/>
      <c r="G18" s="1376"/>
      <c r="H18" s="1376"/>
      <c r="I18" s="1376"/>
    </row>
    <row r="19" spans="2:10" ht="18" customHeight="1">
      <c r="B19" s="1325"/>
      <c r="C19" s="1373"/>
      <c r="D19" s="547" t="s">
        <v>73</v>
      </c>
      <c r="E19" s="609" t="s">
        <v>74</v>
      </c>
      <c r="F19" s="1376"/>
      <c r="G19" s="1376"/>
      <c r="H19" s="1376"/>
      <c r="I19" s="1376"/>
    </row>
    <row r="20" spans="2:10" ht="18" customHeight="1">
      <c r="B20" s="1325"/>
      <c r="C20" s="1373"/>
      <c r="D20" s="547" t="s">
        <v>75</v>
      </c>
      <c r="E20" s="609" t="s">
        <v>76</v>
      </c>
      <c r="F20" s="550"/>
      <c r="G20" s="550"/>
      <c r="H20" s="550"/>
      <c r="I20" s="1375"/>
    </row>
    <row r="21" spans="2:10" ht="29.4" customHeight="1">
      <c r="B21" s="1325"/>
      <c r="C21" s="1373"/>
      <c r="D21" s="547" t="s">
        <v>77</v>
      </c>
      <c r="E21" s="609" t="s">
        <v>78</v>
      </c>
      <c r="F21" s="550"/>
      <c r="G21" s="550"/>
      <c r="H21" s="550"/>
      <c r="I21" s="1375"/>
    </row>
    <row r="22" spans="2:10" ht="29.4" customHeight="1">
      <c r="B22" s="1325"/>
      <c r="C22" s="1373"/>
      <c r="D22" s="547" t="s">
        <v>79</v>
      </c>
      <c r="E22" s="609" t="s">
        <v>80</v>
      </c>
      <c r="F22" s="550"/>
      <c r="G22" s="550"/>
      <c r="H22" s="550"/>
      <c r="I22" s="1375"/>
    </row>
    <row r="23" spans="2:10" ht="18" customHeight="1">
      <c r="B23" s="1325"/>
      <c r="C23" s="1373"/>
      <c r="D23" s="547" t="s">
        <v>81</v>
      </c>
      <c r="E23" s="609" t="s">
        <v>82</v>
      </c>
      <c r="F23" s="550"/>
      <c r="G23" s="550"/>
      <c r="H23" s="550"/>
      <c r="I23" s="1375"/>
    </row>
    <row r="24" spans="2:10" ht="18" customHeight="1">
      <c r="B24" s="1325"/>
      <c r="C24" s="1373"/>
      <c r="D24" s="551" t="s">
        <v>83</v>
      </c>
      <c r="E24" s="609" t="s">
        <v>84</v>
      </c>
      <c r="F24" s="550"/>
      <c r="G24" s="550"/>
      <c r="H24" s="550"/>
      <c r="I24" s="1375"/>
    </row>
    <row r="25" spans="2:10" ht="18" customHeight="1">
      <c r="B25" s="1325"/>
      <c r="C25" s="1373"/>
      <c r="D25" s="551" t="s">
        <v>85</v>
      </c>
      <c r="E25" s="609" t="s">
        <v>86</v>
      </c>
      <c r="F25" s="550"/>
      <c r="G25" s="550"/>
      <c r="H25" s="550"/>
      <c r="I25" s="1375"/>
    </row>
    <row r="26" spans="2:10" ht="25.2">
      <c r="B26" s="1325"/>
      <c r="C26" s="1373"/>
      <c r="D26" s="551" t="s">
        <v>87</v>
      </c>
      <c r="E26" s="609" t="s">
        <v>88</v>
      </c>
      <c r="F26" s="550"/>
      <c r="G26" s="550"/>
      <c r="H26" s="550"/>
      <c r="I26" s="1375"/>
    </row>
    <row r="27" spans="2:10" ht="18" customHeight="1">
      <c r="B27" s="1325"/>
      <c r="C27" s="1373"/>
      <c r="D27" s="551" t="s">
        <v>89</v>
      </c>
      <c r="E27" s="609" t="s">
        <v>90</v>
      </c>
      <c r="F27" s="550"/>
      <c r="G27" s="550"/>
      <c r="H27" s="550"/>
      <c r="I27" s="1375"/>
    </row>
    <row r="28" spans="2:10" ht="18" customHeight="1">
      <c r="B28" s="1325"/>
      <c r="C28" s="1373"/>
      <c r="D28" s="551" t="s">
        <v>91</v>
      </c>
      <c r="E28" s="609" t="s">
        <v>92</v>
      </c>
      <c r="F28" s="550"/>
      <c r="G28" s="550"/>
      <c r="H28" s="550"/>
      <c r="I28" s="1375"/>
    </row>
    <row r="29" spans="2:10" ht="18" customHeight="1">
      <c r="B29" s="1325"/>
      <c r="C29" s="1373"/>
      <c r="D29" s="1379" t="s">
        <v>93</v>
      </c>
      <c r="E29" s="609" t="s">
        <v>94</v>
      </c>
      <c r="F29" s="1338"/>
      <c r="G29" s="1338"/>
      <c r="H29" s="1338"/>
      <c r="I29" s="1375"/>
    </row>
    <row r="30" spans="2:10" ht="18" customHeight="1">
      <c r="B30" s="1325"/>
      <c r="C30" s="1373"/>
      <c r="D30" s="1379"/>
      <c r="E30" s="1292" t="s">
        <v>95</v>
      </c>
      <c r="F30" s="1338"/>
      <c r="G30" s="1338"/>
      <c r="H30" s="1338"/>
      <c r="I30" s="1375"/>
    </row>
    <row r="31" spans="2:10" ht="25.2">
      <c r="B31" s="1325"/>
      <c r="C31" s="1373"/>
      <c r="D31" s="551" t="s">
        <v>96</v>
      </c>
      <c r="E31" s="609" t="s">
        <v>97</v>
      </c>
      <c r="F31" s="550"/>
      <c r="G31" s="550"/>
      <c r="H31" s="550"/>
      <c r="I31" s="1375"/>
    </row>
    <row r="32" spans="2:10" ht="18" customHeight="1">
      <c r="B32" s="1325"/>
      <c r="C32" s="1373"/>
      <c r="D32" s="551" t="s">
        <v>98</v>
      </c>
      <c r="E32" s="609" t="s">
        <v>99</v>
      </c>
      <c r="F32" s="550"/>
      <c r="G32" s="550"/>
      <c r="H32" s="550"/>
      <c r="I32" s="1375"/>
    </row>
    <row r="33" spans="2:16" ht="18" customHeight="1">
      <c r="B33" s="1325"/>
      <c r="C33" s="1373"/>
      <c r="D33" s="551" t="s">
        <v>100</v>
      </c>
      <c r="E33" s="609" t="s">
        <v>101</v>
      </c>
      <c r="F33" s="550"/>
      <c r="G33" s="550"/>
      <c r="H33" s="550"/>
      <c r="I33" s="1375"/>
    </row>
    <row r="34" spans="2:16" ht="18" customHeight="1">
      <c r="B34" s="1325"/>
      <c r="C34" s="1373"/>
      <c r="D34" s="551" t="s">
        <v>102</v>
      </c>
      <c r="E34" s="609" t="s">
        <v>103</v>
      </c>
      <c r="F34" s="550"/>
      <c r="G34" s="550"/>
      <c r="H34" s="550"/>
      <c r="I34" s="1375"/>
    </row>
    <row r="35" spans="2:16" ht="18" customHeight="1">
      <c r="B35" s="1325"/>
      <c r="C35" s="1373"/>
      <c r="D35" s="551" t="s">
        <v>104</v>
      </c>
      <c r="E35" s="609" t="s">
        <v>105</v>
      </c>
      <c r="F35" s="537"/>
      <c r="G35" s="550"/>
      <c r="H35" s="537"/>
      <c r="I35" s="1375"/>
    </row>
    <row r="36" spans="2:16" ht="18" customHeight="1">
      <c r="B36" s="1325"/>
      <c r="C36" s="1373"/>
      <c r="D36" s="551" t="s">
        <v>106</v>
      </c>
      <c r="E36" s="609" t="s">
        <v>105</v>
      </c>
      <c r="F36" s="537"/>
      <c r="G36" s="550"/>
      <c r="H36" s="537"/>
      <c r="I36" s="1375"/>
    </row>
    <row r="37" spans="2:16" ht="18" customHeight="1">
      <c r="B37" s="1325"/>
      <c r="C37" s="1373"/>
      <c r="D37" s="551" t="s">
        <v>107</v>
      </c>
      <c r="E37" s="609" t="s">
        <v>108</v>
      </c>
      <c r="F37" s="537"/>
      <c r="G37" s="550"/>
      <c r="H37" s="537"/>
      <c r="I37" s="1375"/>
    </row>
    <row r="38" spans="2:16" ht="18" customHeight="1">
      <c r="B38" s="1325"/>
      <c r="C38" s="1373"/>
      <c r="D38" s="1379" t="s">
        <v>109</v>
      </c>
      <c r="E38" s="609" t="s">
        <v>110</v>
      </c>
      <c r="F38" s="1361"/>
      <c r="G38" s="1338"/>
      <c r="H38" s="1361"/>
      <c r="I38" s="1375"/>
    </row>
    <row r="39" spans="2:16" ht="18" customHeight="1">
      <c r="B39" s="1325"/>
      <c r="C39" s="1373"/>
      <c r="D39" s="1379"/>
      <c r="E39" s="1292" t="s">
        <v>111</v>
      </c>
      <c r="F39" s="1361"/>
      <c r="G39" s="1338"/>
      <c r="H39" s="1361"/>
      <c r="I39" s="1375"/>
    </row>
    <row r="40" spans="2:16" ht="18" customHeight="1">
      <c r="B40" s="1325"/>
      <c r="C40" s="1373"/>
      <c r="D40" s="551" t="s">
        <v>112</v>
      </c>
      <c r="E40" s="609" t="s">
        <v>113</v>
      </c>
      <c r="F40" s="537"/>
      <c r="G40" s="550"/>
      <c r="H40" s="537"/>
      <c r="I40" s="1375"/>
    </row>
    <row r="41" spans="2:16" ht="18" customHeight="1">
      <c r="B41" s="1325"/>
      <c r="C41" s="1373"/>
      <c r="D41" s="551" t="s">
        <v>114</v>
      </c>
      <c r="E41" s="609" t="s">
        <v>115</v>
      </c>
      <c r="F41" s="537"/>
      <c r="G41" s="550"/>
      <c r="H41" s="537"/>
      <c r="I41" s="1375"/>
    </row>
    <row r="42" spans="2:16" ht="18" customHeight="1">
      <c r="B42" s="1325"/>
      <c r="C42" s="1373"/>
      <c r="D42" s="551" t="s">
        <v>116</v>
      </c>
      <c r="E42" s="609" t="s">
        <v>115</v>
      </c>
      <c r="F42" s="537"/>
      <c r="G42" s="550"/>
      <c r="H42" s="537"/>
      <c r="I42" s="1375"/>
    </row>
    <row r="43" spans="2:16" ht="25.2">
      <c r="B43" s="1325"/>
      <c r="C43" s="1373"/>
      <c r="D43" s="551" t="s">
        <v>117</v>
      </c>
      <c r="E43" s="609" t="s">
        <v>118</v>
      </c>
      <c r="F43" s="537"/>
      <c r="G43" s="550"/>
      <c r="H43" s="537"/>
      <c r="I43" s="1375"/>
    </row>
    <row r="44" spans="2:16" ht="18" customHeight="1">
      <c r="B44" s="1325"/>
      <c r="C44" s="1373"/>
      <c r="D44" s="551" t="s">
        <v>119</v>
      </c>
      <c r="E44" s="609" t="s">
        <v>120</v>
      </c>
      <c r="F44" s="537"/>
      <c r="G44" s="550"/>
      <c r="H44" s="537"/>
      <c r="I44" s="1375"/>
      <c r="L44" s="1370"/>
      <c r="M44" s="1370"/>
      <c r="N44" s="1370"/>
      <c r="O44" s="1370"/>
      <c r="P44" s="1370"/>
    </row>
    <row r="45" spans="2:16" ht="18" customHeight="1">
      <c r="B45" s="1325"/>
      <c r="C45" s="1373"/>
      <c r="D45" s="551" t="s">
        <v>121</v>
      </c>
      <c r="E45" s="609" t="s">
        <v>122</v>
      </c>
      <c r="F45" s="537"/>
      <c r="G45" s="550"/>
      <c r="H45" s="537"/>
      <c r="I45" s="1375"/>
      <c r="L45" s="1370"/>
      <c r="M45" s="1370"/>
      <c r="N45" s="1370"/>
      <c r="O45" s="1370"/>
      <c r="P45" s="1370"/>
    </row>
    <row r="46" spans="2:16" ht="31.65" customHeight="1">
      <c r="B46" s="1325"/>
      <c r="C46" s="1373"/>
      <c r="D46" s="885" t="s">
        <v>123</v>
      </c>
      <c r="E46" s="866" t="s">
        <v>124</v>
      </c>
      <c r="F46" s="865"/>
      <c r="G46" s="864"/>
      <c r="H46" s="865"/>
      <c r="I46" s="1375"/>
      <c r="L46" s="1370"/>
      <c r="M46" s="1370"/>
      <c r="N46" s="1370"/>
      <c r="O46" s="1370"/>
      <c r="P46" s="1370"/>
    </row>
    <row r="47" spans="2:16" ht="23.1" customHeight="1">
      <c r="B47" s="880"/>
      <c r="C47" s="881" t="s">
        <v>125</v>
      </c>
      <c r="D47" s="882"/>
      <c r="E47" s="882"/>
      <c r="F47" s="882"/>
      <c r="G47" s="882"/>
      <c r="H47" s="882"/>
      <c r="I47" s="883"/>
    </row>
    <row r="48" spans="2:16">
      <c r="B48" s="876"/>
      <c r="C48" s="1378" t="s">
        <v>126</v>
      </c>
      <c r="D48" s="877" t="s">
        <v>127</v>
      </c>
      <c r="E48" s="1266" t="s">
        <v>128</v>
      </c>
      <c r="F48" s="1377" t="s">
        <v>66</v>
      </c>
      <c r="G48" s="1377"/>
      <c r="H48" s="1377"/>
      <c r="I48" s="1377"/>
      <c r="J48" s="536"/>
    </row>
    <row r="49" spans="2:15" ht="28.65" customHeight="1">
      <c r="B49" s="878"/>
      <c r="C49" s="1378"/>
      <c r="D49" s="879" t="s">
        <v>129</v>
      </c>
      <c r="E49" s="866" t="s">
        <v>130</v>
      </c>
      <c r="F49" s="1377"/>
      <c r="G49" s="1377"/>
      <c r="H49" s="1377"/>
      <c r="I49" s="1377"/>
      <c r="L49" s="1369"/>
      <c r="M49" s="1369"/>
      <c r="N49" s="1369"/>
      <c r="O49" s="1369"/>
    </row>
    <row r="50" spans="2:15" ht="13.8">
      <c r="B50" s="1327" t="s">
        <v>131</v>
      </c>
      <c r="C50" s="1330" t="s">
        <v>132</v>
      </c>
      <c r="D50" s="1330"/>
      <c r="E50" s="1330"/>
      <c r="F50" s="1330"/>
      <c r="G50" s="1330"/>
      <c r="H50" s="1330"/>
      <c r="I50" s="1330"/>
    </row>
    <row r="51" spans="2:15" ht="19.649999999999999" customHeight="1">
      <c r="B51" s="1327"/>
      <c r="C51" s="651" t="s">
        <v>126</v>
      </c>
      <c r="D51" s="547" t="s">
        <v>133</v>
      </c>
      <c r="E51" s="609" t="s">
        <v>134</v>
      </c>
      <c r="F51" s="537"/>
      <c r="G51" s="537"/>
      <c r="H51" s="537"/>
      <c r="I51" s="537"/>
    </row>
    <row r="52" spans="2:15" ht="19.649999999999999" customHeight="1">
      <c r="B52" s="1327"/>
      <c r="C52" s="1314" t="s">
        <v>135</v>
      </c>
      <c r="D52" s="547" t="s">
        <v>136</v>
      </c>
      <c r="E52" s="609" t="s">
        <v>137</v>
      </c>
      <c r="F52" s="537"/>
      <c r="G52" s="537"/>
      <c r="H52" s="537"/>
      <c r="I52" s="537"/>
    </row>
    <row r="53" spans="2:15" ht="28.65" customHeight="1">
      <c r="B53" s="1327"/>
      <c r="C53" s="1314"/>
      <c r="D53" s="547" t="s">
        <v>138</v>
      </c>
      <c r="E53" s="609" t="s">
        <v>139</v>
      </c>
      <c r="F53" s="537"/>
      <c r="G53" s="537"/>
      <c r="H53" s="537"/>
      <c r="I53" s="537"/>
    </row>
    <row r="54" spans="2:15" ht="18" customHeight="1">
      <c r="B54" s="1327"/>
      <c r="C54" s="1314"/>
      <c r="D54" s="547" t="s">
        <v>140</v>
      </c>
      <c r="E54" s="1267" t="s">
        <v>141</v>
      </c>
      <c r="F54" s="537"/>
      <c r="G54" s="537"/>
      <c r="H54" s="537"/>
      <c r="I54" s="537"/>
    </row>
    <row r="55" spans="2:15" ht="17.100000000000001" customHeight="1">
      <c r="B55" s="1327"/>
      <c r="C55" s="1314"/>
      <c r="D55" s="867" t="s">
        <v>142</v>
      </c>
      <c r="E55" s="1268" t="s">
        <v>143</v>
      </c>
      <c r="F55" s="865"/>
      <c r="G55" s="865"/>
      <c r="H55" s="865"/>
      <c r="I55" s="865"/>
    </row>
    <row r="56" spans="2:15" ht="13.5" customHeight="1">
      <c r="B56" s="1327" t="s">
        <v>131</v>
      </c>
      <c r="C56" s="1330" t="s">
        <v>144</v>
      </c>
      <c r="D56" s="1330"/>
      <c r="E56" s="1330"/>
      <c r="F56" s="1330"/>
      <c r="G56" s="1330"/>
      <c r="H56" s="1330"/>
      <c r="I56" s="1330"/>
      <c r="L56" s="538"/>
      <c r="M56" s="538"/>
      <c r="N56" s="538"/>
    </row>
    <row r="57" spans="2:15" ht="19.8">
      <c r="B57" s="1327"/>
      <c r="C57" s="1314" t="s">
        <v>126</v>
      </c>
      <c r="D57" s="1328" t="s">
        <v>133</v>
      </c>
      <c r="E57" s="609" t="s">
        <v>145</v>
      </c>
      <c r="F57" s="550"/>
      <c r="G57" s="550"/>
      <c r="H57" s="550"/>
      <c r="I57" s="550"/>
      <c r="L57" s="538"/>
      <c r="M57" s="538"/>
      <c r="N57" s="538"/>
    </row>
    <row r="58" spans="2:15" ht="25.2">
      <c r="B58" s="1327"/>
      <c r="C58" s="1314"/>
      <c r="D58" s="1328"/>
      <c r="E58" s="1292" t="s">
        <v>146</v>
      </c>
      <c r="F58" s="550"/>
      <c r="G58" s="550"/>
      <c r="H58" s="550"/>
      <c r="I58" s="550"/>
      <c r="L58" s="538"/>
      <c r="M58" s="538"/>
      <c r="N58" s="538"/>
    </row>
    <row r="59" spans="2:15" ht="28.65" customHeight="1">
      <c r="B59" s="1327"/>
      <c r="C59" s="1329" t="s">
        <v>147</v>
      </c>
      <c r="D59" s="537" t="s">
        <v>148</v>
      </c>
      <c r="E59" s="609" t="s">
        <v>149</v>
      </c>
      <c r="F59" s="550"/>
      <c r="G59" s="550"/>
      <c r="H59" s="550"/>
      <c r="I59" s="550"/>
      <c r="L59" s="538"/>
      <c r="M59" s="538"/>
      <c r="N59" s="538"/>
    </row>
    <row r="60" spans="2:15" ht="28.65" customHeight="1">
      <c r="B60" s="1327"/>
      <c r="C60" s="1329"/>
      <c r="D60" s="537" t="s">
        <v>150</v>
      </c>
      <c r="E60" s="609" t="s">
        <v>149</v>
      </c>
      <c r="F60" s="550"/>
      <c r="G60" s="550"/>
      <c r="H60" s="550"/>
      <c r="I60" s="550"/>
      <c r="L60" s="538"/>
      <c r="M60" s="538"/>
      <c r="N60" s="538"/>
    </row>
    <row r="61" spans="2:15" ht="28.65" customHeight="1">
      <c r="B61" s="1327"/>
      <c r="C61" s="1329"/>
      <c r="D61" s="865" t="s">
        <v>151</v>
      </c>
      <c r="E61" s="866" t="s">
        <v>149</v>
      </c>
      <c r="F61" s="864"/>
      <c r="G61" s="864"/>
      <c r="H61" s="864"/>
      <c r="I61" s="864"/>
      <c r="L61" s="538"/>
      <c r="M61" s="538"/>
      <c r="N61" s="538"/>
    </row>
    <row r="62" spans="2:15" ht="13.8">
      <c r="B62" s="1326" t="s">
        <v>37</v>
      </c>
      <c r="C62" s="1330" t="s">
        <v>152</v>
      </c>
      <c r="D62" s="1330"/>
      <c r="E62" s="1330"/>
      <c r="F62" s="1330"/>
      <c r="G62" s="1330"/>
      <c r="H62" s="1330"/>
      <c r="I62" s="1330"/>
    </row>
    <row r="63" spans="2:15" ht="19.649999999999999" customHeight="1">
      <c r="B63" s="1326"/>
      <c r="C63" s="651" t="s">
        <v>126</v>
      </c>
      <c r="D63" s="537" t="s">
        <v>133</v>
      </c>
      <c r="E63" s="609" t="s">
        <v>153</v>
      </c>
      <c r="F63" s="550"/>
      <c r="G63" s="550"/>
      <c r="H63" s="550"/>
      <c r="I63" s="550"/>
    </row>
    <row r="64" spans="2:15" ht="50.4">
      <c r="B64" s="1326"/>
      <c r="C64" s="1314" t="s">
        <v>154</v>
      </c>
      <c r="D64" s="1249" t="s">
        <v>155</v>
      </c>
      <c r="E64" s="1269"/>
      <c r="F64" s="1208" t="s">
        <v>156</v>
      </c>
      <c r="G64" s="744" t="s">
        <v>157</v>
      </c>
      <c r="H64" s="609" t="s">
        <v>158</v>
      </c>
      <c r="I64" s="550"/>
    </row>
    <row r="65" spans="2:9" ht="19.649999999999999" customHeight="1">
      <c r="B65" s="1326"/>
      <c r="C65" s="1314"/>
      <c r="D65" s="537" t="s">
        <v>159</v>
      </c>
      <c r="E65" s="609" t="s">
        <v>160</v>
      </c>
      <c r="F65" s="610"/>
      <c r="G65" s="610"/>
      <c r="H65" s="610"/>
      <c r="I65" s="550"/>
    </row>
    <row r="66" spans="2:9" ht="50.4">
      <c r="B66" s="1326"/>
      <c r="C66" s="1314"/>
      <c r="D66" s="865" t="s">
        <v>161</v>
      </c>
      <c r="E66" s="866" t="s">
        <v>160</v>
      </c>
      <c r="F66" s="866" t="s">
        <v>162</v>
      </c>
      <c r="G66" s="866" t="s">
        <v>157</v>
      </c>
      <c r="H66" s="866" t="s">
        <v>163</v>
      </c>
      <c r="I66" s="864"/>
    </row>
    <row r="67" spans="2:9" ht="13.8">
      <c r="B67" s="1313" t="s">
        <v>33</v>
      </c>
      <c r="C67" s="1330" t="s">
        <v>164</v>
      </c>
      <c r="D67" s="1330"/>
      <c r="E67" s="1330"/>
      <c r="F67" s="1330"/>
      <c r="G67" s="1330"/>
      <c r="H67" s="1330"/>
      <c r="I67" s="1330"/>
    </row>
    <row r="68" spans="2:9" ht="20.399999999999999" customHeight="1">
      <c r="B68" s="1313"/>
      <c r="C68" s="651" t="s">
        <v>126</v>
      </c>
      <c r="D68" s="547" t="s">
        <v>133</v>
      </c>
      <c r="E68" s="609" t="s">
        <v>165</v>
      </c>
      <c r="F68" s="550"/>
      <c r="G68" s="550"/>
      <c r="H68" s="550"/>
      <c r="I68" s="550"/>
    </row>
    <row r="69" spans="2:9" ht="29.4" customHeight="1">
      <c r="B69" s="1313"/>
      <c r="C69" s="1314" t="s">
        <v>166</v>
      </c>
      <c r="D69" s="547" t="s">
        <v>167</v>
      </c>
      <c r="E69" s="609" t="s">
        <v>168</v>
      </c>
      <c r="F69" s="550"/>
      <c r="G69" s="550"/>
      <c r="H69" s="550"/>
      <c r="I69" s="550"/>
    </row>
    <row r="70" spans="2:9" ht="29.4" customHeight="1">
      <c r="B70" s="1313"/>
      <c r="C70" s="1314"/>
      <c r="D70" s="547" t="s">
        <v>169</v>
      </c>
      <c r="E70" s="609" t="s">
        <v>168</v>
      </c>
      <c r="F70" s="550"/>
      <c r="G70" s="550"/>
      <c r="H70" s="550"/>
      <c r="I70" s="550"/>
    </row>
    <row r="71" spans="2:9" ht="29.4" customHeight="1">
      <c r="B71" s="1313"/>
      <c r="C71" s="1314"/>
      <c r="D71" s="547" t="s">
        <v>170</v>
      </c>
      <c r="E71" s="609" t="s">
        <v>168</v>
      </c>
      <c r="F71" s="550"/>
      <c r="G71" s="550"/>
      <c r="H71" s="550"/>
      <c r="I71" s="550"/>
    </row>
    <row r="72" spans="2:9" ht="29.4" customHeight="1">
      <c r="B72" s="1313"/>
      <c r="C72" s="1314"/>
      <c r="D72" s="547" t="s">
        <v>171</v>
      </c>
      <c r="E72" s="609" t="s">
        <v>168</v>
      </c>
      <c r="F72" s="550"/>
      <c r="G72" s="550"/>
      <c r="H72" s="550"/>
      <c r="I72" s="550"/>
    </row>
    <row r="73" spans="2:9" ht="17.399999999999999" customHeight="1">
      <c r="B73" s="1313"/>
      <c r="C73" s="1314"/>
      <c r="D73" s="863" t="s">
        <v>172</v>
      </c>
      <c r="E73" s="866" t="s">
        <v>173</v>
      </c>
      <c r="F73" s="1208"/>
      <c r="G73" s="744"/>
      <c r="H73" s="609"/>
      <c r="I73" s="864"/>
    </row>
    <row r="74" spans="2:9" ht="13.8">
      <c r="B74" s="1313" t="s">
        <v>35</v>
      </c>
      <c r="C74" s="1330" t="s">
        <v>174</v>
      </c>
      <c r="D74" s="1330"/>
      <c r="E74" s="1330"/>
      <c r="F74" s="1330"/>
      <c r="G74" s="1330"/>
      <c r="H74" s="1330"/>
      <c r="I74" s="1330"/>
    </row>
    <row r="75" spans="2:9" ht="27.6" customHeight="1">
      <c r="B75" s="1313"/>
      <c r="C75" s="651" t="s">
        <v>126</v>
      </c>
      <c r="D75" s="547" t="s">
        <v>133</v>
      </c>
      <c r="E75" s="609" t="s">
        <v>175</v>
      </c>
      <c r="F75" s="550"/>
      <c r="G75" s="550"/>
      <c r="H75" s="550"/>
      <c r="I75" s="550"/>
    </row>
    <row r="76" spans="2:9" ht="30" customHeight="1">
      <c r="B76" s="1313"/>
      <c r="C76" s="1314" t="s">
        <v>176</v>
      </c>
      <c r="D76" s="547" t="s">
        <v>177</v>
      </c>
      <c r="E76" s="609" t="s">
        <v>178</v>
      </c>
      <c r="F76" s="550"/>
      <c r="G76" s="550"/>
      <c r="H76" s="550"/>
      <c r="I76" s="550"/>
    </row>
    <row r="77" spans="2:9" ht="30" customHeight="1">
      <c r="B77" s="1313"/>
      <c r="C77" s="1314"/>
      <c r="D77" s="547" t="s">
        <v>179</v>
      </c>
      <c r="E77" s="609" t="s">
        <v>178</v>
      </c>
      <c r="F77" s="550"/>
      <c r="G77" s="550"/>
      <c r="H77" s="550"/>
      <c r="I77" s="550"/>
    </row>
    <row r="78" spans="2:9" ht="30" customHeight="1">
      <c r="B78" s="1313"/>
      <c r="C78" s="1314"/>
      <c r="D78" s="547" t="s">
        <v>180</v>
      </c>
      <c r="E78" s="609" t="s">
        <v>178</v>
      </c>
      <c r="F78" s="550"/>
      <c r="G78" s="550"/>
      <c r="H78" s="550"/>
      <c r="I78" s="550"/>
    </row>
    <row r="79" spans="2:9" ht="30" customHeight="1">
      <c r="B79" s="1313"/>
      <c r="C79" s="1314"/>
      <c r="D79" s="547" t="s">
        <v>181</v>
      </c>
      <c r="E79" s="609" t="s">
        <v>178</v>
      </c>
      <c r="F79" s="550"/>
      <c r="G79" s="550"/>
      <c r="H79" s="550"/>
      <c r="I79" s="550"/>
    </row>
    <row r="80" spans="2:9" ht="30" customHeight="1">
      <c r="B80" s="1313"/>
      <c r="C80" s="1314"/>
      <c r="D80" s="863" t="s">
        <v>182</v>
      </c>
      <c r="E80" s="866" t="s">
        <v>178</v>
      </c>
      <c r="F80" s="864"/>
      <c r="G80" s="864"/>
      <c r="H80" s="864"/>
      <c r="I80" s="864"/>
    </row>
    <row r="81" spans="2:9" ht="13.8">
      <c r="B81" s="1332" t="s">
        <v>34</v>
      </c>
      <c r="C81" s="1330" t="s">
        <v>183</v>
      </c>
      <c r="D81" s="1330"/>
      <c r="E81" s="1330"/>
      <c r="F81" s="1330"/>
      <c r="G81" s="1330"/>
      <c r="H81" s="1330"/>
      <c r="I81" s="1330"/>
    </row>
    <row r="82" spans="2:9" ht="30.6" customHeight="1">
      <c r="B82" s="1332"/>
      <c r="C82" s="651" t="s">
        <v>126</v>
      </c>
      <c r="D82" s="547" t="s">
        <v>133</v>
      </c>
      <c r="E82" s="609" t="s">
        <v>184</v>
      </c>
      <c r="F82" s="550"/>
      <c r="G82" s="550"/>
      <c r="H82" s="550"/>
      <c r="I82" s="550"/>
    </row>
    <row r="83" spans="2:9" ht="30.6" customHeight="1">
      <c r="B83" s="1332"/>
      <c r="C83" s="1314" t="s">
        <v>185</v>
      </c>
      <c r="D83" s="547" t="s">
        <v>186</v>
      </c>
      <c r="E83" s="609" t="s">
        <v>187</v>
      </c>
      <c r="F83" s="550"/>
      <c r="G83" s="550"/>
      <c r="H83" s="550"/>
      <c r="I83" s="550"/>
    </row>
    <row r="84" spans="2:9" ht="30.6" customHeight="1">
      <c r="B84" s="1332"/>
      <c r="C84" s="1314"/>
      <c r="D84" s="547" t="s">
        <v>188</v>
      </c>
      <c r="E84" s="609" t="s">
        <v>187</v>
      </c>
      <c r="F84" s="550"/>
      <c r="G84" s="550"/>
      <c r="H84" s="550"/>
      <c r="I84" s="550"/>
    </row>
    <row r="85" spans="2:9" ht="30.6" customHeight="1">
      <c r="B85" s="1332"/>
      <c r="C85" s="1314"/>
      <c r="D85" s="547" t="s">
        <v>189</v>
      </c>
      <c r="E85" s="609" t="s">
        <v>187</v>
      </c>
      <c r="F85" s="550"/>
      <c r="G85" s="550"/>
      <c r="H85" s="550"/>
      <c r="I85" s="550"/>
    </row>
    <row r="86" spans="2:9" ht="30.6" customHeight="1">
      <c r="B86" s="1332"/>
      <c r="C86" s="1314"/>
      <c r="D86" s="547" t="s">
        <v>190</v>
      </c>
      <c r="E86" s="609" t="s">
        <v>191</v>
      </c>
      <c r="F86" s="550"/>
      <c r="G86" s="550"/>
      <c r="H86" s="550"/>
      <c r="I86" s="550"/>
    </row>
    <row r="87" spans="2:9" ht="30.6" customHeight="1">
      <c r="B87" s="1332"/>
      <c r="C87" s="1314"/>
      <c r="D87" s="547" t="s">
        <v>192</v>
      </c>
      <c r="E87" s="609" t="s">
        <v>187</v>
      </c>
      <c r="F87" s="550"/>
      <c r="G87" s="550"/>
      <c r="H87" s="550"/>
      <c r="I87" s="550"/>
    </row>
    <row r="88" spans="2:9" ht="30.6" customHeight="1">
      <c r="B88" s="1332"/>
      <c r="C88" s="1314"/>
      <c r="D88" s="547" t="s">
        <v>193</v>
      </c>
      <c r="E88" s="609" t="s">
        <v>194</v>
      </c>
      <c r="F88" s="550"/>
      <c r="G88" s="550"/>
      <c r="H88" s="550"/>
      <c r="I88" s="550"/>
    </row>
    <row r="89" spans="2:9" ht="30.6" customHeight="1">
      <c r="B89" s="1332"/>
      <c r="C89" s="1314"/>
      <c r="D89" s="863" t="s">
        <v>195</v>
      </c>
      <c r="E89" s="866" t="s">
        <v>178</v>
      </c>
      <c r="F89" s="864"/>
      <c r="G89" s="864"/>
      <c r="H89" s="864"/>
      <c r="I89" s="864"/>
    </row>
    <row r="90" spans="2:9" ht="13.8">
      <c r="B90" s="1313" t="s">
        <v>36</v>
      </c>
      <c r="C90" s="1330" t="s">
        <v>196</v>
      </c>
      <c r="D90" s="1330"/>
      <c r="E90" s="1330"/>
      <c r="F90" s="1330"/>
      <c r="G90" s="1330"/>
      <c r="H90" s="1330"/>
      <c r="I90" s="1330"/>
    </row>
    <row r="91" spans="2:9" ht="16.2">
      <c r="B91" s="1313"/>
      <c r="C91" s="651" t="s">
        <v>126</v>
      </c>
      <c r="D91" s="547" t="s">
        <v>133</v>
      </c>
      <c r="E91" s="609" t="s">
        <v>197</v>
      </c>
      <c r="F91" s="550"/>
      <c r="G91" s="550"/>
      <c r="H91" s="550"/>
      <c r="I91" s="550"/>
    </row>
    <row r="92" spans="2:9" ht="29.4" customHeight="1">
      <c r="B92" s="1313"/>
      <c r="C92" s="1314" t="s">
        <v>198</v>
      </c>
      <c r="D92" s="547" t="s">
        <v>199</v>
      </c>
      <c r="E92" s="609" t="s">
        <v>178</v>
      </c>
      <c r="F92" s="550"/>
      <c r="G92" s="550"/>
      <c r="H92" s="550"/>
      <c r="I92" s="550"/>
    </row>
    <row r="93" spans="2:9" ht="29.4" customHeight="1">
      <c r="B93" s="1313"/>
      <c r="C93" s="1314"/>
      <c r="D93" s="547" t="s">
        <v>200</v>
      </c>
      <c r="E93" s="609" t="s">
        <v>178</v>
      </c>
      <c r="F93" s="550"/>
      <c r="G93" s="550"/>
      <c r="H93" s="550"/>
      <c r="I93" s="550"/>
    </row>
    <row r="94" spans="2:9" ht="29.4" customHeight="1">
      <c r="B94" s="1313"/>
      <c r="C94" s="1314"/>
      <c r="D94" s="547" t="s">
        <v>201</v>
      </c>
      <c r="E94" s="609" t="s">
        <v>202</v>
      </c>
      <c r="F94" s="550"/>
      <c r="G94" s="550"/>
      <c r="H94" s="550"/>
      <c r="I94" s="550"/>
    </row>
    <row r="95" spans="2:9" ht="29.4" customHeight="1">
      <c r="B95" s="1313"/>
      <c r="C95" s="1314"/>
      <c r="D95" s="547" t="s">
        <v>203</v>
      </c>
      <c r="E95" s="609" t="s">
        <v>202</v>
      </c>
      <c r="F95" s="550"/>
      <c r="G95" s="550"/>
      <c r="H95" s="550"/>
      <c r="I95" s="550"/>
    </row>
    <row r="96" spans="2:9" ht="29.4" customHeight="1">
      <c r="B96" s="1313"/>
      <c r="C96" s="1314"/>
      <c r="D96" s="863" t="s">
        <v>204</v>
      </c>
      <c r="E96" s="866" t="s">
        <v>202</v>
      </c>
      <c r="F96" s="864"/>
      <c r="G96" s="864"/>
      <c r="H96" s="864"/>
      <c r="I96" s="864"/>
    </row>
    <row r="97" spans="2:9" ht="13.8">
      <c r="B97" s="1323" t="s">
        <v>41</v>
      </c>
      <c r="C97" s="1330" t="s">
        <v>205</v>
      </c>
      <c r="D97" s="1330"/>
      <c r="E97" s="1330"/>
      <c r="F97" s="1330"/>
      <c r="G97" s="1330"/>
      <c r="H97" s="1330"/>
      <c r="I97" s="1330"/>
    </row>
    <row r="98" spans="2:9" ht="30.6" customHeight="1">
      <c r="B98" s="1323"/>
      <c r="C98" s="651" t="s">
        <v>126</v>
      </c>
      <c r="D98" s="547" t="s">
        <v>133</v>
      </c>
      <c r="E98" s="609" t="s">
        <v>206</v>
      </c>
      <c r="F98" s="550"/>
      <c r="G98" s="550"/>
      <c r="H98" s="550"/>
      <c r="I98" s="550"/>
    </row>
    <row r="99" spans="2:9" ht="30.6" customHeight="1">
      <c r="B99" s="1323"/>
      <c r="C99" s="1314" t="s">
        <v>207</v>
      </c>
      <c r="D99" s="537" t="s">
        <v>208</v>
      </c>
      <c r="E99" s="609" t="s">
        <v>209</v>
      </c>
      <c r="F99" s="550"/>
      <c r="G99" s="550"/>
      <c r="H99" s="550"/>
      <c r="I99" s="550"/>
    </row>
    <row r="100" spans="2:9" ht="50.4">
      <c r="B100" s="1323"/>
      <c r="C100" s="1314"/>
      <c r="D100" s="865" t="s">
        <v>210</v>
      </c>
      <c r="E100" s="866" t="s">
        <v>209</v>
      </c>
      <c r="F100" s="1210" t="s">
        <v>211</v>
      </c>
      <c r="G100" s="866" t="s">
        <v>157</v>
      </c>
      <c r="H100" s="866" t="s">
        <v>212</v>
      </c>
      <c r="I100" s="864"/>
    </row>
    <row r="101" spans="2:9" ht="13.8">
      <c r="B101" s="1323" t="s">
        <v>26</v>
      </c>
      <c r="C101" s="1330" t="s">
        <v>213</v>
      </c>
      <c r="D101" s="1330"/>
      <c r="E101" s="1330"/>
      <c r="F101" s="1330"/>
      <c r="G101" s="1330"/>
      <c r="H101" s="1330"/>
      <c r="I101" s="1330"/>
    </row>
    <row r="102" spans="2:9" ht="13.8">
      <c r="B102" s="1323"/>
      <c r="C102" s="1314" t="s">
        <v>126</v>
      </c>
      <c r="D102" s="1371" t="s">
        <v>133</v>
      </c>
      <c r="E102" s="1270" t="s">
        <v>214</v>
      </c>
      <c r="F102" s="1351"/>
      <c r="G102" s="1351"/>
      <c r="H102" s="1351"/>
      <c r="I102" s="1351"/>
    </row>
    <row r="103" spans="2:9" ht="25.2">
      <c r="B103" s="1323"/>
      <c r="C103" s="1314"/>
      <c r="D103" s="1371"/>
      <c r="E103" s="1293" t="s">
        <v>215</v>
      </c>
      <c r="F103" s="1351"/>
      <c r="G103" s="1351"/>
      <c r="H103" s="1351"/>
      <c r="I103" s="1351"/>
    </row>
    <row r="104" spans="2:9" ht="17.399999999999999" customHeight="1">
      <c r="B104" s="1323"/>
      <c r="C104" s="1314" t="s">
        <v>216</v>
      </c>
      <c r="D104" s="554" t="s">
        <v>217</v>
      </c>
      <c r="E104" s="1271" t="s">
        <v>218</v>
      </c>
      <c r="F104" s="550"/>
      <c r="G104" s="550"/>
      <c r="H104" s="550"/>
      <c r="I104" s="550"/>
    </row>
    <row r="105" spans="2:9" ht="17.399999999999999" customHeight="1">
      <c r="B105" s="1323"/>
      <c r="C105" s="1314"/>
      <c r="D105" s="547" t="s">
        <v>219</v>
      </c>
      <c r="E105" s="1271" t="s">
        <v>218</v>
      </c>
      <c r="F105" s="550"/>
      <c r="G105" s="550"/>
      <c r="H105" s="550"/>
      <c r="I105" s="550"/>
    </row>
    <row r="106" spans="2:9" ht="17.399999999999999" customHeight="1">
      <c r="B106" s="1323"/>
      <c r="C106" s="1314"/>
      <c r="D106" s="547" t="s">
        <v>220</v>
      </c>
      <c r="E106" s="1271" t="s">
        <v>218</v>
      </c>
      <c r="F106" s="550"/>
      <c r="G106" s="550"/>
      <c r="H106" s="550"/>
      <c r="I106" s="550"/>
    </row>
    <row r="107" spans="2:9" ht="28.65" customHeight="1">
      <c r="B107" s="1323"/>
      <c r="C107" s="1314"/>
      <c r="D107" s="547" t="s">
        <v>221</v>
      </c>
      <c r="E107" s="1271" t="s">
        <v>218</v>
      </c>
      <c r="F107" s="550"/>
      <c r="G107" s="550"/>
      <c r="H107" s="550"/>
      <c r="I107" s="550"/>
    </row>
    <row r="108" spans="2:9" ht="17.399999999999999" customHeight="1">
      <c r="B108" s="1323"/>
      <c r="C108" s="1314"/>
      <c r="D108" s="547" t="s">
        <v>222</v>
      </c>
      <c r="E108" s="1271" t="s">
        <v>218</v>
      </c>
      <c r="F108" s="550"/>
      <c r="G108" s="550"/>
      <c r="H108" s="550"/>
      <c r="I108" s="550"/>
    </row>
    <row r="109" spans="2:9" ht="17.399999999999999" customHeight="1">
      <c r="B109" s="1323"/>
      <c r="C109" s="1314"/>
      <c r="D109" s="547" t="s">
        <v>223</v>
      </c>
      <c r="E109" s="1271" t="s">
        <v>218</v>
      </c>
      <c r="F109" s="550"/>
      <c r="G109" s="550"/>
      <c r="H109" s="550"/>
      <c r="I109" s="550"/>
    </row>
    <row r="110" spans="2:9" ht="27" customHeight="1">
      <c r="B110" s="1323"/>
      <c r="C110" s="1314"/>
      <c r="D110" s="547" t="s">
        <v>224</v>
      </c>
      <c r="E110" s="1271" t="s">
        <v>218</v>
      </c>
      <c r="F110" s="550"/>
      <c r="G110" s="550"/>
      <c r="H110" s="550"/>
      <c r="I110" s="550"/>
    </row>
    <row r="111" spans="2:9" ht="31.65" customHeight="1">
      <c r="B111" s="1323"/>
      <c r="C111" s="1314"/>
      <c r="D111" s="547" t="s">
        <v>225</v>
      </c>
      <c r="E111" s="1271" t="s">
        <v>226</v>
      </c>
      <c r="F111" s="550"/>
      <c r="G111" s="550"/>
      <c r="H111" s="550"/>
      <c r="I111" s="550"/>
    </row>
    <row r="112" spans="2:9" ht="15.6" customHeight="1">
      <c r="B112" s="1323"/>
      <c r="C112" s="1314"/>
      <c r="D112" s="547" t="s">
        <v>227</v>
      </c>
      <c r="E112" s="1272" t="s">
        <v>228</v>
      </c>
      <c r="F112" s="550"/>
      <c r="G112" s="550"/>
      <c r="H112" s="550"/>
      <c r="I112" s="550"/>
    </row>
    <row r="113" spans="2:10" ht="17.399999999999999" customHeight="1">
      <c r="B113" s="1323"/>
      <c r="C113" s="1314"/>
      <c r="D113" s="863" t="s">
        <v>229</v>
      </c>
      <c r="E113" s="1273" t="s">
        <v>228</v>
      </c>
      <c r="F113" s="864"/>
      <c r="G113" s="864"/>
      <c r="H113" s="864"/>
      <c r="I113" s="864"/>
    </row>
    <row r="114" spans="2:10" ht="13.8">
      <c r="B114" s="1323" t="s">
        <v>39</v>
      </c>
      <c r="C114" s="1330" t="s">
        <v>230</v>
      </c>
      <c r="D114" s="1330"/>
      <c r="E114" s="1330"/>
      <c r="F114" s="1330"/>
      <c r="G114" s="1330"/>
      <c r="H114" s="1330"/>
      <c r="I114" s="1330"/>
    </row>
    <row r="115" spans="2:10" ht="16.2">
      <c r="B115" s="1323"/>
      <c r="C115" s="651" t="s">
        <v>126</v>
      </c>
      <c r="D115" s="547" t="s">
        <v>133</v>
      </c>
      <c r="E115" s="609" t="s">
        <v>231</v>
      </c>
      <c r="F115" s="550"/>
      <c r="G115" s="550"/>
      <c r="H115" s="550"/>
      <c r="I115" s="550"/>
    </row>
    <row r="116" spans="2:10" ht="25.2">
      <c r="B116" s="1323"/>
      <c r="C116" s="1314" t="s">
        <v>232</v>
      </c>
      <c r="D116" s="547" t="s">
        <v>233</v>
      </c>
      <c r="E116" s="609" t="s">
        <v>234</v>
      </c>
      <c r="F116" s="550"/>
      <c r="G116" s="550"/>
      <c r="H116" s="550"/>
      <c r="I116" s="550"/>
    </row>
    <row r="117" spans="2:10" ht="25.2">
      <c r="B117" s="1323"/>
      <c r="C117" s="1314"/>
      <c r="D117" s="1328" t="s">
        <v>235</v>
      </c>
      <c r="E117" s="609" t="s">
        <v>236</v>
      </c>
      <c r="F117" s="1380" t="s">
        <v>237</v>
      </c>
      <c r="G117" s="1337" t="s">
        <v>157</v>
      </c>
      <c r="H117" s="1337" t="s">
        <v>238</v>
      </c>
      <c r="I117" s="1338"/>
    </row>
    <row r="118" spans="2:10" ht="28.65" customHeight="1">
      <c r="B118" s="1323"/>
      <c r="C118" s="1314"/>
      <c r="D118" s="1328"/>
      <c r="E118" s="1294" t="s">
        <v>239</v>
      </c>
      <c r="F118" s="1380"/>
      <c r="G118" s="1337"/>
      <c r="H118" s="1337"/>
      <c r="I118" s="1338"/>
    </row>
    <row r="119" spans="2:10" ht="13.8">
      <c r="B119" s="1324" t="s">
        <v>38</v>
      </c>
      <c r="C119" s="868" t="s">
        <v>240</v>
      </c>
      <c r="D119" s="868"/>
      <c r="E119" s="868"/>
      <c r="F119" s="869"/>
      <c r="G119" s="869"/>
      <c r="H119" s="869"/>
      <c r="I119" s="868"/>
    </row>
    <row r="120" spans="2:10" ht="16.2">
      <c r="B120" s="1324"/>
      <c r="C120" s="651" t="s">
        <v>126</v>
      </c>
      <c r="D120" s="547" t="s">
        <v>133</v>
      </c>
      <c r="E120" s="609" t="s">
        <v>241</v>
      </c>
      <c r="F120" s="610"/>
      <c r="G120" s="610"/>
      <c r="H120" s="610"/>
      <c r="I120" s="550"/>
    </row>
    <row r="121" spans="2:10" ht="25.2">
      <c r="B121" s="1324"/>
      <c r="C121" s="862" t="s">
        <v>242</v>
      </c>
      <c r="D121" s="863" t="s">
        <v>243</v>
      </c>
      <c r="E121" s="866" t="s">
        <v>244</v>
      </c>
      <c r="F121" s="870"/>
      <c r="G121" s="870"/>
      <c r="H121" s="870"/>
      <c r="I121" s="864"/>
    </row>
    <row r="122" spans="2:10" ht="13.5" customHeight="1">
      <c r="B122" s="1324" t="s">
        <v>38</v>
      </c>
      <c r="C122" s="1381" t="s">
        <v>245</v>
      </c>
      <c r="D122" s="1381"/>
      <c r="E122" s="868"/>
      <c r="F122" s="869"/>
      <c r="G122" s="869"/>
      <c r="H122" s="869"/>
      <c r="I122" s="868"/>
    </row>
    <row r="123" spans="2:10" ht="16.2">
      <c r="B123" s="1324"/>
      <c r="C123" s="651" t="s">
        <v>126</v>
      </c>
      <c r="D123" s="547" t="s">
        <v>133</v>
      </c>
      <c r="E123" s="609" t="s">
        <v>246</v>
      </c>
      <c r="F123" s="610"/>
      <c r="G123" s="610"/>
      <c r="H123" s="610"/>
      <c r="I123" s="550"/>
    </row>
    <row r="124" spans="2:10" ht="50.4">
      <c r="B124" s="1324"/>
      <c r="C124" s="862" t="s">
        <v>247</v>
      </c>
      <c r="D124" s="865" t="s">
        <v>248</v>
      </c>
      <c r="E124" s="866" t="s">
        <v>236</v>
      </c>
      <c r="F124" s="866" t="s">
        <v>162</v>
      </c>
      <c r="G124" s="866" t="s">
        <v>157</v>
      </c>
      <c r="H124" s="866" t="s">
        <v>249</v>
      </c>
      <c r="I124" s="864"/>
      <c r="J124" s="633"/>
    </row>
    <row r="125" spans="2:10" ht="13.8">
      <c r="B125" s="1324" t="s">
        <v>38</v>
      </c>
      <c r="C125" s="868" t="s">
        <v>250</v>
      </c>
      <c r="D125" s="868"/>
      <c r="E125" s="868"/>
      <c r="F125" s="869"/>
      <c r="G125" s="869"/>
      <c r="H125" s="869"/>
      <c r="I125" s="868"/>
    </row>
    <row r="126" spans="2:10" ht="16.2">
      <c r="B126" s="1324"/>
      <c r="C126" s="651" t="s">
        <v>126</v>
      </c>
      <c r="D126" s="547" t="s">
        <v>133</v>
      </c>
      <c r="E126" s="609" t="s">
        <v>251</v>
      </c>
      <c r="F126" s="550"/>
      <c r="G126" s="550"/>
      <c r="H126" s="550"/>
      <c r="I126" s="550"/>
    </row>
    <row r="127" spans="2:10" ht="25.2">
      <c r="B127" s="1324"/>
      <c r="C127" s="862" t="s">
        <v>252</v>
      </c>
      <c r="D127" s="863" t="s">
        <v>253</v>
      </c>
      <c r="E127" s="866" t="s">
        <v>209</v>
      </c>
      <c r="F127" s="864"/>
      <c r="G127" s="864"/>
      <c r="H127" s="864"/>
      <c r="I127" s="864"/>
    </row>
    <row r="128" spans="2:10" ht="13.8">
      <c r="B128" s="1324" t="s">
        <v>38</v>
      </c>
      <c r="C128" s="1330" t="s">
        <v>254</v>
      </c>
      <c r="D128" s="1330"/>
      <c r="E128" s="1330"/>
      <c r="F128" s="1330"/>
      <c r="G128" s="1330"/>
      <c r="H128" s="1330"/>
      <c r="I128" s="1330"/>
    </row>
    <row r="129" spans="2:10" ht="16.2">
      <c r="B129" s="1324"/>
      <c r="C129" s="651" t="s">
        <v>126</v>
      </c>
      <c r="D129" s="547" t="s">
        <v>133</v>
      </c>
      <c r="E129" s="609" t="s">
        <v>251</v>
      </c>
      <c r="F129" s="550"/>
      <c r="G129" s="550"/>
      <c r="H129" s="550"/>
      <c r="I129" s="550"/>
    </row>
    <row r="130" spans="2:10" ht="32.4">
      <c r="B130" s="1324"/>
      <c r="C130" s="862" t="s">
        <v>255</v>
      </c>
      <c r="D130" s="863" t="s">
        <v>256</v>
      </c>
      <c r="E130" s="866" t="s">
        <v>209</v>
      </c>
      <c r="F130" s="864"/>
      <c r="G130" s="864"/>
      <c r="H130" s="864"/>
      <c r="I130" s="864"/>
    </row>
    <row r="131" spans="2:10" s="539" customFormat="1" ht="14.25" customHeight="1">
      <c r="B131" s="1323" t="s">
        <v>40</v>
      </c>
      <c r="C131" s="1330" t="s">
        <v>257</v>
      </c>
      <c r="D131" s="1330"/>
      <c r="E131" s="1330"/>
      <c r="F131" s="1330"/>
      <c r="G131" s="1330"/>
      <c r="H131" s="1330"/>
      <c r="I131" s="1330"/>
      <c r="J131" s="64"/>
    </row>
    <row r="132" spans="2:10" s="539" customFormat="1" ht="16.2">
      <c r="B132" s="1323"/>
      <c r="C132" s="651" t="s">
        <v>126</v>
      </c>
      <c r="D132" s="547" t="s">
        <v>133</v>
      </c>
      <c r="E132" s="610" t="s">
        <v>258</v>
      </c>
      <c r="F132" s="550"/>
      <c r="G132" s="550"/>
      <c r="H132" s="550"/>
      <c r="I132" s="550"/>
      <c r="J132" s="64"/>
    </row>
    <row r="133" spans="2:10" s="539" customFormat="1" ht="29.4" customHeight="1">
      <c r="B133" s="1323"/>
      <c r="C133" s="1314" t="s">
        <v>259</v>
      </c>
      <c r="D133" s="547" t="s">
        <v>260</v>
      </c>
      <c r="E133" s="610" t="s">
        <v>261</v>
      </c>
      <c r="F133" s="550"/>
      <c r="G133" s="550"/>
      <c r="H133" s="550"/>
      <c r="I133" s="550"/>
      <c r="J133" s="64"/>
    </row>
    <row r="134" spans="2:10" ht="29.4" customHeight="1">
      <c r="B134" s="1323"/>
      <c r="C134" s="1314"/>
      <c r="D134" s="863" t="s">
        <v>262</v>
      </c>
      <c r="E134" s="870" t="s">
        <v>261</v>
      </c>
      <c r="F134" s="864"/>
      <c r="G134" s="864"/>
      <c r="H134" s="864"/>
      <c r="I134" s="864"/>
    </row>
    <row r="135" spans="2:10" ht="13.8">
      <c r="B135" s="1323" t="s">
        <v>41</v>
      </c>
      <c r="C135" s="1330" t="s">
        <v>263</v>
      </c>
      <c r="D135" s="1330"/>
      <c r="E135" s="1330"/>
      <c r="F135" s="1330"/>
      <c r="G135" s="1330"/>
      <c r="H135" s="1330"/>
      <c r="I135" s="1330"/>
    </row>
    <row r="136" spans="2:10" ht="33.6" customHeight="1">
      <c r="B136" s="1323"/>
      <c r="C136" s="651" t="s">
        <v>126</v>
      </c>
      <c r="D136" s="1249" t="s">
        <v>133</v>
      </c>
      <c r="E136" s="609" t="s">
        <v>206</v>
      </c>
      <c r="F136" s="550"/>
      <c r="G136" s="550"/>
      <c r="H136" s="550"/>
      <c r="I136" s="550"/>
    </row>
    <row r="137" spans="2:10" ht="33.9" customHeight="1">
      <c r="B137" s="1323"/>
      <c r="C137" s="1314" t="s">
        <v>264</v>
      </c>
      <c r="D137" s="552" t="s">
        <v>265</v>
      </c>
      <c r="E137" s="609" t="s">
        <v>209</v>
      </c>
      <c r="F137" s="550"/>
      <c r="G137" s="550"/>
      <c r="H137" s="550"/>
      <c r="I137" s="550"/>
    </row>
    <row r="138" spans="2:10" ht="50.4">
      <c r="B138" s="1323"/>
      <c r="C138" s="1314"/>
      <c r="D138" s="871" t="s">
        <v>266</v>
      </c>
      <c r="E138" s="866" t="s">
        <v>209</v>
      </c>
      <c r="F138" s="866" t="s">
        <v>267</v>
      </c>
      <c r="G138" s="866" t="s">
        <v>157</v>
      </c>
      <c r="H138" s="866" t="s">
        <v>212</v>
      </c>
      <c r="I138" s="864"/>
    </row>
    <row r="139" spans="2:10" ht="16.649999999999999" customHeight="1">
      <c r="B139" s="642"/>
      <c r="D139" s="460"/>
      <c r="E139" s="460"/>
      <c r="F139" s="460"/>
      <c r="G139" s="460"/>
      <c r="H139" s="460"/>
      <c r="I139" s="460"/>
    </row>
    <row r="140" spans="2:10" s="539" customFormat="1" ht="11.4" customHeight="1">
      <c r="B140" s="639"/>
      <c r="C140" s="1365" t="s">
        <v>268</v>
      </c>
      <c r="D140" s="1365"/>
      <c r="E140" s="1365"/>
      <c r="F140" s="1365"/>
      <c r="G140" s="1365"/>
      <c r="H140" s="1365"/>
      <c r="I140" s="1365"/>
      <c r="J140" s="64"/>
    </row>
    <row r="141" spans="2:10" s="539" customFormat="1">
      <c r="B141" s="640"/>
      <c r="C141" s="1365"/>
      <c r="D141" s="1365"/>
      <c r="E141" s="1365"/>
      <c r="F141" s="1365"/>
      <c r="G141" s="1365"/>
      <c r="H141" s="1365"/>
      <c r="I141" s="1365"/>
      <c r="J141" s="64"/>
    </row>
    <row r="142" spans="2:10" hidden="1">
      <c r="B142" s="643"/>
      <c r="C142" s="1342" t="s">
        <v>269</v>
      </c>
      <c r="D142" s="1342"/>
      <c r="E142" s="1342"/>
      <c r="F142" s="1342"/>
      <c r="G142" s="1342"/>
      <c r="H142" s="1342"/>
      <c r="I142" s="1342"/>
    </row>
    <row r="143" spans="2:10" hidden="1">
      <c r="B143" s="643"/>
      <c r="C143" s="1382" t="s">
        <v>270</v>
      </c>
      <c r="D143" s="1382"/>
      <c r="E143" s="1382"/>
      <c r="F143" s="1382"/>
      <c r="G143" s="1336" t="s">
        <v>271</v>
      </c>
      <c r="H143" s="1336"/>
      <c r="I143" s="1336"/>
    </row>
    <row r="144" spans="2:10" hidden="1">
      <c r="B144" s="643"/>
      <c r="C144" s="1382" t="s">
        <v>270</v>
      </c>
      <c r="D144" s="1382"/>
      <c r="E144" s="1382"/>
      <c r="F144" s="1382"/>
      <c r="G144" s="1336" t="s">
        <v>271</v>
      </c>
      <c r="H144" s="1336"/>
      <c r="I144" s="1336"/>
    </row>
    <row r="145" spans="2:10" s="540" customFormat="1" hidden="1">
      <c r="B145" s="644"/>
      <c r="C145" s="1343" t="s">
        <v>272</v>
      </c>
      <c r="D145" s="1343"/>
      <c r="E145" s="1343"/>
      <c r="F145" s="1343"/>
      <c r="G145" s="1343"/>
      <c r="H145" s="1343"/>
      <c r="I145" s="1343"/>
    </row>
    <row r="146" spans="2:10" s="540" customFormat="1" hidden="1">
      <c r="B146" s="644"/>
      <c r="C146" s="1211" t="s">
        <v>126</v>
      </c>
      <c r="D146" s="546" t="s">
        <v>133</v>
      </c>
      <c r="E146" s="549"/>
      <c r="F146" s="549"/>
      <c r="G146" s="549"/>
      <c r="H146" s="549"/>
      <c r="I146" s="549"/>
    </row>
    <row r="147" spans="2:10" s="540" customFormat="1" ht="32.4" hidden="1">
      <c r="B147" s="644"/>
      <c r="C147" s="1212" t="s">
        <v>273</v>
      </c>
      <c r="D147" s="546" t="s">
        <v>274</v>
      </c>
      <c r="E147" s="549"/>
      <c r="F147" s="549"/>
      <c r="G147" s="549"/>
      <c r="H147" s="549"/>
      <c r="I147" s="549"/>
    </row>
    <row r="148" spans="2:10" s="540" customFormat="1" hidden="1">
      <c r="B148" s="644"/>
      <c r="C148" s="1343" t="s">
        <v>275</v>
      </c>
      <c r="D148" s="1343"/>
      <c r="E148" s="1343"/>
      <c r="F148" s="1343"/>
      <c r="G148" s="1343"/>
      <c r="H148" s="1343"/>
      <c r="I148" s="1343"/>
      <c r="J148" s="541"/>
    </row>
    <row r="149" spans="2:10" s="540" customFormat="1" hidden="1">
      <c r="B149" s="644"/>
      <c r="C149" s="1211" t="s">
        <v>126</v>
      </c>
      <c r="D149" s="546" t="s">
        <v>133</v>
      </c>
      <c r="E149" s="548" t="s">
        <v>276</v>
      </c>
      <c r="F149" s="549"/>
      <c r="G149" s="549"/>
      <c r="H149" s="549"/>
      <c r="I149" s="549"/>
    </row>
    <row r="150" spans="2:10" s="540" customFormat="1" ht="32.4" hidden="1">
      <c r="B150" s="644"/>
      <c r="C150" s="1213" t="s">
        <v>277</v>
      </c>
      <c r="D150" s="872" t="s">
        <v>278</v>
      </c>
      <c r="E150" s="873" t="s">
        <v>279</v>
      </c>
      <c r="F150" s="873"/>
      <c r="G150" s="873"/>
      <c r="H150" s="873"/>
      <c r="I150" s="873"/>
    </row>
    <row r="151" spans="2:10">
      <c r="B151" s="637"/>
      <c r="C151" s="1330" t="s">
        <v>280</v>
      </c>
      <c r="D151" s="1330"/>
      <c r="E151" s="1330"/>
      <c r="F151" s="1330"/>
      <c r="G151" s="1330"/>
      <c r="H151" s="1330"/>
      <c r="I151" s="1330"/>
    </row>
    <row r="152" spans="2:10" s="1207" customFormat="1" hidden="1">
      <c r="B152" s="637"/>
      <c r="C152" s="1214" t="s">
        <v>126</v>
      </c>
      <c r="D152" s="547" t="s">
        <v>133</v>
      </c>
      <c r="E152" s="1215" t="s">
        <v>281</v>
      </c>
      <c r="F152" s="550"/>
      <c r="G152" s="550"/>
      <c r="H152" s="550"/>
      <c r="I152" s="550"/>
      <c r="J152" s="64"/>
    </row>
    <row r="153" spans="2:10" ht="21.6" customHeight="1">
      <c r="B153" s="637"/>
      <c r="C153" s="1339" t="s">
        <v>282</v>
      </c>
      <c r="D153" s="547" t="s">
        <v>283</v>
      </c>
      <c r="E153" s="1387" t="s">
        <v>284</v>
      </c>
      <c r="F153" s="1388"/>
      <c r="G153" s="1388"/>
      <c r="H153" s="1388"/>
      <c r="I153" s="1389"/>
    </row>
    <row r="154" spans="2:10" ht="21.6" hidden="1" customHeight="1">
      <c r="B154" s="637"/>
      <c r="C154" s="1339"/>
      <c r="D154" s="547" t="s">
        <v>285</v>
      </c>
      <c r="E154" s="550"/>
      <c r="F154" s="550"/>
      <c r="G154" s="550"/>
      <c r="H154" s="550"/>
      <c r="I154" s="550"/>
    </row>
    <row r="155" spans="2:10" ht="21.6" hidden="1" customHeight="1">
      <c r="B155" s="637"/>
      <c r="C155" s="1339"/>
      <c r="D155" s="537" t="s">
        <v>286</v>
      </c>
      <c r="E155" s="1216"/>
      <c r="F155" s="1216"/>
      <c r="G155" s="1216"/>
      <c r="H155" s="1216"/>
      <c r="I155" s="1216"/>
    </row>
    <row r="156" spans="2:10" ht="21.6" hidden="1" customHeight="1">
      <c r="B156" s="637"/>
      <c r="C156" s="1340"/>
      <c r="D156" s="1217" t="s">
        <v>287</v>
      </c>
      <c r="E156" s="1218"/>
      <c r="F156" s="1218"/>
      <c r="G156" s="1218"/>
      <c r="H156" s="1218"/>
      <c r="I156" s="1218"/>
    </row>
    <row r="157" spans="2:10" ht="21.6" hidden="1" customHeight="1">
      <c r="B157" s="637"/>
      <c r="C157" s="1340"/>
      <c r="D157" s="1217" t="s">
        <v>288</v>
      </c>
      <c r="E157" s="1218"/>
      <c r="F157" s="1218"/>
      <c r="G157" s="1218"/>
      <c r="H157" s="1218"/>
      <c r="I157" s="1218"/>
    </row>
    <row r="158" spans="2:10" ht="21.6" hidden="1" customHeight="1">
      <c r="B158" s="637"/>
      <c r="C158" s="1340"/>
      <c r="D158" s="1217" t="s">
        <v>289</v>
      </c>
      <c r="E158" s="1218"/>
      <c r="F158" s="1218"/>
      <c r="G158" s="1218"/>
      <c r="H158" s="1218"/>
      <c r="I158" s="1218"/>
    </row>
    <row r="159" spans="2:10" ht="21.6" hidden="1" customHeight="1">
      <c r="B159" s="637"/>
      <c r="C159" s="1340"/>
      <c r="D159" s="1217" t="s">
        <v>290</v>
      </c>
      <c r="E159" s="1218"/>
      <c r="F159" s="1218"/>
      <c r="G159" s="1218"/>
      <c r="H159" s="1218"/>
      <c r="I159" s="1218"/>
    </row>
    <row r="160" spans="2:10" ht="21.6" hidden="1" customHeight="1">
      <c r="B160" s="637"/>
      <c r="C160" s="1341"/>
      <c r="D160" s="863" t="s">
        <v>291</v>
      </c>
      <c r="E160" s="864"/>
      <c r="F160" s="864"/>
      <c r="G160" s="864"/>
      <c r="H160" s="864"/>
      <c r="I160" s="864"/>
    </row>
    <row r="161" spans="2:9" s="540" customFormat="1" hidden="1">
      <c r="B161" s="637"/>
      <c r="C161" s="1366" t="s">
        <v>292</v>
      </c>
      <c r="D161" s="1367"/>
      <c r="E161" s="1367"/>
      <c r="F161" s="1367"/>
      <c r="G161" s="1367"/>
      <c r="H161" s="1367"/>
      <c r="I161" s="1367"/>
    </row>
    <row r="162" spans="2:9" s="540" customFormat="1" hidden="1">
      <c r="B162" s="637"/>
      <c r="C162" s="1211" t="s">
        <v>126</v>
      </c>
      <c r="D162" s="546" t="s">
        <v>133</v>
      </c>
      <c r="E162" s="1318"/>
      <c r="F162" s="1319"/>
      <c r="G162" s="1319"/>
      <c r="H162" s="1319"/>
      <c r="I162" s="1320"/>
    </row>
    <row r="163" spans="2:9" s="540" customFormat="1" ht="25.2" hidden="1">
      <c r="B163" s="637"/>
      <c r="C163" s="1386" t="s">
        <v>293</v>
      </c>
      <c r="D163" s="546" t="s">
        <v>294</v>
      </c>
      <c r="E163" s="549"/>
      <c r="F163" s="549"/>
      <c r="G163" s="549"/>
      <c r="H163" s="549"/>
      <c r="I163" s="549"/>
    </row>
    <row r="164" spans="2:9" s="540" customFormat="1" hidden="1">
      <c r="B164" s="637"/>
      <c r="C164" s="1386"/>
      <c r="D164" s="546" t="s">
        <v>295</v>
      </c>
      <c r="E164" s="549"/>
      <c r="F164" s="549"/>
      <c r="G164" s="549"/>
      <c r="H164" s="549"/>
      <c r="I164" s="549"/>
    </row>
    <row r="165" spans="2:9">
      <c r="B165" s="637"/>
      <c r="C165" s="1347" t="s">
        <v>296</v>
      </c>
      <c r="D165" s="1348"/>
      <c r="E165" s="1348"/>
      <c r="F165" s="1348"/>
      <c r="G165" s="1348"/>
      <c r="H165" s="1348"/>
      <c r="I165" s="1348"/>
    </row>
    <row r="166" spans="2:9">
      <c r="B166" s="637"/>
      <c r="C166" s="1214" t="s">
        <v>126</v>
      </c>
      <c r="D166" s="547" t="s">
        <v>133</v>
      </c>
      <c r="E166" s="1352" t="s">
        <v>281</v>
      </c>
      <c r="F166" s="1353"/>
      <c r="G166" s="1353"/>
      <c r="H166" s="1353"/>
      <c r="I166" s="1354"/>
    </row>
    <row r="167" spans="2:9" ht="45" hidden="1" customHeight="1">
      <c r="B167" s="637"/>
      <c r="C167" s="1349" t="s">
        <v>297</v>
      </c>
      <c r="D167" s="547" t="s">
        <v>298</v>
      </c>
      <c r="E167" s="1219" t="s">
        <v>299</v>
      </c>
      <c r="F167" s="550"/>
      <c r="G167" s="550"/>
      <c r="H167" s="550"/>
      <c r="I167" s="550"/>
    </row>
    <row r="168" spans="2:9" ht="30.6" customHeight="1">
      <c r="B168" s="637"/>
      <c r="C168" s="1349"/>
      <c r="D168" s="547" t="s">
        <v>300</v>
      </c>
      <c r="E168" s="1355" t="s">
        <v>301</v>
      </c>
      <c r="F168" s="1356"/>
      <c r="G168" s="1356"/>
      <c r="H168" s="1356"/>
      <c r="I168" s="1357"/>
    </row>
    <row r="169" spans="2:9">
      <c r="B169" s="637"/>
      <c r="C169" s="1347" t="s">
        <v>302</v>
      </c>
      <c r="D169" s="1348"/>
      <c r="E169" s="1348"/>
      <c r="F169" s="1348"/>
      <c r="G169" s="1348"/>
      <c r="H169" s="1348"/>
      <c r="I169" s="1348"/>
    </row>
    <row r="170" spans="2:9">
      <c r="B170" s="637"/>
      <c r="C170" s="1214" t="s">
        <v>126</v>
      </c>
      <c r="D170" s="547" t="s">
        <v>133</v>
      </c>
      <c r="E170" s="1352" t="s">
        <v>281</v>
      </c>
      <c r="F170" s="1353"/>
      <c r="G170" s="1353"/>
      <c r="H170" s="1353"/>
      <c r="I170" s="1354"/>
    </row>
    <row r="171" spans="2:9" ht="32.4">
      <c r="B171" s="637"/>
      <c r="C171" s="1214" t="s">
        <v>303</v>
      </c>
      <c r="D171" s="547" t="s">
        <v>304</v>
      </c>
      <c r="E171" s="1352" t="s">
        <v>305</v>
      </c>
      <c r="F171" s="1353"/>
      <c r="G171" s="1353"/>
      <c r="H171" s="1353"/>
      <c r="I171" s="1354"/>
    </row>
    <row r="172" spans="2:9">
      <c r="B172" s="637"/>
      <c r="C172" s="1330" t="s">
        <v>306</v>
      </c>
      <c r="D172" s="1330"/>
      <c r="E172" s="1330"/>
      <c r="F172" s="1330"/>
      <c r="G172" s="1330"/>
      <c r="H172" s="1330"/>
      <c r="I172" s="1330"/>
    </row>
    <row r="173" spans="2:9">
      <c r="B173" s="637"/>
      <c r="C173" s="651" t="s">
        <v>126</v>
      </c>
      <c r="D173" s="547" t="s">
        <v>133</v>
      </c>
      <c r="E173" s="1352" t="s">
        <v>307</v>
      </c>
      <c r="F173" s="1353"/>
      <c r="G173" s="1353"/>
      <c r="H173" s="1353"/>
      <c r="I173" s="1354"/>
    </row>
    <row r="174" spans="2:9">
      <c r="B174" s="637"/>
      <c r="C174" s="1314" t="s">
        <v>308</v>
      </c>
      <c r="D174" s="547" t="s">
        <v>309</v>
      </c>
      <c r="E174" s="1383" t="s">
        <v>310</v>
      </c>
      <c r="F174" s="1384"/>
      <c r="G174" s="1384"/>
      <c r="H174" s="1384"/>
      <c r="I174" s="1385"/>
    </row>
    <row r="175" spans="2:9">
      <c r="B175" s="637"/>
      <c r="C175" s="1314"/>
      <c r="D175" s="547" t="s">
        <v>311</v>
      </c>
      <c r="E175" s="1344" t="s">
        <v>312</v>
      </c>
      <c r="F175" s="1345"/>
      <c r="G175" s="1345"/>
      <c r="H175" s="1345"/>
      <c r="I175" s="1346"/>
    </row>
    <row r="176" spans="2:9" hidden="1">
      <c r="B176" s="637"/>
      <c r="C176" s="1314"/>
      <c r="D176" s="547" t="s">
        <v>313</v>
      </c>
      <c r="E176" s="553"/>
      <c r="F176" s="550"/>
      <c r="G176" s="550"/>
      <c r="H176" s="550"/>
      <c r="I176" s="550"/>
    </row>
    <row r="177" spans="2:9" hidden="1">
      <c r="B177" s="637"/>
      <c r="C177" s="1350"/>
      <c r="D177" s="863" t="s">
        <v>314</v>
      </c>
      <c r="E177" s="874"/>
      <c r="F177" s="864"/>
      <c r="G177" s="864"/>
      <c r="H177" s="864"/>
      <c r="I177" s="864"/>
    </row>
    <row r="178" spans="2:9">
      <c r="B178" s="637"/>
      <c r="C178" s="1330" t="s">
        <v>315</v>
      </c>
      <c r="D178" s="1330"/>
      <c r="E178" s="1330"/>
      <c r="F178" s="1330"/>
      <c r="G178" s="1330"/>
      <c r="H178" s="1330"/>
      <c r="I178" s="1330"/>
    </row>
    <row r="179" spans="2:9">
      <c r="B179" s="637"/>
      <c r="C179" s="651" t="s">
        <v>126</v>
      </c>
      <c r="D179" s="547" t="s">
        <v>133</v>
      </c>
      <c r="E179" s="1352" t="s">
        <v>281</v>
      </c>
      <c r="F179" s="1353"/>
      <c r="G179" s="1353"/>
      <c r="H179" s="1353"/>
      <c r="I179" s="1354"/>
    </row>
    <row r="180" spans="2:9" ht="32.4">
      <c r="B180" s="637"/>
      <c r="C180" s="862" t="s">
        <v>316</v>
      </c>
      <c r="D180" s="863" t="s">
        <v>317</v>
      </c>
      <c r="E180" s="1333" t="s">
        <v>244</v>
      </c>
      <c r="F180" s="1334"/>
      <c r="G180" s="1334"/>
      <c r="H180" s="1334"/>
      <c r="I180" s="1335"/>
    </row>
    <row r="181" spans="2:9">
      <c r="B181" s="637"/>
      <c r="C181" s="1330" t="s">
        <v>318</v>
      </c>
      <c r="D181" s="1330"/>
      <c r="E181" s="1330"/>
      <c r="F181" s="1330"/>
      <c r="G181" s="1330"/>
      <c r="H181" s="1330"/>
      <c r="I181" s="1330"/>
    </row>
    <row r="182" spans="2:9">
      <c r="B182" s="637"/>
      <c r="C182" s="651" t="s">
        <v>126</v>
      </c>
      <c r="D182" s="547" t="s">
        <v>133</v>
      </c>
      <c r="E182" s="1352" t="s">
        <v>319</v>
      </c>
      <c r="F182" s="1353"/>
      <c r="G182" s="1353"/>
      <c r="H182" s="1353"/>
      <c r="I182" s="1354"/>
    </row>
    <row r="183" spans="2:9" ht="20.399999999999999" customHeight="1">
      <c r="B183" s="637"/>
      <c r="C183" s="1314" t="s">
        <v>320</v>
      </c>
      <c r="D183" s="547" t="s">
        <v>321</v>
      </c>
      <c r="E183" s="1352" t="s">
        <v>322</v>
      </c>
      <c r="F183" s="1353"/>
      <c r="G183" s="1353"/>
      <c r="H183" s="1353"/>
      <c r="I183" s="1354"/>
    </row>
    <row r="184" spans="2:9" ht="29.4" customHeight="1">
      <c r="B184" s="637"/>
      <c r="C184" s="1314"/>
      <c r="D184" s="547" t="s">
        <v>323</v>
      </c>
      <c r="E184" s="1352" t="s">
        <v>324</v>
      </c>
      <c r="F184" s="1353"/>
      <c r="G184" s="1353"/>
      <c r="H184" s="1353"/>
      <c r="I184" s="1354"/>
    </row>
    <row r="185" spans="2:9" ht="20.399999999999999" customHeight="1">
      <c r="B185" s="637"/>
      <c r="C185" s="1350"/>
      <c r="D185" s="865" t="s">
        <v>325</v>
      </c>
      <c r="E185" s="1333" t="s">
        <v>326</v>
      </c>
      <c r="F185" s="1334"/>
      <c r="G185" s="1334"/>
      <c r="H185" s="1334"/>
      <c r="I185" s="1335"/>
    </row>
    <row r="186" spans="2:9">
      <c r="B186" s="637"/>
      <c r="C186" s="1330" t="s">
        <v>327</v>
      </c>
      <c r="D186" s="1330"/>
      <c r="E186" s="1330"/>
      <c r="F186" s="1330"/>
      <c r="G186" s="1330"/>
      <c r="H186" s="1330"/>
      <c r="I186" s="1330"/>
    </row>
    <row r="187" spans="2:9">
      <c r="B187" s="637"/>
      <c r="C187" s="651" t="s">
        <v>126</v>
      </c>
      <c r="D187" s="547" t="s">
        <v>133</v>
      </c>
      <c r="E187" s="1352" t="s">
        <v>328</v>
      </c>
      <c r="F187" s="1353"/>
      <c r="G187" s="1353"/>
      <c r="H187" s="1353"/>
      <c r="I187" s="1354"/>
    </row>
    <row r="188" spans="2:9">
      <c r="B188" s="637"/>
      <c r="C188" s="1314" t="s">
        <v>329</v>
      </c>
      <c r="D188" s="537" t="s">
        <v>330</v>
      </c>
      <c r="E188" s="1315" t="s">
        <v>322</v>
      </c>
      <c r="F188" s="1316"/>
      <c r="G188" s="1316"/>
      <c r="H188" s="1316"/>
      <c r="I188" s="1317"/>
    </row>
    <row r="189" spans="2:9">
      <c r="B189" s="637"/>
      <c r="C189" s="1314"/>
      <c r="D189" s="547" t="s">
        <v>331</v>
      </c>
      <c r="E189" s="1352" t="s">
        <v>332</v>
      </c>
      <c r="F189" s="1353"/>
      <c r="G189" s="1353"/>
      <c r="H189" s="1353"/>
      <c r="I189" s="1354"/>
    </row>
    <row r="190" spans="2:9" ht="25.2">
      <c r="B190" s="637"/>
      <c r="C190" s="1350"/>
      <c r="D190" s="865" t="s">
        <v>333</v>
      </c>
      <c r="E190" s="1333" t="s">
        <v>322</v>
      </c>
      <c r="F190" s="1334"/>
      <c r="G190" s="1334"/>
      <c r="H190" s="1334"/>
      <c r="I190" s="1335"/>
    </row>
    <row r="191" spans="2:9" hidden="1">
      <c r="B191" s="637"/>
      <c r="C191" s="1366" t="s">
        <v>334</v>
      </c>
      <c r="D191" s="1367"/>
      <c r="E191" s="1367"/>
      <c r="F191" s="1367"/>
      <c r="G191" s="1367"/>
      <c r="H191" s="1367"/>
      <c r="I191" s="1367"/>
    </row>
    <row r="192" spans="2:9" hidden="1">
      <c r="B192" s="637"/>
      <c r="C192" s="1211" t="s">
        <v>126</v>
      </c>
      <c r="D192" s="546" t="s">
        <v>133</v>
      </c>
      <c r="E192" s="1318"/>
      <c r="F192" s="1319"/>
      <c r="G192" s="1319"/>
      <c r="H192" s="1319"/>
      <c r="I192" s="1320"/>
    </row>
    <row r="193" spans="2:9" hidden="1">
      <c r="B193" s="637"/>
      <c r="C193" s="1213" t="s">
        <v>335</v>
      </c>
      <c r="D193" s="872" t="s">
        <v>336</v>
      </c>
      <c r="E193" s="1358"/>
      <c r="F193" s="1359"/>
      <c r="G193" s="1359"/>
      <c r="H193" s="1359"/>
      <c r="I193" s="1360"/>
    </row>
    <row r="194" spans="2:9">
      <c r="B194" s="637"/>
      <c r="C194" s="1330" t="s">
        <v>337</v>
      </c>
      <c r="D194" s="1330"/>
      <c r="E194" s="1330"/>
      <c r="F194" s="1330"/>
      <c r="G194" s="1330"/>
      <c r="H194" s="1330"/>
      <c r="I194" s="1330"/>
    </row>
    <row r="195" spans="2:9">
      <c r="B195" s="637"/>
      <c r="C195" s="1205" t="s">
        <v>126</v>
      </c>
      <c r="D195" s="547" t="s">
        <v>133</v>
      </c>
      <c r="E195" s="1315" t="s">
        <v>281</v>
      </c>
      <c r="F195" s="1316"/>
      <c r="G195" s="1316"/>
      <c r="H195" s="1316"/>
      <c r="I195" s="1317"/>
    </row>
    <row r="196" spans="2:9">
      <c r="B196" s="637"/>
      <c r="C196" s="862" t="s">
        <v>338</v>
      </c>
      <c r="D196" s="863" t="s">
        <v>339</v>
      </c>
      <c r="E196" s="1355" t="s">
        <v>340</v>
      </c>
      <c r="F196" s="1356"/>
      <c r="G196" s="1356"/>
      <c r="H196" s="1356"/>
      <c r="I196" s="1357"/>
    </row>
    <row r="197" spans="2:9" ht="15" customHeight="1">
      <c r="B197" s="637"/>
      <c r="C197" s="1330" t="s">
        <v>341</v>
      </c>
      <c r="D197" s="1330"/>
      <c r="E197" s="1330"/>
      <c r="F197" s="1330"/>
      <c r="G197" s="1330"/>
      <c r="H197" s="1330"/>
      <c r="I197" s="1330"/>
    </row>
    <row r="198" spans="2:9">
      <c r="B198" s="637"/>
      <c r="C198" s="651" t="s">
        <v>126</v>
      </c>
      <c r="D198" s="547" t="s">
        <v>133</v>
      </c>
      <c r="E198" s="1315" t="s">
        <v>342</v>
      </c>
      <c r="F198" s="1316"/>
      <c r="G198" s="1316"/>
      <c r="H198" s="1316"/>
      <c r="I198" s="1317"/>
    </row>
    <row r="199" spans="2:9" ht="121.5" customHeight="1">
      <c r="B199" s="637"/>
      <c r="C199" s="1314" t="s">
        <v>343</v>
      </c>
      <c r="D199" s="547" t="s">
        <v>344</v>
      </c>
      <c r="E199" s="1352" t="s">
        <v>345</v>
      </c>
      <c r="F199" s="1353"/>
      <c r="G199" s="1353"/>
      <c r="H199" s="1353"/>
      <c r="I199" s="1354"/>
    </row>
    <row r="200" spans="2:9" ht="27" customHeight="1">
      <c r="B200" s="637"/>
      <c r="C200" s="1350"/>
      <c r="D200" s="863" t="s">
        <v>346</v>
      </c>
      <c r="E200" s="1333" t="s">
        <v>347</v>
      </c>
      <c r="F200" s="1334"/>
      <c r="G200" s="1334"/>
      <c r="H200" s="1334"/>
      <c r="I200" s="1335"/>
    </row>
    <row r="201" spans="2:9">
      <c r="B201" s="637"/>
      <c r="C201" s="1330" t="s">
        <v>348</v>
      </c>
      <c r="D201" s="1330"/>
      <c r="E201" s="1330"/>
      <c r="F201" s="1330"/>
      <c r="G201" s="1330"/>
      <c r="H201" s="1330"/>
      <c r="I201" s="1330"/>
    </row>
    <row r="202" spans="2:9">
      <c r="B202" s="637"/>
      <c r="C202" s="651" t="s">
        <v>126</v>
      </c>
      <c r="D202" s="547" t="s">
        <v>133</v>
      </c>
      <c r="E202" s="1315" t="s">
        <v>342</v>
      </c>
      <c r="F202" s="1316"/>
      <c r="G202" s="1316"/>
      <c r="H202" s="1316"/>
      <c r="I202" s="1317"/>
    </row>
    <row r="203" spans="2:9" ht="122.4" customHeight="1">
      <c r="B203" s="637"/>
      <c r="C203" s="1314" t="s">
        <v>349</v>
      </c>
      <c r="D203" s="547" t="s">
        <v>350</v>
      </c>
      <c r="E203" s="1352" t="s">
        <v>351</v>
      </c>
      <c r="F203" s="1353"/>
      <c r="G203" s="1353"/>
      <c r="H203" s="1353"/>
      <c r="I203" s="1354"/>
    </row>
    <row r="204" spans="2:9" ht="27" customHeight="1">
      <c r="B204" s="637"/>
      <c r="C204" s="1314"/>
      <c r="D204" s="547" t="s">
        <v>352</v>
      </c>
      <c r="E204" s="1352" t="s">
        <v>347</v>
      </c>
      <c r="F204" s="1353"/>
      <c r="G204" s="1353"/>
      <c r="H204" s="1353"/>
      <c r="I204" s="1354"/>
    </row>
    <row r="205" spans="2:9" ht="27" customHeight="1">
      <c r="B205" s="637"/>
      <c r="C205" s="1350"/>
      <c r="D205" s="863" t="s">
        <v>353</v>
      </c>
      <c r="E205" s="1333" t="s">
        <v>347</v>
      </c>
      <c r="F205" s="1334"/>
      <c r="G205" s="1334"/>
      <c r="H205" s="1334"/>
      <c r="I205" s="1335"/>
    </row>
    <row r="206" spans="2:9">
      <c r="B206" s="637"/>
      <c r="C206" s="1330" t="s">
        <v>354</v>
      </c>
      <c r="D206" s="1330"/>
      <c r="E206" s="1330"/>
      <c r="F206" s="1330"/>
      <c r="G206" s="1330"/>
      <c r="H206" s="1330"/>
      <c r="I206" s="1330"/>
    </row>
    <row r="207" spans="2:9">
      <c r="B207" s="637"/>
      <c r="C207" s="651" t="s">
        <v>126</v>
      </c>
      <c r="D207" s="547" t="s">
        <v>133</v>
      </c>
      <c r="E207" s="1315" t="s">
        <v>281</v>
      </c>
      <c r="F207" s="1316"/>
      <c r="G207" s="1316"/>
      <c r="H207" s="1316"/>
      <c r="I207" s="1317"/>
    </row>
    <row r="208" spans="2:9" ht="31.5" customHeight="1">
      <c r="B208" s="638"/>
      <c r="C208" s="862" t="s">
        <v>355</v>
      </c>
      <c r="D208" s="867" t="s">
        <v>356</v>
      </c>
      <c r="E208" s="1333" t="s">
        <v>244</v>
      </c>
      <c r="F208" s="1334"/>
      <c r="G208" s="1334"/>
      <c r="H208" s="1334"/>
      <c r="I208" s="1335"/>
    </row>
  </sheetData>
  <sheetProtection algorithmName="SHA-512" hashValue="eh2PseYYExdG3Z+3D1FfJ4BO0A9YsrOQ0QAKUHJwUWSb6whcuRsGHirE0XgpYxZIxTHMXpJ/jdLaLbPRc4XEbw==" saltValue="AXPyyD1nQRUhD2weYI0HIQ==" spinCount="100000" sheet="1" objects="1" scenarios="1"/>
  <dataConsolidate/>
  <mergeCells count="145">
    <mergeCell ref="E170:I170"/>
    <mergeCell ref="D38:D39"/>
    <mergeCell ref="E179:I179"/>
    <mergeCell ref="G38:G39"/>
    <mergeCell ref="H38:H39"/>
    <mergeCell ref="C178:I178"/>
    <mergeCell ref="C161:I161"/>
    <mergeCell ref="C174:C177"/>
    <mergeCell ref="C172:I172"/>
    <mergeCell ref="C62:I62"/>
    <mergeCell ref="C69:C73"/>
    <mergeCell ref="C101:I101"/>
    <mergeCell ref="F117:F118"/>
    <mergeCell ref="C122:D122"/>
    <mergeCell ref="C148:I148"/>
    <mergeCell ref="C143:F143"/>
    <mergeCell ref="C144:F144"/>
    <mergeCell ref="E173:I173"/>
    <mergeCell ref="E174:I174"/>
    <mergeCell ref="C151:I151"/>
    <mergeCell ref="C163:C164"/>
    <mergeCell ref="G117:G118"/>
    <mergeCell ref="E153:I153"/>
    <mergeCell ref="E166:I166"/>
    <mergeCell ref="E168:I168"/>
    <mergeCell ref="E180:I180"/>
    <mergeCell ref="E171:I171"/>
    <mergeCell ref="M8:R14"/>
    <mergeCell ref="L49:O49"/>
    <mergeCell ref="L44:P46"/>
    <mergeCell ref="C102:C103"/>
    <mergeCell ref="D102:D103"/>
    <mergeCell ref="C64:C66"/>
    <mergeCell ref="I12:I13"/>
    <mergeCell ref="C50:I50"/>
    <mergeCell ref="C14:I14"/>
    <mergeCell ref="C15:C46"/>
    <mergeCell ref="E12:E13"/>
    <mergeCell ref="F12:H12"/>
    <mergeCell ref="C12:C13"/>
    <mergeCell ref="D12:D13"/>
    <mergeCell ref="I20:I46"/>
    <mergeCell ref="F15:I19"/>
    <mergeCell ref="F48:I49"/>
    <mergeCell ref="C48:C49"/>
    <mergeCell ref="D29:D30"/>
    <mergeCell ref="F29:F30"/>
    <mergeCell ref="G29:G30"/>
    <mergeCell ref="H29:H30"/>
    <mergeCell ref="E193:I193"/>
    <mergeCell ref="F38:F39"/>
    <mergeCell ref="B4:C4"/>
    <mergeCell ref="B5:C5"/>
    <mergeCell ref="B2:I2"/>
    <mergeCell ref="C206:I206"/>
    <mergeCell ref="C140:I141"/>
    <mergeCell ref="C114:I114"/>
    <mergeCell ref="C188:C190"/>
    <mergeCell ref="C116:C118"/>
    <mergeCell ref="D117:D118"/>
    <mergeCell ref="C104:C113"/>
    <mergeCell ref="C133:C134"/>
    <mergeCell ref="C201:I201"/>
    <mergeCell ref="C137:C138"/>
    <mergeCell ref="C135:I135"/>
    <mergeCell ref="C194:I194"/>
    <mergeCell ref="C199:C200"/>
    <mergeCell ref="C197:I197"/>
    <mergeCell ref="C186:I186"/>
    <mergeCell ref="C128:I128"/>
    <mergeCell ref="C191:I191"/>
    <mergeCell ref="C131:I131"/>
    <mergeCell ref="E182:I182"/>
    <mergeCell ref="C183:C185"/>
    <mergeCell ref="C181:I181"/>
    <mergeCell ref="E208:I208"/>
    <mergeCell ref="C56:I56"/>
    <mergeCell ref="F102:F103"/>
    <mergeCell ref="G102:G103"/>
    <mergeCell ref="H102:H103"/>
    <mergeCell ref="I102:I103"/>
    <mergeCell ref="E199:I199"/>
    <mergeCell ref="E200:I200"/>
    <mergeCell ref="E202:I202"/>
    <mergeCell ref="E203:I203"/>
    <mergeCell ref="E204:I204"/>
    <mergeCell ref="E188:I188"/>
    <mergeCell ref="E189:I189"/>
    <mergeCell ref="E190:I190"/>
    <mergeCell ref="E196:I196"/>
    <mergeCell ref="E198:I198"/>
    <mergeCell ref="E187:I187"/>
    <mergeCell ref="E183:I183"/>
    <mergeCell ref="E184:I184"/>
    <mergeCell ref="E185:I185"/>
    <mergeCell ref="C57:C58"/>
    <mergeCell ref="E192:I192"/>
    <mergeCell ref="B74:B80"/>
    <mergeCell ref="E195:I195"/>
    <mergeCell ref="B101:B113"/>
    <mergeCell ref="B97:B100"/>
    <mergeCell ref="E205:I205"/>
    <mergeCell ref="C83:C89"/>
    <mergeCell ref="C74:I74"/>
    <mergeCell ref="G143:I143"/>
    <mergeCell ref="G144:I144"/>
    <mergeCell ref="H117:H118"/>
    <mergeCell ref="I117:I118"/>
    <mergeCell ref="C76:C80"/>
    <mergeCell ref="C81:I81"/>
    <mergeCell ref="C90:I90"/>
    <mergeCell ref="C97:I97"/>
    <mergeCell ref="C92:C96"/>
    <mergeCell ref="C153:C160"/>
    <mergeCell ref="C142:I142"/>
    <mergeCell ref="C145:I145"/>
    <mergeCell ref="E175:I175"/>
    <mergeCell ref="C169:I169"/>
    <mergeCell ref="C167:C168"/>
    <mergeCell ref="C165:I165"/>
    <mergeCell ref="C203:C205"/>
    <mergeCell ref="B67:B73"/>
    <mergeCell ref="C99:C100"/>
    <mergeCell ref="E207:I207"/>
    <mergeCell ref="E162:I162"/>
    <mergeCell ref="D4:E4"/>
    <mergeCell ref="D5:E5"/>
    <mergeCell ref="B135:B138"/>
    <mergeCell ref="B114:B118"/>
    <mergeCell ref="B119:B121"/>
    <mergeCell ref="B122:B124"/>
    <mergeCell ref="B125:B127"/>
    <mergeCell ref="B128:B130"/>
    <mergeCell ref="B15:B46"/>
    <mergeCell ref="C52:C55"/>
    <mergeCell ref="B62:B66"/>
    <mergeCell ref="B56:B61"/>
    <mergeCell ref="B50:B55"/>
    <mergeCell ref="D57:D58"/>
    <mergeCell ref="C59:C61"/>
    <mergeCell ref="C67:I67"/>
    <mergeCell ref="B12:B13"/>
    <mergeCell ref="B131:B134"/>
    <mergeCell ref="B90:B96"/>
    <mergeCell ref="B81:B89"/>
  </mergeCells>
  <phoneticPr fontId="3" type="noConversion"/>
  <dataValidations count="1">
    <dataValidation type="list" allowBlank="1" showInputMessage="1" showErrorMessage="1" sqref="G146:G147 G51:G55 G132:G138 G154 G167 G176:G177 G160 G57:G66 G104:G113 G75:G80 G115:G117 G82:G89 G20:G29 G152 G91:G102 G40:G46 G31:G38 G120:G121 G123:G124 G126:G127 G129:G130 G68:G73 G149:G150 G163:G164" xr:uid="{3E06413D-A277-4B91-8837-958EEE26038F}">
      <formula1>"Not applicable,Legal prohibitions,Confidentiality constraints,Information unavailable/incomplete"</formula1>
    </dataValidation>
  </dataValidations>
  <hyperlinks>
    <hyperlink ref="E30" r:id="rId1" location=":~:text=Employees%20must%20avoid%20conflicts%20of,and%20those%20of%20the%20Company.&amp;text=Employees%20are%20responsible%20for%20identifying,or%20others%20and%20disclosing%20them." xr:uid="{41815C1A-FF53-49C9-A3FC-EB853956B5FE}"/>
    <hyperlink ref="E39" r:id="rId2" location="Policies" xr:uid="{95F6AE82-70E3-4EC6-B81D-B4D594BFC2BC}"/>
    <hyperlink ref="E103" r:id="rId3" xr:uid="{37EA65A1-E354-4434-BC15-896C31F39B68}"/>
    <hyperlink ref="E118" r:id="rId4" display="Johnson Matthey Gender Pay Gap Report 2022" xr:uid="{7D21C118-8494-4D61-BCA4-610899863C62}"/>
    <hyperlink ref="E174" r:id="rId5" display="JM Global tax policy" xr:uid="{4D730960-2A50-4AFA-BF58-942571C70002}"/>
    <hyperlink ref="E175" r:id="rId6" xr:uid="{B33CB839-5339-4A8A-941F-49D4CBAF1C5B}"/>
    <hyperlink ref="E58" r:id="rId7" xr:uid="{21DA36BF-CFD7-4B1C-BDC5-55B4E36AC3DD}"/>
    <hyperlink ref="E153" r:id="rId8" xr:uid="{4A4656E3-BB25-4FAC-8C1E-8C0C4808A9BC}"/>
  </hyperlinks>
  <pageMargins left="0.23622047244094491" right="0.23622047244094491" top="0.74803149606299213" bottom="0.74803149606299213" header="0.31496062992125984" footer="0.31496062992125984"/>
  <pageSetup paperSize="9" scale="49" fitToHeight="0" orientation="landscape" verticalDpi="1200" r:id="rId9"/>
  <rowBreaks count="4" manualBreakCount="4">
    <brk id="46" min="1" max="8" man="1"/>
    <brk id="61" min="1" max="8" man="1"/>
    <brk id="96" min="1" max="8" man="1"/>
    <brk id="138" min="1" max="8" man="1"/>
  </rowBreaks>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pageSetUpPr fitToPage="1"/>
  </sheetPr>
  <dimension ref="B2:K35"/>
  <sheetViews>
    <sheetView topLeftCell="A14" zoomScale="80" zoomScaleNormal="80" workbookViewId="0"/>
  </sheetViews>
  <sheetFormatPr defaultColWidth="8.88671875" defaultRowHeight="13.8"/>
  <cols>
    <col min="1" max="1" width="3.88671875" style="64" customWidth="1"/>
    <col min="2" max="2" width="44.109375" style="64" customWidth="1"/>
    <col min="3" max="3" width="68.33203125" style="64" customWidth="1"/>
    <col min="4" max="4" width="15.109375" style="64" bestFit="1" customWidth="1"/>
    <col min="5" max="5" width="32.33203125" style="64" bestFit="1" customWidth="1"/>
    <col min="6" max="6" width="53.88671875" style="64" customWidth="1"/>
    <col min="7" max="16384" width="8.88671875" style="64"/>
  </cols>
  <sheetData>
    <row r="2" spans="2:6" ht="24.6">
      <c r="B2" s="1393" t="s">
        <v>18</v>
      </c>
      <c r="C2" s="1393"/>
      <c r="D2" s="1393"/>
    </row>
    <row r="3" spans="2:6">
      <c r="B3" s="901"/>
      <c r="C3" s="901"/>
      <c r="D3" s="901"/>
    </row>
    <row r="4" spans="2:6" ht="16.2">
      <c r="B4" s="1228" t="s">
        <v>357</v>
      </c>
      <c r="C4" s="901"/>
      <c r="D4" s="901"/>
    </row>
    <row r="5" spans="2:6">
      <c r="B5" s="901"/>
      <c r="C5" s="901"/>
      <c r="D5" s="901"/>
    </row>
    <row r="6" spans="2:6">
      <c r="B6" s="10" t="s">
        <v>50</v>
      </c>
      <c r="C6" s="14"/>
      <c r="D6" s="14"/>
    </row>
    <row r="7" spans="2:6">
      <c r="B7" s="11" t="s">
        <v>51</v>
      </c>
      <c r="C7" s="14"/>
      <c r="D7" s="14"/>
    </row>
    <row r="8" spans="2:6">
      <c r="B8" s="11" t="s">
        <v>52</v>
      </c>
      <c r="C8" s="14"/>
      <c r="D8" s="14"/>
    </row>
    <row r="9" spans="2:6">
      <c r="B9" s="11"/>
      <c r="C9" s="14"/>
      <c r="D9" s="14"/>
    </row>
    <row r="10" spans="2:6">
      <c r="B10" s="898" t="s">
        <v>358</v>
      </c>
      <c r="C10" s="899" t="s">
        <v>359</v>
      </c>
      <c r="D10" s="899" t="s">
        <v>360</v>
      </c>
      <c r="E10" s="900" t="s">
        <v>361</v>
      </c>
      <c r="F10" s="907" t="s">
        <v>362</v>
      </c>
    </row>
    <row r="11" spans="2:6" ht="126">
      <c r="B11" s="1394" t="s">
        <v>363</v>
      </c>
      <c r="C11" s="748" t="s">
        <v>364</v>
      </c>
      <c r="D11" s="749" t="s">
        <v>365</v>
      </c>
      <c r="E11" s="902" t="s">
        <v>366</v>
      </c>
      <c r="F11" s="1242" t="s">
        <v>367</v>
      </c>
    </row>
    <row r="12" spans="2:6" ht="37.799999999999997">
      <c r="B12" s="1395"/>
      <c r="C12" s="750" t="s">
        <v>368</v>
      </c>
      <c r="D12" s="751" t="s">
        <v>369</v>
      </c>
      <c r="E12" s="1159" t="s">
        <v>370</v>
      </c>
      <c r="F12" s="1164"/>
    </row>
    <row r="13" spans="2:6" ht="88.2">
      <c r="B13" s="753" t="s">
        <v>371</v>
      </c>
      <c r="C13" s="1244" t="s">
        <v>372</v>
      </c>
      <c r="D13" s="754" t="s">
        <v>373</v>
      </c>
      <c r="E13" s="1158" t="s">
        <v>178</v>
      </c>
      <c r="F13" s="1243" t="s">
        <v>374</v>
      </c>
    </row>
    <row r="14" spans="2:6" ht="39">
      <c r="B14" s="752" t="s">
        <v>375</v>
      </c>
      <c r="C14" s="1244" t="s">
        <v>376</v>
      </c>
      <c r="D14" s="747" t="s">
        <v>377</v>
      </c>
      <c r="E14" s="1160" t="s">
        <v>366</v>
      </c>
      <c r="F14" s="1164"/>
    </row>
    <row r="15" spans="2:6" ht="25.2">
      <c r="B15" s="1391" t="s">
        <v>378</v>
      </c>
      <c r="C15" s="1246" t="s">
        <v>379</v>
      </c>
      <c r="D15" s="749" t="s">
        <v>380</v>
      </c>
      <c r="E15" s="1161" t="s">
        <v>178</v>
      </c>
      <c r="F15" s="1164"/>
    </row>
    <row r="16" spans="2:6" ht="25.2">
      <c r="B16" s="1396"/>
      <c r="C16" s="1247" t="s">
        <v>381</v>
      </c>
      <c r="D16" s="512" t="s">
        <v>382</v>
      </c>
      <c r="E16" s="1162" t="s">
        <v>178</v>
      </c>
      <c r="F16" s="1164"/>
    </row>
    <row r="17" spans="2:11" ht="25.2">
      <c r="B17" s="1392"/>
      <c r="C17" s="750" t="s">
        <v>383</v>
      </c>
      <c r="D17" s="751" t="s">
        <v>384</v>
      </c>
      <c r="E17" s="1159" t="s">
        <v>178</v>
      </c>
      <c r="F17" s="1164"/>
      <c r="K17" s="536"/>
    </row>
    <row r="18" spans="2:11" ht="25.2">
      <c r="B18" s="752" t="s">
        <v>385</v>
      </c>
      <c r="C18" s="746" t="s">
        <v>386</v>
      </c>
      <c r="D18" s="747" t="s">
        <v>387</v>
      </c>
      <c r="E18" s="1160" t="s">
        <v>178</v>
      </c>
      <c r="F18" s="1164"/>
    </row>
    <row r="19" spans="2:11" ht="25.2">
      <c r="B19" s="752" t="s">
        <v>388</v>
      </c>
      <c r="C19" s="1244" t="s">
        <v>389</v>
      </c>
      <c r="D19" s="754" t="s">
        <v>390</v>
      </c>
      <c r="E19" s="1160" t="s">
        <v>391</v>
      </c>
      <c r="F19" s="1165"/>
    </row>
    <row r="20" spans="2:11" ht="25.2">
      <c r="B20" s="1391" t="s">
        <v>392</v>
      </c>
      <c r="C20" s="748" t="s">
        <v>393</v>
      </c>
      <c r="D20" s="749" t="s">
        <v>394</v>
      </c>
      <c r="E20" s="1161" t="s">
        <v>395</v>
      </c>
      <c r="F20" s="1164"/>
    </row>
    <row r="21" spans="2:11" ht="25.2">
      <c r="B21" s="1392"/>
      <c r="C21" s="750" t="s">
        <v>396</v>
      </c>
      <c r="D21" s="751" t="s">
        <v>397</v>
      </c>
      <c r="E21" s="1159" t="s">
        <v>395</v>
      </c>
      <c r="F21" s="1164"/>
    </row>
    <row r="22" spans="2:11" ht="138.6">
      <c r="B22" s="745" t="s">
        <v>398</v>
      </c>
      <c r="C22" s="1244" t="s">
        <v>399</v>
      </c>
      <c r="D22" s="754" t="s">
        <v>400</v>
      </c>
      <c r="E22" s="1245" t="s">
        <v>401</v>
      </c>
      <c r="F22" s="1243" t="s">
        <v>402</v>
      </c>
    </row>
    <row r="23" spans="2:11" ht="100.8">
      <c r="B23" s="1391" t="s">
        <v>403</v>
      </c>
      <c r="C23" s="748" t="s">
        <v>404</v>
      </c>
      <c r="D23" s="749" t="s">
        <v>405</v>
      </c>
      <c r="E23" s="1161" t="s">
        <v>406</v>
      </c>
      <c r="F23" s="1243" t="s">
        <v>407</v>
      </c>
    </row>
    <row r="24" spans="2:11" ht="126">
      <c r="B24" s="1392"/>
      <c r="C24" s="750" t="s">
        <v>408</v>
      </c>
      <c r="D24" s="751" t="s">
        <v>409</v>
      </c>
      <c r="E24" s="1159" t="s">
        <v>410</v>
      </c>
      <c r="F24" s="1243" t="s">
        <v>411</v>
      </c>
    </row>
    <row r="25" spans="2:11" ht="25.2">
      <c r="B25" s="745" t="s">
        <v>412</v>
      </c>
      <c r="C25" s="746" t="s">
        <v>413</v>
      </c>
      <c r="D25" s="747" t="s">
        <v>414</v>
      </c>
      <c r="E25" s="1158" t="s">
        <v>406</v>
      </c>
      <c r="F25" s="1164"/>
    </row>
    <row r="26" spans="2:11" ht="37.799999999999997">
      <c r="B26" s="745" t="s">
        <v>415</v>
      </c>
      <c r="C26" s="746" t="s">
        <v>416</v>
      </c>
      <c r="D26" s="747" t="s">
        <v>417</v>
      </c>
      <c r="E26" s="1248" t="s">
        <v>418</v>
      </c>
      <c r="F26" s="1164"/>
    </row>
    <row r="27" spans="2:11" ht="39">
      <c r="B27" s="1391" t="s">
        <v>419</v>
      </c>
      <c r="C27" s="748" t="s">
        <v>420</v>
      </c>
      <c r="D27" s="749" t="s">
        <v>421</v>
      </c>
      <c r="E27" s="1161" t="s">
        <v>422</v>
      </c>
      <c r="F27" s="1164"/>
    </row>
    <row r="28" spans="2:11">
      <c r="B28" s="1392"/>
      <c r="C28" s="750" t="s">
        <v>423</v>
      </c>
      <c r="D28" s="751" t="s">
        <v>424</v>
      </c>
      <c r="E28" s="1163" t="s">
        <v>425</v>
      </c>
      <c r="F28" s="1164"/>
    </row>
    <row r="29" spans="2:11">
      <c r="B29" s="745" t="s">
        <v>426</v>
      </c>
      <c r="C29" s="746" t="s">
        <v>427</v>
      </c>
      <c r="D29" s="747" t="s">
        <v>428</v>
      </c>
      <c r="E29" s="1158" t="s">
        <v>429</v>
      </c>
      <c r="F29" s="1164"/>
    </row>
    <row r="30" spans="2:11">
      <c r="B30" s="97"/>
      <c r="C30" s="97"/>
      <c r="D30" s="97"/>
      <c r="E30" s="97"/>
    </row>
    <row r="31" spans="2:11">
      <c r="B31" s="1390" t="s">
        <v>430</v>
      </c>
      <c r="C31" s="1390"/>
      <c r="D31" s="1390"/>
      <c r="E31" s="1390"/>
    </row>
    <row r="32" spans="2:11">
      <c r="B32" s="1390" t="s">
        <v>431</v>
      </c>
      <c r="C32" s="1390"/>
      <c r="D32" s="1390"/>
      <c r="E32" s="1390"/>
      <c r="F32" s="1390"/>
    </row>
    <row r="33" spans="2:6">
      <c r="B33" s="1390" t="s">
        <v>432</v>
      </c>
      <c r="C33" s="1390"/>
      <c r="D33" s="1390"/>
      <c r="E33" s="1390"/>
    </row>
    <row r="34" spans="2:6">
      <c r="B34" s="1390" t="s">
        <v>433</v>
      </c>
      <c r="C34" s="1390"/>
      <c r="D34" s="1390"/>
      <c r="E34" s="1390"/>
    </row>
    <row r="35" spans="2:6">
      <c r="B35" s="1390" t="s">
        <v>434</v>
      </c>
      <c r="C35" s="1390"/>
      <c r="D35" s="1390"/>
      <c r="E35" s="1390"/>
      <c r="F35" s="1390"/>
    </row>
  </sheetData>
  <sheetProtection algorithmName="SHA-512" hashValue="vTlqwRulaXWojAiTiiIFG87d/sdEVRc46Hq97cCDuFVS0ZgLhFW9IyALtw635UpljujX0aF0GNnLfEShQM0LQg==" saltValue="7DsUhriprVr72/8rUH2zDQ==" spinCount="100000" sheet="1" objects="1" scenarios="1"/>
  <mergeCells count="11">
    <mergeCell ref="B2:D2"/>
    <mergeCell ref="B11:B12"/>
    <mergeCell ref="B15:B17"/>
    <mergeCell ref="B20:B21"/>
    <mergeCell ref="B23:B24"/>
    <mergeCell ref="B35:F35"/>
    <mergeCell ref="B27:B28"/>
    <mergeCell ref="B31:E31"/>
    <mergeCell ref="B33:E33"/>
    <mergeCell ref="B34:E34"/>
    <mergeCell ref="B32:F32"/>
  </mergeCells>
  <hyperlinks>
    <hyperlink ref="E26" r:id="rId1" xr:uid="{42F76716-2693-4E81-A18A-75771DAB12A9}"/>
  </hyperlinks>
  <pageMargins left="0.70866141732283472" right="0.70866141732283472" top="0.74803149606299213" bottom="0.74803149606299213" header="0.31496062992125984" footer="0.31496062992125984"/>
  <pageSetup paperSize="9" scale="37"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pageSetUpPr fitToPage="1"/>
  </sheetPr>
  <dimension ref="B2:K21"/>
  <sheetViews>
    <sheetView tabSelected="1" zoomScale="80" zoomScaleNormal="80" workbookViewId="0"/>
  </sheetViews>
  <sheetFormatPr defaultColWidth="8.88671875" defaultRowHeight="12.6"/>
  <cols>
    <col min="1" max="1" width="2.88671875" style="460" customWidth="1"/>
    <col min="2" max="2" width="30.44140625" style="460" customWidth="1"/>
    <col min="3" max="3" width="119.109375" style="460" customWidth="1"/>
    <col min="4" max="4" width="27.109375" style="460" customWidth="1"/>
    <col min="5" max="5" width="18.5546875" style="460" customWidth="1"/>
    <col min="6" max="6" width="24.88671875" style="460" customWidth="1"/>
    <col min="7" max="16384" width="8.88671875" style="460"/>
  </cols>
  <sheetData>
    <row r="2" spans="2:5" ht="24.6">
      <c r="B2" s="1393" t="s">
        <v>19</v>
      </c>
      <c r="C2" s="1393"/>
      <c r="D2" s="1393"/>
    </row>
    <row r="3" spans="2:5">
      <c r="B3" s="903"/>
      <c r="C3" s="903"/>
      <c r="D3" s="903"/>
    </row>
    <row r="4" spans="2:5" s="755" customFormat="1" ht="77.099999999999994" customHeight="1">
      <c r="B4" s="1400" t="s">
        <v>435</v>
      </c>
      <c r="C4" s="1400"/>
      <c r="D4" s="1400"/>
      <c r="E4" s="1400"/>
    </row>
    <row r="5" spans="2:5">
      <c r="B5" s="522"/>
      <c r="C5" s="522"/>
      <c r="D5" s="522"/>
    </row>
    <row r="6" spans="2:5">
      <c r="B6" s="523" t="s">
        <v>50</v>
      </c>
      <c r="C6" s="522"/>
      <c r="D6" s="522"/>
    </row>
    <row r="7" spans="2:5" ht="13.8">
      <c r="B7" s="11" t="s">
        <v>51</v>
      </c>
      <c r="C7" s="522"/>
      <c r="D7" s="522"/>
    </row>
    <row r="8" spans="2:5" ht="13.8">
      <c r="B8" s="11" t="s">
        <v>52</v>
      </c>
      <c r="C8" s="522"/>
      <c r="D8" s="522"/>
    </row>
    <row r="9" spans="2:5">
      <c r="B9" s="461"/>
      <c r="C9" s="522"/>
      <c r="D9" s="522"/>
    </row>
    <row r="10" spans="2:5" ht="13.8">
      <c r="B10" s="898" t="s">
        <v>436</v>
      </c>
      <c r="C10" s="899" t="s">
        <v>437</v>
      </c>
      <c r="D10" s="900" t="s">
        <v>361</v>
      </c>
      <c r="E10" s="900" t="s">
        <v>438</v>
      </c>
    </row>
    <row r="11" spans="2:5" ht="63.9" customHeight="1">
      <c r="B11" s="1397" t="s">
        <v>439</v>
      </c>
      <c r="C11" s="737" t="s">
        <v>440</v>
      </c>
      <c r="D11" s="1166" t="s">
        <v>441</v>
      </c>
      <c r="E11" s="1168" t="s">
        <v>442</v>
      </c>
    </row>
    <row r="12" spans="2:5" ht="63.9" customHeight="1">
      <c r="B12" s="1399"/>
      <c r="C12" s="738" t="s">
        <v>443</v>
      </c>
      <c r="D12" s="1166" t="s">
        <v>441</v>
      </c>
      <c r="E12" s="1169" t="s">
        <v>442</v>
      </c>
    </row>
    <row r="13" spans="2:5" ht="42.9" customHeight="1">
      <c r="B13" s="1397" t="s">
        <v>444</v>
      </c>
      <c r="C13" s="737" t="s">
        <v>445</v>
      </c>
      <c r="D13" s="1166" t="s">
        <v>446</v>
      </c>
      <c r="E13" s="1168" t="s">
        <v>447</v>
      </c>
    </row>
    <row r="14" spans="2:5" ht="42.9" customHeight="1">
      <c r="B14" s="1398"/>
      <c r="C14" s="736" t="s">
        <v>448</v>
      </c>
      <c r="D14" s="1166" t="s">
        <v>446</v>
      </c>
      <c r="E14" s="1170" t="s">
        <v>449</v>
      </c>
    </row>
    <row r="15" spans="2:5" ht="42.9" customHeight="1">
      <c r="B15" s="1399"/>
      <c r="C15" s="738" t="s">
        <v>450</v>
      </c>
      <c r="D15" s="1166" t="s">
        <v>446</v>
      </c>
      <c r="E15" s="1169" t="s">
        <v>451</v>
      </c>
    </row>
    <row r="16" spans="2:5" ht="33" customHeight="1">
      <c r="B16" s="1397" t="s">
        <v>452</v>
      </c>
      <c r="C16" s="737" t="s">
        <v>453</v>
      </c>
      <c r="D16" s="1166" t="s">
        <v>454</v>
      </c>
      <c r="E16" s="1168" t="s">
        <v>455</v>
      </c>
    </row>
    <row r="17" spans="2:11" ht="24.9" customHeight="1">
      <c r="B17" s="1398"/>
      <c r="C17" s="736" t="s">
        <v>456</v>
      </c>
      <c r="D17" s="1166" t="s">
        <v>454</v>
      </c>
      <c r="E17" s="1170" t="s">
        <v>455</v>
      </c>
      <c r="K17" s="542"/>
    </row>
    <row r="18" spans="2:11" ht="40.5" customHeight="1">
      <c r="B18" s="1399"/>
      <c r="C18" s="738" t="s">
        <v>457</v>
      </c>
      <c r="D18" s="1166" t="s">
        <v>454</v>
      </c>
      <c r="E18" s="1169" t="s">
        <v>458</v>
      </c>
    </row>
    <row r="19" spans="2:11" ht="43.5" customHeight="1">
      <c r="B19" s="1397" t="s">
        <v>459</v>
      </c>
      <c r="C19" s="737" t="s">
        <v>460</v>
      </c>
      <c r="D19" s="1166" t="s">
        <v>461</v>
      </c>
      <c r="E19" s="1168" t="s">
        <v>462</v>
      </c>
    </row>
    <row r="20" spans="2:11" ht="43.5" customHeight="1">
      <c r="B20" s="1398"/>
      <c r="C20" s="736" t="s">
        <v>463</v>
      </c>
      <c r="D20" s="1166" t="s">
        <v>464</v>
      </c>
      <c r="E20" s="1170" t="s">
        <v>462</v>
      </c>
    </row>
    <row r="21" spans="2:11" ht="43.5" customHeight="1">
      <c r="B21" s="1399"/>
      <c r="C21" s="738" t="s">
        <v>465</v>
      </c>
      <c r="D21" s="1166" t="s">
        <v>461</v>
      </c>
      <c r="E21" s="1169" t="s">
        <v>466</v>
      </c>
    </row>
  </sheetData>
  <sheetProtection algorithmName="SHA-512" hashValue="Tr1TctenxVMlIXyCuscP7jZtTBzujqvBt/w4G/RCPsDs08HfQa5QOgZM2vdP2gF0CGHKvxbwxXi0cWKG3SKfiw==" saltValue="Ez8FLuiuuz/eukZnOqcfSQ=="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zoomScale="80" zoomScaleNormal="80" workbookViewId="0"/>
  </sheetViews>
  <sheetFormatPr defaultColWidth="8.88671875" defaultRowHeight="12.6"/>
  <cols>
    <col min="1" max="1" width="5.88671875" style="460" customWidth="1"/>
    <col min="2" max="2" width="16.5546875" style="460" customWidth="1"/>
    <col min="3" max="3" width="47.109375" style="460" customWidth="1"/>
    <col min="4" max="4" width="56.88671875" style="460" customWidth="1"/>
    <col min="5" max="5" width="65" style="462" hidden="1" customWidth="1"/>
    <col min="6" max="6" width="65" style="463" hidden="1" customWidth="1"/>
    <col min="7" max="7" width="35.5546875" style="460" customWidth="1"/>
    <col min="8" max="8" width="54" style="460" customWidth="1"/>
    <col min="9" max="9" width="50.44140625" style="460" customWidth="1"/>
    <col min="10" max="10" width="9.88671875" style="460" bestFit="1" customWidth="1"/>
    <col min="11" max="12" width="8.88671875" style="460"/>
    <col min="13" max="13" width="10.88671875" style="460" bestFit="1" customWidth="1"/>
    <col min="14" max="16384" width="8.88671875" style="460"/>
  </cols>
  <sheetData>
    <row r="2" spans="2:9" ht="24.6">
      <c r="B2" s="1393" t="s">
        <v>467</v>
      </c>
      <c r="C2" s="1393"/>
      <c r="D2" s="1393"/>
      <c r="E2" s="1393"/>
      <c r="F2" s="1393"/>
    </row>
    <row r="4" spans="2:9" ht="13.8">
      <c r="B4" s="10" t="s">
        <v>50</v>
      </c>
    </row>
    <row r="5" spans="2:9" ht="13.8">
      <c r="B5" s="11" t="s">
        <v>51</v>
      </c>
    </row>
    <row r="6" spans="2:9" ht="13.8">
      <c r="B6" s="11" t="s">
        <v>52</v>
      </c>
    </row>
    <row r="8" spans="2:9" s="533" customFormat="1" ht="17.399999999999999" customHeight="1">
      <c r="B8" s="906" t="s">
        <v>468</v>
      </c>
      <c r="C8" s="906" t="s">
        <v>469</v>
      </c>
      <c r="D8" s="906" t="s">
        <v>470</v>
      </c>
      <c r="E8" s="906" t="s">
        <v>468</v>
      </c>
      <c r="F8" s="906" t="s">
        <v>468</v>
      </c>
      <c r="G8" s="907" t="s">
        <v>361</v>
      </c>
      <c r="H8" s="907" t="s">
        <v>362</v>
      </c>
    </row>
    <row r="9" spans="2:9" ht="25.2">
      <c r="B9" s="1401" t="s">
        <v>183</v>
      </c>
      <c r="C9" s="1411" t="s">
        <v>471</v>
      </c>
      <c r="D9" s="759" t="s">
        <v>472</v>
      </c>
      <c r="E9" s="760"/>
      <c r="F9" s="1404" t="s">
        <v>473</v>
      </c>
      <c r="G9" s="1235" t="s">
        <v>474</v>
      </c>
      <c r="H9" s="1094" t="str">
        <f>TEXT(ROUNDDOWN(Environment!D10,0),"#,###")&amp;" tonnes CO₂e"</f>
        <v>215,429 tonnes CO₂e</v>
      </c>
    </row>
    <row r="10" spans="2:9" ht="25.2">
      <c r="B10" s="1402"/>
      <c r="C10" s="1412"/>
      <c r="D10" s="543" t="s">
        <v>475</v>
      </c>
      <c r="E10" s="646"/>
      <c r="F10" s="1405"/>
      <c r="G10" s="1235" t="s">
        <v>474</v>
      </c>
      <c r="H10" s="1094" t="str">
        <f>TEXT(ROUNDDOWN(Environment!D11,0),"#,###")&amp;" tonnes CO₂e"</f>
        <v>66,974 tonnes CO₂e</v>
      </c>
      <c r="I10" s="1167"/>
    </row>
    <row r="11" spans="2:9" ht="25.2">
      <c r="B11" s="1402"/>
      <c r="C11" s="1412"/>
      <c r="D11" s="543" t="s">
        <v>476</v>
      </c>
      <c r="E11" s="646"/>
      <c r="F11" s="1405"/>
      <c r="G11" s="1235" t="s">
        <v>474</v>
      </c>
      <c r="H11" s="1094" t="str">
        <f>TEXT(ROUNDUP(Environment!D33,0),"#,###")&amp;" tonnes CO₂e"</f>
        <v>3,026,405 tonnes CO₂e</v>
      </c>
    </row>
    <row r="12" spans="2:9" ht="30.9" customHeight="1">
      <c r="B12" s="1402"/>
      <c r="C12" s="1412"/>
      <c r="D12" s="543" t="s">
        <v>477</v>
      </c>
      <c r="E12" s="646"/>
      <c r="F12" s="1405"/>
      <c r="G12" s="1234" t="s">
        <v>366</v>
      </c>
      <c r="H12" s="1094" t="str">
        <f>TEXT(ROUNDUP(Environment!D40,0),"#,###")&amp;" tonnes CO₂e"</f>
        <v>3,308,808 tonnes CO₂e</v>
      </c>
    </row>
    <row r="13" spans="2:9" ht="54" hidden="1" customHeight="1">
      <c r="B13" s="1402"/>
      <c r="C13" s="646" t="s">
        <v>478</v>
      </c>
      <c r="D13" s="646" t="s">
        <v>478</v>
      </c>
      <c r="E13" s="646"/>
      <c r="F13" s="648" t="s">
        <v>479</v>
      </c>
      <c r="G13" s="1229"/>
      <c r="H13" s="1094" t="str">
        <f>TEXT(ROUNDUP(Environment!D41,0),"#,###")&amp;" tonnes CO₂e"</f>
        <v>31 tonnes CO₂e</v>
      </c>
    </row>
    <row r="14" spans="2:9" ht="30.9" customHeight="1">
      <c r="B14" s="1402"/>
      <c r="C14" s="647" t="s">
        <v>480</v>
      </c>
      <c r="D14" s="543" t="s">
        <v>481</v>
      </c>
      <c r="E14" s="646"/>
      <c r="F14" s="648" t="s">
        <v>482</v>
      </c>
      <c r="G14" s="1234" t="s">
        <v>483</v>
      </c>
      <c r="H14" s="1094" t="str">
        <f>TEXT(Environment!D42,"0.0")&amp;" tonnes CO2e/£ million revenue"</f>
        <v>257.6 tonnes CO2e/£ million revenue</v>
      </c>
      <c r="I14" s="531"/>
    </row>
    <row r="15" spans="2:9" ht="30.9" customHeight="1">
      <c r="B15" s="1402"/>
      <c r="C15" s="544" t="s">
        <v>484</v>
      </c>
      <c r="D15" s="544" t="s">
        <v>485</v>
      </c>
      <c r="E15" s="545" t="s">
        <v>486</v>
      </c>
      <c r="F15" s="649" t="s">
        <v>487</v>
      </c>
      <c r="G15" s="1234" t="s">
        <v>488</v>
      </c>
      <c r="H15" s="1094" t="s">
        <v>489</v>
      </c>
      <c r="I15" s="1232"/>
    </row>
    <row r="16" spans="2:9" ht="48.9" customHeight="1">
      <c r="B16" s="1402"/>
      <c r="C16" s="647" t="s">
        <v>490</v>
      </c>
      <c r="D16" s="647" t="s">
        <v>491</v>
      </c>
      <c r="E16" s="546" t="s">
        <v>492</v>
      </c>
      <c r="F16" s="648" t="s">
        <v>493</v>
      </c>
      <c r="G16" s="1234" t="s">
        <v>366</v>
      </c>
      <c r="H16" s="1095" t="s">
        <v>494</v>
      </c>
      <c r="I16" s="1233"/>
    </row>
    <row r="17" spans="2:13" ht="30" customHeight="1">
      <c r="B17" s="1403"/>
      <c r="C17" s="761" t="s">
        <v>495</v>
      </c>
      <c r="D17" s="761" t="s">
        <v>496</v>
      </c>
      <c r="E17" s="762" t="s">
        <v>497</v>
      </c>
      <c r="F17" s="763" t="s">
        <v>498</v>
      </c>
      <c r="G17" s="1236" t="s">
        <v>474</v>
      </c>
      <c r="H17" s="1094" t="s">
        <v>499</v>
      </c>
    </row>
    <row r="18" spans="2:13" ht="60.9" customHeight="1">
      <c r="B18" s="778" t="s">
        <v>280</v>
      </c>
      <c r="C18" s="756" t="s">
        <v>500</v>
      </c>
      <c r="D18" s="756" t="s">
        <v>501</v>
      </c>
      <c r="E18" s="757" t="s">
        <v>502</v>
      </c>
      <c r="F18" s="758" t="s">
        <v>503</v>
      </c>
      <c r="G18" s="1237" t="s">
        <v>504</v>
      </c>
      <c r="H18" s="1096" t="s">
        <v>505</v>
      </c>
    </row>
    <row r="19" spans="2:13" ht="75.599999999999994">
      <c r="B19" s="779" t="s">
        <v>506</v>
      </c>
      <c r="C19" s="663" t="s">
        <v>507</v>
      </c>
      <c r="D19" s="660" t="s">
        <v>508</v>
      </c>
      <c r="E19" s="661" t="s">
        <v>509</v>
      </c>
      <c r="F19" s="662" t="s">
        <v>510</v>
      </c>
      <c r="G19" s="1238" t="s">
        <v>178</v>
      </c>
      <c r="H19" s="1097" t="s">
        <v>511</v>
      </c>
      <c r="L19" s="532"/>
    </row>
    <row r="20" spans="2:13" ht="33.6" customHeight="1">
      <c r="B20" s="779" t="s">
        <v>196</v>
      </c>
      <c r="C20" s="660" t="s">
        <v>512</v>
      </c>
      <c r="D20" s="660" t="s">
        <v>513</v>
      </c>
      <c r="E20" s="661" t="s">
        <v>514</v>
      </c>
      <c r="F20" s="662" t="s">
        <v>515</v>
      </c>
      <c r="G20" s="1238" t="s">
        <v>178</v>
      </c>
      <c r="H20" s="1097" t="s">
        <v>516</v>
      </c>
    </row>
    <row r="21" spans="2:13" ht="57" customHeight="1">
      <c r="B21" s="1406" t="s">
        <v>517</v>
      </c>
      <c r="C21" s="658" t="s">
        <v>518</v>
      </c>
      <c r="D21" s="658" t="s">
        <v>518</v>
      </c>
      <c r="E21" s="664"/>
      <c r="F21" s="657" t="s">
        <v>519</v>
      </c>
      <c r="G21" s="1230"/>
      <c r="H21" s="904" t="s">
        <v>520</v>
      </c>
    </row>
    <row r="22" spans="2:13" ht="36.9" customHeight="1">
      <c r="B22" s="1407"/>
      <c r="C22" s="1409" t="s">
        <v>521</v>
      </c>
      <c r="D22" s="1409" t="s">
        <v>522</v>
      </c>
      <c r="E22" s="549"/>
      <c r="F22" s="650" t="s">
        <v>523</v>
      </c>
      <c r="G22" s="1413" t="s">
        <v>524</v>
      </c>
      <c r="H22" s="1410" t="s">
        <v>525</v>
      </c>
      <c r="M22" s="527"/>
    </row>
    <row r="23" spans="2:13" ht="34.5" customHeight="1">
      <c r="B23" s="1407"/>
      <c r="C23" s="1409"/>
      <c r="D23" s="1409"/>
      <c r="E23" s="549"/>
      <c r="F23" s="650"/>
      <c r="G23" s="1414"/>
      <c r="H23" s="1410"/>
      <c r="M23" s="527"/>
    </row>
    <row r="24" spans="2:13" ht="26.4" customHeight="1">
      <c r="B24" s="1407"/>
      <c r="C24" s="1409" t="s">
        <v>526</v>
      </c>
      <c r="D24" s="1409" t="s">
        <v>527</v>
      </c>
      <c r="E24" s="549"/>
      <c r="F24" s="650" t="s">
        <v>528</v>
      </c>
      <c r="G24" s="1240" t="s">
        <v>326</v>
      </c>
      <c r="H24" s="1410" t="s">
        <v>529</v>
      </c>
    </row>
    <row r="25" spans="2:13" ht="26.4" customHeight="1">
      <c r="B25" s="1407"/>
      <c r="C25" s="1409"/>
      <c r="D25" s="1409"/>
      <c r="E25" s="549"/>
      <c r="F25" s="650"/>
      <c r="G25" s="1239" t="s">
        <v>239</v>
      </c>
      <c r="H25" s="1410"/>
    </row>
    <row r="26" spans="2:13" ht="37.5" customHeight="1">
      <c r="B26" s="1407"/>
      <c r="C26" s="647" t="s">
        <v>530</v>
      </c>
      <c r="D26" s="647" t="s">
        <v>531</v>
      </c>
      <c r="E26" s="549"/>
      <c r="F26" s="648" t="s">
        <v>532</v>
      </c>
      <c r="G26" s="1241" t="s">
        <v>533</v>
      </c>
      <c r="H26" s="1093" t="s">
        <v>534</v>
      </c>
    </row>
    <row r="27" spans="2:13" ht="46.5" customHeight="1">
      <c r="B27" s="1408"/>
      <c r="C27" s="659" t="s">
        <v>535</v>
      </c>
      <c r="D27" s="659" t="s">
        <v>536</v>
      </c>
      <c r="E27" s="665"/>
      <c r="F27" s="666" t="s">
        <v>537</v>
      </c>
      <c r="G27" s="1231"/>
      <c r="H27" s="905" t="s">
        <v>538</v>
      </c>
    </row>
    <row r="28" spans="2:13">
      <c r="E28" s="464"/>
      <c r="H28" s="772"/>
    </row>
    <row r="29" spans="2:13">
      <c r="E29" s="464"/>
    </row>
  </sheetData>
  <sheetProtection algorithmName="SHA-512" hashValue="Apk9axLNBPoH2Y3r2zmhYZiiyqnQLznHMuAQBE1uKHLslEV6DLZ/a9KedbaylKW1H4Epjyc+5UMojvDqCaR4Ww==" saltValue="StwwsnTXAyGo/ymkNX0Bsg==" spinCount="100000" sheet="1" objects="1" scenarios="1"/>
  <mergeCells count="12">
    <mergeCell ref="H24:H25"/>
    <mergeCell ref="C22:C23"/>
    <mergeCell ref="D22:D23"/>
    <mergeCell ref="H22:H23"/>
    <mergeCell ref="C9:C12"/>
    <mergeCell ref="G22:G23"/>
    <mergeCell ref="B9:B17"/>
    <mergeCell ref="F9:F12"/>
    <mergeCell ref="B21:B27"/>
    <mergeCell ref="B2:F2"/>
    <mergeCell ref="C24:C25"/>
    <mergeCell ref="D24:D25"/>
  </mergeCells>
  <hyperlinks>
    <hyperlink ref="G18" r:id="rId1" display="https://matthey.com/contact-us?assetCategoryIds=&amp;sort=ddm__keyword__232321__Country" xr:uid="{90784D5D-E25B-480A-B107-1751B6F184AB}"/>
    <hyperlink ref="G25" r:id="rId2" xr:uid="{56E27788-FCB8-4905-9EE0-9BB306062DAD}"/>
    <hyperlink ref="G22" r:id="rId3" xr:uid="{EC01C020-7808-4B6D-AB2F-7636701D8CA0}"/>
  </hyperlinks>
  <pageMargins left="0.70866141732283472" right="0.70866141732283472" top="0.74803149606299213" bottom="0.74803149606299213" header="0.31496062992125984" footer="0.31496062992125984"/>
  <pageSetup paperSize="9" scale="60" orientation="landscape" r:id="rId4"/>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pageSetUpPr fitToPage="1"/>
  </sheetPr>
  <dimension ref="B2:T32"/>
  <sheetViews>
    <sheetView zoomScale="80" zoomScaleNormal="80" workbookViewId="0"/>
  </sheetViews>
  <sheetFormatPr defaultColWidth="8.88671875" defaultRowHeight="13.8"/>
  <cols>
    <col min="1" max="1" width="3.88671875" style="64" customWidth="1"/>
    <col min="2" max="2" width="68.6640625" style="64" customWidth="1"/>
    <col min="3" max="3" width="19" style="64" customWidth="1"/>
    <col min="4" max="4" width="16.44140625" style="64" bestFit="1" customWidth="1"/>
    <col min="5" max="5" width="15.109375" style="64" bestFit="1" customWidth="1"/>
    <col min="6" max="6" width="14" style="64" customWidth="1"/>
    <col min="7" max="7" width="16.33203125" style="64" customWidth="1"/>
    <col min="8" max="8" width="12.33203125" style="64" customWidth="1"/>
    <col min="9" max="9" width="14.33203125" style="64" customWidth="1"/>
    <col min="10" max="10" width="14.6640625" style="64" customWidth="1"/>
    <col min="11" max="11" width="12.44140625" style="64" customWidth="1"/>
    <col min="12" max="12" width="12.88671875" style="64" customWidth="1"/>
    <col min="13" max="13" width="17" style="64" customWidth="1"/>
    <col min="14" max="14" width="12.44140625" style="64" customWidth="1"/>
    <col min="15" max="15" width="13.109375" style="64" customWidth="1"/>
    <col min="16" max="16" width="15" style="64" bestFit="1" customWidth="1"/>
    <col min="17" max="17" width="14.44140625" style="64" customWidth="1"/>
    <col min="18" max="18" width="12.5546875" style="64" customWidth="1"/>
    <col min="19" max="16384" width="8.88671875" style="64"/>
  </cols>
  <sheetData>
    <row r="2" spans="2:20" ht="24.6">
      <c r="B2" s="1053" t="s">
        <v>539</v>
      </c>
      <c r="C2" s="1053"/>
      <c r="D2" s="1053"/>
    </row>
    <row r="3" spans="2:20">
      <c r="B3" s="901"/>
      <c r="C3" s="901"/>
      <c r="D3" s="901"/>
    </row>
    <row r="4" spans="2:20" ht="3" customHeight="1">
      <c r="B4" s="1415" t="s">
        <v>540</v>
      </c>
      <c r="C4" s="1416"/>
      <c r="D4" s="1416"/>
      <c r="E4" s="1416"/>
      <c r="F4" s="1416"/>
      <c r="G4" s="1416"/>
      <c r="H4" s="1416"/>
      <c r="I4" s="1416"/>
      <c r="J4" s="1416"/>
      <c r="K4" s="1416"/>
      <c r="L4" s="1416"/>
      <c r="M4" s="1416"/>
      <c r="N4" s="1416"/>
      <c r="O4" s="1416"/>
      <c r="P4" s="1416"/>
      <c r="Q4" s="1416"/>
      <c r="R4" s="1416"/>
    </row>
    <row r="5" spans="2:20" ht="13.5" customHeight="1">
      <c r="B5" s="1416"/>
      <c r="C5" s="1416"/>
      <c r="D5" s="1416"/>
      <c r="E5" s="1416"/>
      <c r="F5" s="1416"/>
      <c r="G5" s="1416"/>
      <c r="H5" s="1416"/>
      <c r="I5" s="1416"/>
      <c r="J5" s="1416"/>
      <c r="K5" s="1416"/>
      <c r="L5" s="1416"/>
      <c r="M5" s="1416"/>
      <c r="N5" s="1416"/>
      <c r="O5" s="1416"/>
      <c r="P5" s="1416"/>
      <c r="Q5" s="1416"/>
      <c r="R5" s="1416"/>
    </row>
    <row r="6" spans="2:20" ht="81.900000000000006" customHeight="1">
      <c r="B6" s="1416"/>
      <c r="C6" s="1416"/>
      <c r="D6" s="1416"/>
      <c r="E6" s="1416"/>
      <c r="F6" s="1416"/>
      <c r="G6" s="1416"/>
      <c r="H6" s="1416"/>
      <c r="I6" s="1416"/>
      <c r="J6" s="1416"/>
      <c r="K6" s="1416"/>
      <c r="L6" s="1416"/>
      <c r="M6" s="1416"/>
      <c r="N6" s="1416"/>
      <c r="O6" s="1416"/>
      <c r="P6" s="1416"/>
      <c r="Q6" s="1416"/>
      <c r="R6" s="1416"/>
    </row>
    <row r="7" spans="2:20">
      <c r="B7" s="10" t="s">
        <v>541</v>
      </c>
      <c r="C7" s="14"/>
      <c r="D7" s="14"/>
    </row>
    <row r="8" spans="2:20">
      <c r="B8" s="11" t="s">
        <v>542</v>
      </c>
      <c r="C8" s="14"/>
      <c r="D8" s="14"/>
    </row>
    <row r="9" spans="2:20">
      <c r="B9" s="11"/>
      <c r="C9" s="14"/>
      <c r="D9" s="14"/>
    </row>
    <row r="10" spans="2:20" ht="13.5" customHeight="1">
      <c r="B10" s="1427" t="s">
        <v>543</v>
      </c>
      <c r="C10" s="1428" t="s">
        <v>544</v>
      </c>
      <c r="D10" s="1424" t="s">
        <v>545</v>
      </c>
      <c r="E10" s="1425"/>
      <c r="F10" s="1426"/>
      <c r="G10" s="1417" t="s">
        <v>546</v>
      </c>
      <c r="H10" s="1418"/>
      <c r="I10" s="1419"/>
      <c r="J10" s="1417" t="s">
        <v>547</v>
      </c>
      <c r="K10" s="1418"/>
      <c r="L10" s="1419"/>
      <c r="M10" s="1417" t="s">
        <v>548</v>
      </c>
      <c r="N10" s="1418"/>
      <c r="O10" s="1419"/>
      <c r="P10" s="1417" t="s">
        <v>549</v>
      </c>
      <c r="Q10" s="1418"/>
      <c r="R10" s="1419"/>
    </row>
    <row r="11" spans="2:20">
      <c r="B11" s="1427"/>
      <c r="C11" s="1428"/>
      <c r="D11" s="926" t="s">
        <v>550</v>
      </c>
      <c r="E11" s="926" t="s">
        <v>551</v>
      </c>
      <c r="F11" s="926" t="s">
        <v>552</v>
      </c>
      <c r="G11" s="926" t="s">
        <v>550</v>
      </c>
      <c r="H11" s="926" t="s">
        <v>551</v>
      </c>
      <c r="I11" s="926" t="s">
        <v>552</v>
      </c>
      <c r="J11" s="926" t="s">
        <v>550</v>
      </c>
      <c r="K11" s="926" t="s">
        <v>551</v>
      </c>
      <c r="L11" s="926" t="s">
        <v>552</v>
      </c>
      <c r="M11" s="926" t="s">
        <v>550</v>
      </c>
      <c r="N11" s="926" t="s">
        <v>551</v>
      </c>
      <c r="O11" s="926" t="s">
        <v>552</v>
      </c>
      <c r="P11" s="926" t="s">
        <v>550</v>
      </c>
      <c r="Q11" s="926" t="s">
        <v>551</v>
      </c>
      <c r="R11" s="926" t="s">
        <v>552</v>
      </c>
    </row>
    <row r="12" spans="2:20" ht="18.600000000000001">
      <c r="B12" s="626" t="s">
        <v>472</v>
      </c>
      <c r="C12" s="823" t="s">
        <v>553</v>
      </c>
      <c r="D12" s="922">
        <v>215429</v>
      </c>
      <c r="E12" s="922">
        <v>103022</v>
      </c>
      <c r="F12" s="922">
        <f>D12-E12</f>
        <v>112407</v>
      </c>
      <c r="G12" s="627">
        <v>215368</v>
      </c>
      <c r="H12" s="627">
        <v>102084</v>
      </c>
      <c r="I12" s="627">
        <f>G12-H12</f>
        <v>113284</v>
      </c>
      <c r="J12" s="627">
        <v>226536</v>
      </c>
      <c r="K12" s="627">
        <v>104922</v>
      </c>
      <c r="L12" s="627">
        <f>J12-K12</f>
        <v>121614</v>
      </c>
      <c r="M12" s="627">
        <v>229356</v>
      </c>
      <c r="N12" s="627">
        <v>114568</v>
      </c>
      <c r="O12" s="627">
        <f>M12-N12</f>
        <v>114788</v>
      </c>
      <c r="P12" s="627">
        <v>228143</v>
      </c>
      <c r="Q12" s="627">
        <v>110387</v>
      </c>
      <c r="R12" s="627">
        <f>P12-Q12</f>
        <v>117756</v>
      </c>
      <c r="S12" s="96"/>
      <c r="T12" s="96"/>
    </row>
    <row r="13" spans="2:20" ht="18.600000000000001">
      <c r="B13" s="626" t="s">
        <v>475</v>
      </c>
      <c r="C13" s="823" t="s">
        <v>553</v>
      </c>
      <c r="D13" s="922">
        <v>66974</v>
      </c>
      <c r="E13" s="922">
        <v>634</v>
      </c>
      <c r="F13" s="922">
        <f>D13-E13</f>
        <v>66340</v>
      </c>
      <c r="G13" s="627">
        <v>129542</v>
      </c>
      <c r="H13" s="627">
        <v>1024</v>
      </c>
      <c r="I13" s="627">
        <f>G13-H13</f>
        <v>128518</v>
      </c>
      <c r="J13" s="627">
        <v>168715</v>
      </c>
      <c r="K13" s="627">
        <v>1265</v>
      </c>
      <c r="L13" s="627">
        <f>J13-K13</f>
        <v>167450</v>
      </c>
      <c r="M13" s="627">
        <v>167529</v>
      </c>
      <c r="N13" s="627">
        <v>3969</v>
      </c>
      <c r="O13" s="627">
        <f>M13-N13</f>
        <v>163560</v>
      </c>
      <c r="P13" s="627">
        <v>177627</v>
      </c>
      <c r="Q13" s="627">
        <v>3761</v>
      </c>
      <c r="R13" s="627">
        <f>P13-Q13</f>
        <v>173866</v>
      </c>
      <c r="S13" s="96"/>
      <c r="T13" s="96"/>
    </row>
    <row r="14" spans="2:20" ht="18.600000000000001">
      <c r="B14" s="626" t="s">
        <v>554</v>
      </c>
      <c r="C14" s="823" t="s">
        <v>553</v>
      </c>
      <c r="D14" s="922">
        <v>196812</v>
      </c>
      <c r="E14" s="922">
        <v>21677</v>
      </c>
      <c r="F14" s="922">
        <f>D14-E14</f>
        <v>175135</v>
      </c>
      <c r="G14" s="627">
        <v>204018</v>
      </c>
      <c r="H14" s="627">
        <v>21710</v>
      </c>
      <c r="I14" s="627">
        <f>G14-H14</f>
        <v>182308</v>
      </c>
      <c r="J14" s="627">
        <v>225058</v>
      </c>
      <c r="K14" s="627">
        <v>24705</v>
      </c>
      <c r="L14" s="627">
        <f>J14-K14</f>
        <v>200353</v>
      </c>
      <c r="M14" s="627">
        <v>207296</v>
      </c>
      <c r="N14" s="627">
        <v>29487</v>
      </c>
      <c r="O14" s="627">
        <f>M14-N14</f>
        <v>177809</v>
      </c>
      <c r="P14" s="627">
        <v>228885</v>
      </c>
      <c r="Q14" s="627">
        <v>34441</v>
      </c>
      <c r="R14" s="627">
        <f>P14-Q14</f>
        <v>194444</v>
      </c>
      <c r="S14" s="96"/>
      <c r="T14" s="96"/>
    </row>
    <row r="15" spans="2:20" ht="18.600000000000001">
      <c r="B15" s="628" t="s">
        <v>555</v>
      </c>
      <c r="C15" s="824" t="s">
        <v>556</v>
      </c>
      <c r="D15" s="922">
        <v>282403</v>
      </c>
      <c r="E15" s="922">
        <v>103656</v>
      </c>
      <c r="F15" s="922">
        <f>D15-E15</f>
        <v>178747</v>
      </c>
      <c r="G15" s="627">
        <v>344910</v>
      </c>
      <c r="H15" s="627">
        <v>103108</v>
      </c>
      <c r="I15" s="627">
        <f>G15-H15</f>
        <v>241802</v>
      </c>
      <c r="J15" s="627">
        <v>395251</v>
      </c>
      <c r="K15" s="627">
        <v>106187</v>
      </c>
      <c r="L15" s="627">
        <f>J15-K15</f>
        <v>289064</v>
      </c>
      <c r="M15" s="627">
        <v>396885</v>
      </c>
      <c r="N15" s="627">
        <v>118537</v>
      </c>
      <c r="O15" s="627">
        <f>M15-N15</f>
        <v>278348</v>
      </c>
      <c r="P15" s="627">
        <v>405770</v>
      </c>
      <c r="Q15" s="627">
        <v>114149</v>
      </c>
      <c r="R15" s="627">
        <f>P15-Q15</f>
        <v>291621</v>
      </c>
      <c r="S15" s="96"/>
      <c r="T15" s="96"/>
    </row>
    <row r="16" spans="2:20" ht="18.600000000000001">
      <c r="B16" s="626" t="s">
        <v>557</v>
      </c>
      <c r="C16" s="823" t="s">
        <v>553</v>
      </c>
      <c r="D16" s="922">
        <v>412241</v>
      </c>
      <c r="E16" s="922">
        <v>124699</v>
      </c>
      <c r="F16" s="922">
        <f>D16-E16</f>
        <v>287542</v>
      </c>
      <c r="G16" s="627">
        <v>419386</v>
      </c>
      <c r="H16" s="627">
        <v>123795</v>
      </c>
      <c r="I16" s="627">
        <f>G16-H16</f>
        <v>295591</v>
      </c>
      <c r="J16" s="627">
        <v>451594</v>
      </c>
      <c r="K16" s="627">
        <v>129627</v>
      </c>
      <c r="L16" s="627">
        <f>J16-K16</f>
        <v>321967</v>
      </c>
      <c r="M16" s="627">
        <v>436652</v>
      </c>
      <c r="N16" s="627">
        <v>144055</v>
      </c>
      <c r="O16" s="627">
        <f>M16-N16</f>
        <v>292597</v>
      </c>
      <c r="P16" s="627">
        <v>457027</v>
      </c>
      <c r="Q16" s="627">
        <v>144828</v>
      </c>
      <c r="R16" s="627">
        <f>P16-Q16</f>
        <v>312199</v>
      </c>
      <c r="S16" s="96"/>
      <c r="T16" s="96"/>
    </row>
    <row r="17" spans="2:20" ht="49.5" customHeight="1">
      <c r="B17" s="628" t="s">
        <v>558</v>
      </c>
      <c r="C17" s="825" t="s">
        <v>559</v>
      </c>
      <c r="D17" s="1070">
        <v>2.6</v>
      </c>
      <c r="E17" s="1070">
        <v>21.6</v>
      </c>
      <c r="F17" s="1070">
        <v>1.1000000000000001</v>
      </c>
      <c r="G17" s="1088">
        <v>3.19</v>
      </c>
      <c r="H17" s="1088">
        <v>22.7</v>
      </c>
      <c r="I17" s="1088">
        <v>2.2999999999999998</v>
      </c>
      <c r="J17" s="1088">
        <v>3.61</v>
      </c>
      <c r="K17" s="1088">
        <v>20.2</v>
      </c>
      <c r="L17" s="1088">
        <v>2.8</v>
      </c>
      <c r="M17" s="1088">
        <v>3.74</v>
      </c>
      <c r="N17" s="1088">
        <v>12.1</v>
      </c>
      <c r="O17" s="1088">
        <v>2.9</v>
      </c>
      <c r="P17" s="1088">
        <v>3.59</v>
      </c>
      <c r="Q17" s="1088">
        <v>4.7</v>
      </c>
      <c r="R17" s="1088">
        <v>3.3</v>
      </c>
      <c r="S17" s="96"/>
      <c r="T17" s="96"/>
    </row>
    <row r="18" spans="2:20">
      <c r="S18" s="96"/>
      <c r="T18" s="96"/>
    </row>
    <row r="19" spans="2:20" ht="40.5" customHeight="1">
      <c r="B19" s="1420" t="s">
        <v>560</v>
      </c>
      <c r="C19" s="1422" t="s">
        <v>544</v>
      </c>
      <c r="D19" s="1424" t="s">
        <v>545</v>
      </c>
      <c r="E19" s="1425"/>
      <c r="F19" s="1426"/>
      <c r="G19" s="1417" t="s">
        <v>546</v>
      </c>
      <c r="H19" s="1418"/>
      <c r="I19" s="1419"/>
      <c r="J19" s="1417" t="s">
        <v>547</v>
      </c>
      <c r="K19" s="1418"/>
      <c r="L19" s="1419"/>
      <c r="M19" s="1417" t="s">
        <v>548</v>
      </c>
      <c r="N19" s="1418"/>
      <c r="O19" s="1419"/>
      <c r="P19" s="1417" t="s">
        <v>549</v>
      </c>
      <c r="Q19" s="1418"/>
      <c r="R19" s="1419"/>
      <c r="S19" s="96"/>
      <c r="T19" s="96"/>
    </row>
    <row r="20" spans="2:20">
      <c r="B20" s="1421"/>
      <c r="C20" s="1423"/>
      <c r="D20" s="926" t="s">
        <v>550</v>
      </c>
      <c r="E20" s="926" t="s">
        <v>551</v>
      </c>
      <c r="F20" s="926" t="s">
        <v>552</v>
      </c>
      <c r="G20" s="926" t="s">
        <v>550</v>
      </c>
      <c r="H20" s="926" t="s">
        <v>551</v>
      </c>
      <c r="I20" s="926" t="s">
        <v>552</v>
      </c>
      <c r="J20" s="926" t="s">
        <v>550</v>
      </c>
      <c r="K20" s="926" t="s">
        <v>551</v>
      </c>
      <c r="L20" s="926" t="s">
        <v>552</v>
      </c>
      <c r="M20" s="926" t="s">
        <v>550</v>
      </c>
      <c r="N20" s="926" t="s">
        <v>551</v>
      </c>
      <c r="O20" s="926" t="s">
        <v>552</v>
      </c>
      <c r="P20" s="926" t="s">
        <v>550</v>
      </c>
      <c r="Q20" s="926" t="s">
        <v>551</v>
      </c>
      <c r="R20" s="926" t="s">
        <v>552</v>
      </c>
      <c r="S20" s="96"/>
      <c r="T20" s="96"/>
    </row>
    <row r="21" spans="2:20" ht="16.2">
      <c r="B21" s="619" t="s">
        <v>561</v>
      </c>
      <c r="C21" s="832" t="s">
        <v>562</v>
      </c>
      <c r="D21" s="673">
        <v>1211683</v>
      </c>
      <c r="E21" s="673">
        <v>348473</v>
      </c>
      <c r="F21" s="673">
        <f>D21-E21</f>
        <v>863210</v>
      </c>
      <c r="G21" s="620">
        <v>1208836</v>
      </c>
      <c r="H21" s="1074">
        <v>337748</v>
      </c>
      <c r="I21" s="620">
        <f>G21-H21</f>
        <v>871088</v>
      </c>
      <c r="J21" s="620">
        <v>1275821</v>
      </c>
      <c r="K21" s="1074">
        <v>371401</v>
      </c>
      <c r="L21" s="620">
        <f>J21-K21</f>
        <v>904420</v>
      </c>
      <c r="M21" s="620">
        <v>1204571</v>
      </c>
      <c r="N21" s="1074">
        <v>387584</v>
      </c>
      <c r="O21" s="620">
        <f>M21-N21</f>
        <v>816987</v>
      </c>
      <c r="P21" s="620">
        <v>1236160</v>
      </c>
      <c r="Q21" s="1074">
        <v>375505</v>
      </c>
      <c r="R21" s="620">
        <f>P21-Q21</f>
        <v>860655</v>
      </c>
      <c r="S21" s="96"/>
      <c r="T21" s="141"/>
    </row>
    <row r="22" spans="2:20" ht="16.2">
      <c r="B22" s="619" t="s">
        <v>563</v>
      </c>
      <c r="C22" s="833" t="s">
        <v>564</v>
      </c>
      <c r="D22" s="674">
        <v>11.23</v>
      </c>
      <c r="E22" s="674">
        <f>E21/4803</f>
        <v>72.55319591921716</v>
      </c>
      <c r="F22" s="674">
        <f>F21/103097</f>
        <v>8.3727945527027945</v>
      </c>
      <c r="G22" s="621">
        <v>11.18</v>
      </c>
      <c r="H22" s="621">
        <v>74.3</v>
      </c>
      <c r="I22" s="621">
        <v>8.4</v>
      </c>
      <c r="J22" s="621">
        <v>11.65</v>
      </c>
      <c r="K22" s="621">
        <v>70.599999999999994</v>
      </c>
      <c r="L22" s="621">
        <v>8.6999999999999993</v>
      </c>
      <c r="M22" s="621">
        <v>11.34</v>
      </c>
      <c r="N22" s="621">
        <v>39.4</v>
      </c>
      <c r="O22" s="621">
        <v>8.5</v>
      </c>
      <c r="P22" s="621">
        <v>10.92</v>
      </c>
      <c r="Q22" s="621">
        <v>15.4</v>
      </c>
      <c r="R22" s="621">
        <v>9.6999999999999993</v>
      </c>
      <c r="S22" s="96"/>
      <c r="T22" s="141"/>
    </row>
    <row r="23" spans="2:20">
      <c r="T23" s="1206"/>
    </row>
    <row r="25" spans="2:20">
      <c r="H25" s="135"/>
    </row>
    <row r="26" spans="2:20">
      <c r="G26" s="324"/>
      <c r="H26" s="324"/>
      <c r="I26" s="324"/>
      <c r="J26" s="324"/>
      <c r="K26" s="324"/>
      <c r="L26" s="324"/>
      <c r="M26" s="324"/>
      <c r="N26" s="324"/>
      <c r="O26" s="324"/>
      <c r="P26" s="324"/>
      <c r="Q26" s="324"/>
      <c r="R26" s="324"/>
    </row>
    <row r="27" spans="2:20">
      <c r="E27" s="135"/>
    </row>
    <row r="29" spans="2:20" ht="20.399999999999999" customHeight="1"/>
    <row r="32" spans="2:20" ht="20.399999999999999" customHeight="1"/>
  </sheetData>
  <sheetProtection algorithmName="SHA-512" hashValue="BoNrp7tGKYeA6pcKpvWb/k4a+aex0RmCZR9S2kvPFRiE4IgpzdSv8qrh8X2ovS0Lv5yR1WqY0J5mrlSUK5P6NA==" saltValue="k3FQesjCFEzzGRGYZh6qtQ==" spinCount="100000" sheet="1" objects="1" scenarios="1"/>
  <mergeCells count="15">
    <mergeCell ref="B4:R6"/>
    <mergeCell ref="P10:R10"/>
    <mergeCell ref="B19:B20"/>
    <mergeCell ref="C19:C20"/>
    <mergeCell ref="D19:F19"/>
    <mergeCell ref="G19:I19"/>
    <mergeCell ref="J19:L19"/>
    <mergeCell ref="M19:O19"/>
    <mergeCell ref="P19:R19"/>
    <mergeCell ref="B10:B11"/>
    <mergeCell ref="C10:C11"/>
    <mergeCell ref="D10:F10"/>
    <mergeCell ref="G10:I10"/>
    <mergeCell ref="J10:L10"/>
    <mergeCell ref="M10:O10"/>
  </mergeCells>
  <pageMargins left="0.70866141732283472" right="0.70866141732283472" top="0.74803149606299213" bottom="0.74803149606299213" header="0.31496062992125984" footer="0.31496062992125984"/>
  <pageSetup paperSize="9" scale="8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6BC3519A9821459CAE9896547791FC" ma:contentTypeVersion="14" ma:contentTypeDescription="Create a new document." ma:contentTypeScope="" ma:versionID="72365b406da037298a3a196f4295a1f8">
  <xsd:schema xmlns:xsd="http://www.w3.org/2001/XMLSchema" xmlns:xs="http://www.w3.org/2001/XMLSchema" xmlns:p="http://schemas.microsoft.com/office/2006/metadata/properties" xmlns:ns2="f98cb1f0-f958-4ba5-84d3-07d8d0011955" xmlns:ns3="d6e49cbe-523e-4e8b-8e1c-da176b91bea9" targetNamespace="http://schemas.microsoft.com/office/2006/metadata/properties" ma:root="true" ma:fieldsID="dcb5c20d294207a73a2c37caadfb4f59" ns2:_="" ns3:_="">
    <xsd:import namespace="f98cb1f0-f958-4ba5-84d3-07d8d0011955"/>
    <xsd:import namespace="d6e49cbe-523e-4e8b-8e1c-da176b91bea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cb1f0-f958-4ba5-84d3-07d8d00119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49cbe-523e-4e8b-8e1c-da176b91bea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846ceb5-f36c-4446-8084-88738c5e6936}" ma:internalName="TaxCatchAll" ma:showField="CatchAllData" ma:web="d6e49cbe-523e-4e8b-8e1c-da176b91b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e49cbe-523e-4e8b-8e1c-da176b91bea9" xsi:nil="true"/>
    <lcf76f155ced4ddcb4097134ff3c332f xmlns="f98cb1f0-f958-4ba5-84d3-07d8d0011955">
      <Terms xmlns="http://schemas.microsoft.com/office/infopath/2007/PartnerControls"/>
    </lcf76f155ced4ddcb4097134ff3c332f>
    <SharedWithUsers xmlns="d6e49cbe-523e-4e8b-8e1c-da176b91bea9">
      <UserInfo>
        <DisplayName>Ben Leach</DisplayName>
        <AccountId>113</AccountId>
        <AccountType/>
      </UserInfo>
      <UserInfo>
        <DisplayName>Ellen Briggs-Coquio</DisplayName>
        <AccountId>155</AccountId>
        <AccountType/>
      </UserInfo>
    </SharedWithUsers>
  </documentManagement>
</p:properties>
</file>

<file path=customXml/itemProps1.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2.xml><?xml version="1.0" encoding="utf-8"?>
<ds:datastoreItem xmlns:ds="http://schemas.openxmlformats.org/officeDocument/2006/customXml" ds:itemID="{5A32299D-13F5-489A-99C8-DD298AF5A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cb1f0-f958-4ba5-84d3-07d8d0011955"/>
    <ds:schemaRef ds:uri="d6e49cbe-523e-4e8b-8e1c-da176b91b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1BA9B-8476-4E9B-98B4-E64B30113A62}">
  <ds:schemaRefs>
    <ds:schemaRef ds:uri="http://schemas.microsoft.com/office/2006/metadata/properties"/>
    <ds:schemaRef ds:uri="http://schemas.microsoft.com/office/infopath/2007/PartnerControls"/>
    <ds:schemaRef ds:uri="d6e49cbe-523e-4e8b-8e1c-da176b91bea9"/>
    <ds:schemaRef ds:uri="f98cb1f0-f958-4ba5-84d3-07d8d00119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Cover</vt:lpstr>
      <vt:lpstr>Home</vt:lpstr>
      <vt:lpstr>Contents</vt:lpstr>
      <vt:lpstr>Material Topics</vt:lpstr>
      <vt:lpstr>GRI Content index in accordance</vt:lpstr>
      <vt:lpstr>SASB Index</vt:lpstr>
      <vt:lpstr>TCFD Compliance Table</vt:lpstr>
      <vt:lpstr>PAI statement</vt:lpstr>
      <vt:lpstr>UK SECR</vt:lpstr>
      <vt:lpstr>ERM CVS assured metrics</vt:lpstr>
      <vt:lpstr>2030 targets</vt:lpstr>
      <vt:lpstr>Environment (pre-divest Data)</vt:lpstr>
      <vt:lpstr>Environment</vt:lpstr>
      <vt:lpstr>People</vt:lpstr>
      <vt:lpstr>Health and Safety</vt:lpstr>
      <vt:lpstr>Ethics and Compliance</vt:lpstr>
      <vt:lpstr>Community Investment</vt:lpstr>
      <vt:lpstr>Responsible Sourcing</vt:lpstr>
      <vt:lpstr>Environment (original)</vt:lpstr>
      <vt:lpstr>People (Internal)</vt:lpstr>
      <vt:lpstr>'2030 targets'!Print_Area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'Responsible Sourcing'!Print_Area</vt:lpstr>
      <vt:lpstr>'SASB Index'!Print_Area</vt:lpstr>
      <vt:lpstr>'TCFD Compliance Table'!Print_Area</vt:lpstr>
      <vt:lpstr>'UK SECR'!Print_Area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Gayner</dc:creator>
  <cp:keywords/>
  <dc:description/>
  <cp:lastModifiedBy>Ellen Briggs-Coquio</cp:lastModifiedBy>
  <cp:revision/>
  <dcterms:created xsi:type="dcterms:W3CDTF">2022-08-26T08:41:21Z</dcterms:created>
  <dcterms:modified xsi:type="dcterms:W3CDTF">2025-06-11T17:32:06Z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0x010100476BC3519A9821459CAE9896547791FC</vt:lpwstr>
  </property>
  <property fmtid="{D5CDD505-2E9C-101B-9397-08002B2CF9AE}" pid="17" name="MediaServiceImageTags">
    <vt:lpwstr/>
  </property>
</Properties>
</file>