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5.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9.xml" ContentType="application/vnd.openxmlformats-officedocument.spreadsheetml.comments+xml"/>
  <Override PartName="/xl/threadedComments/threadedComment3.xml" ContentType="application/vnd.ms-excel.threaded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3.xml" ContentType="application/vnd.openxmlformats-officedocument.drawing+xml"/>
  <Override PartName="/xl/comments10.xml" ContentType="application/vnd.openxmlformats-officedocument.spreadsheetml.comments+xml"/>
  <Override PartName="/xl/threadedComments/threadedComment4.xml" ContentType="application/vnd.ms-excel.threaded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myjm.sharepoint.com/sites/GRP-GBCO-AnnualReport2025/Shared Documents/Sustainability/Sustainability Performance Databook/"/>
    </mc:Choice>
  </mc:AlternateContent>
  <xr:revisionPtr revIDLastSave="0" documentId="14_{EFCE9621-481E-441A-8E45-75F00829FDD7}" xr6:coauthVersionLast="47" xr6:coauthVersionMax="47" xr10:uidLastSave="{00000000-0000-0000-0000-000000000000}"/>
  <workbookProtection workbookAlgorithmName="SHA-512" workbookHashValue="p1vcLB7an9q2dsbebiGFZKuTN01qxLW61NopbTMOIRPaRNwE7sRdUJ8R61Gw+nVfBob58QJqesRKJiIDk5hS7g==" workbookSaltValue="P1+sGziFv2TB6MyQDcsJlQ==" workbookSpinCount="100000" lockStructure="1"/>
  <bookViews>
    <workbookView xWindow="28680" yWindow="-120" windowWidth="21840" windowHeight="13020" tabRatio="707" activeTab="12" xr2:uid="{9DF090DB-5E5B-4E20-A9EE-1CAEF866F515}"/>
  </bookViews>
  <sheets>
    <sheet name="Cover" sheetId="5" r:id="rId1"/>
    <sheet name="Home" sheetId="4" r:id="rId2"/>
    <sheet name="Contents" sheetId="11" r:id="rId3"/>
    <sheet name="Material Topics" sheetId="20" r:id="rId4"/>
    <sheet name="GRI Content index in accordance" sheetId="15" r:id="rId5"/>
    <sheet name="SASB Index" sheetId="13" r:id="rId6"/>
    <sheet name="TCFD Compliance Table" sheetId="12" r:id="rId7"/>
    <sheet name="PAI statement" sheetId="2" r:id="rId8"/>
    <sheet name="UK SECR" sheetId="28" r:id="rId9"/>
    <sheet name="ERM CVS assured metrics" sheetId="18" r:id="rId10"/>
    <sheet name="2030 targets" sheetId="19" r:id="rId11"/>
    <sheet name="UN SDGs" sheetId="29" r:id="rId12"/>
    <sheet name="Environment" sheetId="21" r:id="rId13"/>
    <sheet name="Environment (pre-divest Data)" sheetId="3" state="hidden" r:id="rId14"/>
    <sheet name="People" sheetId="23" r:id="rId15"/>
    <sheet name="Health and Safety" sheetId="6" r:id="rId16"/>
    <sheet name="Ethics and Compliance" sheetId="10" r:id="rId17"/>
    <sheet name="Community Investment" sheetId="8" r:id="rId18"/>
    <sheet name="Responsible Sourcing" sheetId="16" r:id="rId19"/>
    <sheet name="Product Stewardship" sheetId="32" r:id="rId20"/>
    <sheet name="Basis of Reporting" sheetId="30" r:id="rId21"/>
    <sheet name="Environment (original)" sheetId="14" state="hidden" r:id="rId22"/>
    <sheet name="People (Internal)" sheetId="22" state="hidden" r:id="rId23"/>
  </sheets>
  <definedNames>
    <definedName name="_xlnm.Print_Area" localSheetId="10">'2030 targets'!$B$2:$P$32</definedName>
    <definedName name="_xlnm.Print_Area" localSheetId="17">'Community Investment'!$B$1:$I$22</definedName>
    <definedName name="_xlnm.Print_Area" localSheetId="2">Contents!$A$1:$E$21</definedName>
    <definedName name="_xlnm.Print_Area" localSheetId="0">Cover!$A$1:$P$34</definedName>
    <definedName name="_xlnm.Print_Area" localSheetId="12">Environment!$B$2:$J$163</definedName>
    <definedName name="_xlnm.Print_Area" localSheetId="9">'ERM CVS assured metrics'!$A$2:$D$54</definedName>
    <definedName name="_xlnm.Print_Area" localSheetId="16">'Ethics and Compliance'!$E$1:$P$31</definedName>
    <definedName name="_xlnm.Print_Area" localSheetId="4">'GRI Content index in accordance'!$B$2:$I$234</definedName>
    <definedName name="_xlnm.Print_Area" localSheetId="15">'Health and Safety'!$B$2:$T$40</definedName>
    <definedName name="_xlnm.Print_Area" localSheetId="1">Home!$A$2:$K$23</definedName>
    <definedName name="_xlnm.Print_Area" localSheetId="3">'Material Topics'!$B$1:$Q$17</definedName>
    <definedName name="_xlnm.Print_Area" localSheetId="7">'PAI statement'!$B$2:$H$27</definedName>
    <definedName name="_xlnm.Print_Area" localSheetId="14">People!$B$1:$AB$149</definedName>
    <definedName name="_xlnm.Print_Area" localSheetId="19">'Product Stewardship'!$B$1:$K$10</definedName>
    <definedName name="_xlnm.Print_Area" localSheetId="18">'Responsible Sourcing'!$B$1:$L$20</definedName>
    <definedName name="_xlnm.Print_Area" localSheetId="5">'SASB Index'!$A$1:$E$38</definedName>
    <definedName name="_xlnm.Print_Area" localSheetId="6">'TCFD Compliance Table'!$B$2:$D$21</definedName>
    <definedName name="_xlnm.Print_Area" localSheetId="8">'UK SECR'!$A$1:$E$33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7" i="21" l="1"/>
  <c r="G147" i="21"/>
  <c r="H147" i="21"/>
  <c r="I147" i="21"/>
  <c r="E147" i="21"/>
  <c r="D147" i="21"/>
  <c r="D45" i="18"/>
  <c r="D49" i="18"/>
  <c r="D50" i="18"/>
  <c r="D51" i="18"/>
  <c r="D52" i="18"/>
  <c r="D53" i="18"/>
  <c r="D54" i="18"/>
  <c r="D55" i="18"/>
  <c r="D41" i="18"/>
  <c r="D42" i="18"/>
  <c r="D43" i="18"/>
  <c r="D44" i="18"/>
  <c r="D46" i="18"/>
  <c r="D47" i="18"/>
  <c r="D48" i="18"/>
  <c r="D33" i="18"/>
  <c r="D34" i="18"/>
  <c r="D35" i="18"/>
  <c r="D36" i="18"/>
  <c r="D37" i="18"/>
  <c r="D38" i="18"/>
  <c r="D39" i="18"/>
  <c r="D17" i="18"/>
  <c r="D18" i="18"/>
  <c r="D19" i="18"/>
  <c r="D21" i="18"/>
  <c r="D22" i="18"/>
  <c r="D23" i="18"/>
  <c r="D24" i="18"/>
  <c r="D25" i="18"/>
  <c r="D26" i="18"/>
  <c r="D27" i="18"/>
  <c r="D28" i="18"/>
  <c r="D29" i="18"/>
  <c r="D30" i="18"/>
  <c r="D31" i="18"/>
  <c r="D32" i="18"/>
  <c r="D8" i="18"/>
  <c r="D9" i="18"/>
  <c r="D10" i="18"/>
  <c r="D11" i="18"/>
  <c r="D14" i="18"/>
  <c r="D15" i="18"/>
  <c r="D16" i="18"/>
  <c r="AA34" i="23" l="1"/>
  <c r="G36" i="21"/>
  <c r="F36" i="21"/>
  <c r="E36" i="21"/>
  <c r="E35" i="21"/>
  <c r="E34" i="21"/>
  <c r="D35" i="21"/>
  <c r="D34" i="21"/>
  <c r="H39" i="21"/>
  <c r="I39" i="21"/>
  <c r="H40" i="21"/>
  <c r="I40" i="21"/>
  <c r="F39" i="21"/>
  <c r="G39" i="21"/>
  <c r="F40" i="21"/>
  <c r="G40" i="21"/>
  <c r="E40" i="21"/>
  <c r="E39" i="21"/>
  <c r="D40" i="21"/>
  <c r="D39" i="21"/>
  <c r="D41" i="21"/>
  <c r="I22" i="28"/>
  <c r="E28" i="28" l="1"/>
  <c r="D22" i="28"/>
  <c r="AA31" i="23"/>
  <c r="Y37" i="23"/>
  <c r="Y34" i="23"/>
  <c r="Y35" i="23"/>
  <c r="Y36" i="23"/>
  <c r="Y33" i="23"/>
  <c r="Y31" i="23"/>
  <c r="S41" i="23" l="1"/>
  <c r="W37" i="23"/>
  <c r="W36" i="23"/>
  <c r="W33" i="23"/>
  <c r="W32" i="23"/>
  <c r="W31" i="23"/>
  <c r="K27" i="6"/>
  <c r="D104" i="21" l="1"/>
  <c r="D16" i="28"/>
  <c r="E15" i="28"/>
  <c r="D15" i="28"/>
  <c r="D13" i="28"/>
  <c r="D12" i="28"/>
  <c r="H31" i="28"/>
  <c r="G31" i="28"/>
  <c r="F31" i="28"/>
  <c r="E31" i="28"/>
  <c r="D31" i="28"/>
  <c r="H30" i="28"/>
  <c r="G30" i="28"/>
  <c r="F30" i="28"/>
  <c r="E30" i="28"/>
  <c r="D29" i="28"/>
  <c r="E29" i="28"/>
  <c r="F29" i="28"/>
  <c r="G29" i="28"/>
  <c r="H29" i="28"/>
  <c r="H28" i="28"/>
  <c r="G28" i="28"/>
  <c r="F28" i="28"/>
  <c r="D28" i="28"/>
  <c r="E32" i="28"/>
  <c r="F32" i="28"/>
  <c r="G32" i="28"/>
  <c r="C28" i="28"/>
  <c r="C29" i="28"/>
  <c r="D36" i="21"/>
  <c r="B32" i="28"/>
  <c r="B31" i="28"/>
  <c r="B30" i="28"/>
  <c r="B29" i="28"/>
  <c r="B28" i="28"/>
  <c r="V22" i="28"/>
  <c r="V23" i="28"/>
  <c r="V17" i="28"/>
  <c r="D20" i="18" l="1"/>
  <c r="H11" i="2"/>
  <c r="D42" i="21"/>
  <c r="D43" i="21" s="1"/>
  <c r="D32" i="28"/>
  <c r="D30" i="28"/>
  <c r="H12" i="2" l="1"/>
  <c r="D45" i="21"/>
  <c r="H14" i="2" s="1"/>
  <c r="D16" i="21"/>
  <c r="D12" i="18" l="1"/>
  <c r="E42" i="21"/>
  <c r="J39" i="21" l="1"/>
  <c r="C21" i="10" l="1"/>
  <c r="G132" i="23"/>
  <c r="G133" i="23"/>
  <c r="G134" i="23"/>
  <c r="G135" i="23"/>
  <c r="G136" i="23"/>
  <c r="G131" i="23"/>
  <c r="K131" i="23"/>
  <c r="O131" i="23"/>
  <c r="K132" i="23"/>
  <c r="H121" i="23"/>
  <c r="K121" i="23"/>
  <c r="D147" i="23"/>
  <c r="S51" i="23"/>
  <c r="D94" i="23"/>
  <c r="D93" i="23"/>
  <c r="D92" i="23"/>
  <c r="D91" i="23"/>
  <c r="D90" i="23"/>
  <c r="D89" i="23"/>
  <c r="D88" i="23"/>
  <c r="D85" i="23"/>
  <c r="D84" i="23"/>
  <c r="D83" i="23"/>
  <c r="D82" i="23"/>
  <c r="D78" i="23"/>
  <c r="D79" i="23"/>
  <c r="D77" i="23"/>
  <c r="S56" i="23"/>
  <c r="S55" i="23"/>
  <c r="S54" i="23"/>
  <c r="S53" i="23"/>
  <c r="S52" i="23"/>
  <c r="S31" i="23"/>
  <c r="H20" i="2"/>
  <c r="H10" i="2"/>
  <c r="H9" i="2"/>
  <c r="C67" i="23"/>
  <c r="AE33" i="23"/>
  <c r="J14" i="21"/>
  <c r="J74" i="21" l="1"/>
  <c r="R40" i="23"/>
  <c r="J15" i="21"/>
  <c r="J12" i="21"/>
  <c r="J13" i="21"/>
  <c r="J11" i="21"/>
  <c r="I36" i="21"/>
  <c r="K101" i="21" l="1"/>
  <c r="I104" i="21"/>
  <c r="J94" i="21"/>
  <c r="J93" i="21"/>
  <c r="J92" i="21"/>
  <c r="K90" i="21"/>
  <c r="J90" i="21"/>
  <c r="D61" i="23"/>
  <c r="J102" i="21"/>
  <c r="J101" i="21"/>
  <c r="K104" i="21" l="1"/>
  <c r="I27" i="19" s="1"/>
  <c r="D65" i="23"/>
  <c r="D64" i="23"/>
  <c r="D66" i="23"/>
  <c r="D67" i="23" l="1"/>
  <c r="K11" i="8"/>
  <c r="S13" i="28"/>
  <c r="S14" i="28"/>
  <c r="S15" i="28"/>
  <c r="S16" i="28"/>
  <c r="S12" i="28"/>
  <c r="P13" i="28"/>
  <c r="P14" i="28"/>
  <c r="P15" i="28"/>
  <c r="P16" i="28"/>
  <c r="P12" i="28"/>
  <c r="M13" i="28"/>
  <c r="M14" i="28"/>
  <c r="M15" i="28"/>
  <c r="M16" i="28"/>
  <c r="M12" i="28"/>
  <c r="J13" i="28"/>
  <c r="J14" i="28"/>
  <c r="J15" i="28"/>
  <c r="J16" i="28"/>
  <c r="J12" i="28"/>
  <c r="G13" i="28"/>
  <c r="G14" i="28"/>
  <c r="G15" i="28"/>
  <c r="G16" i="28"/>
  <c r="G12" i="28"/>
  <c r="V12" i="28" s="1"/>
  <c r="D14" i="28"/>
  <c r="E55" i="21"/>
  <c r="J55" i="21" s="1"/>
  <c r="F55" i="21"/>
  <c r="G55" i="21"/>
  <c r="H55" i="21"/>
  <c r="I55" i="21"/>
  <c r="D55" i="21"/>
  <c r="D86" i="23"/>
  <c r="D80" i="23"/>
  <c r="E147" i="23"/>
  <c r="J77" i="21"/>
  <c r="AE35" i="23"/>
  <c r="C147" i="23"/>
  <c r="F147" i="23"/>
  <c r="I16" i="21"/>
  <c r="H16" i="21"/>
  <c r="G16" i="21"/>
  <c r="F16" i="21"/>
  <c r="E16" i="21"/>
  <c r="J16" i="21" s="1"/>
  <c r="D13" i="18" s="1"/>
  <c r="AE34" i="23"/>
  <c r="X35" i="23"/>
  <c r="X34" i="23"/>
  <c r="AA33" i="23"/>
  <c r="AE32" i="23"/>
  <c r="AE31" i="23"/>
  <c r="X36" i="23"/>
  <c r="X33" i="23"/>
  <c r="X32" i="23"/>
  <c r="X31" i="23"/>
  <c r="L27" i="6"/>
  <c r="L23" i="6"/>
  <c r="K30" i="6"/>
  <c r="K21" i="6"/>
  <c r="K22" i="6"/>
  <c r="K23" i="6"/>
  <c r="K24" i="6"/>
  <c r="K25" i="6"/>
  <c r="K26" i="6"/>
  <c r="K28" i="6"/>
  <c r="K29" i="6"/>
  <c r="K20" i="6"/>
  <c r="K86" i="21"/>
  <c r="J86" i="21"/>
  <c r="K78" i="21"/>
  <c r="J78" i="21"/>
  <c r="J79" i="21"/>
  <c r="J72" i="21"/>
  <c r="K72" i="21"/>
  <c r="J73" i="21"/>
  <c r="K73" i="21"/>
  <c r="K74" i="21"/>
  <c r="J75" i="21"/>
  <c r="K75" i="21"/>
  <c r="J76" i="21"/>
  <c r="K76" i="21"/>
  <c r="K79" i="21"/>
  <c r="K71" i="21"/>
  <c r="J71" i="21"/>
  <c r="J57" i="21"/>
  <c r="J56" i="21"/>
  <c r="J54" i="21"/>
  <c r="K48" i="21"/>
  <c r="J48" i="21"/>
  <c r="J40" i="21"/>
  <c r="K19" i="21"/>
  <c r="J19" i="21"/>
  <c r="K15" i="21"/>
  <c r="K11" i="21"/>
  <c r="J117" i="21"/>
  <c r="K117" i="21"/>
  <c r="J118" i="21"/>
  <c r="K118" i="21"/>
  <c r="J119" i="21"/>
  <c r="K119" i="21"/>
  <c r="J120" i="21"/>
  <c r="K120" i="21"/>
  <c r="J121" i="21"/>
  <c r="K121" i="21"/>
  <c r="K116" i="21"/>
  <c r="J116" i="21"/>
  <c r="J109" i="21"/>
  <c r="K109" i="21"/>
  <c r="J110" i="21"/>
  <c r="K110" i="21"/>
  <c r="J111" i="21"/>
  <c r="K111" i="21"/>
  <c r="J112" i="21"/>
  <c r="K112" i="21"/>
  <c r="J113" i="21"/>
  <c r="K113" i="21"/>
  <c r="K108" i="21"/>
  <c r="J108" i="21"/>
  <c r="K102" i="21"/>
  <c r="K103" i="21"/>
  <c r="J103" i="21"/>
  <c r="K92" i="21"/>
  <c r="K93" i="21"/>
  <c r="K94" i="21"/>
  <c r="K88" i="21"/>
  <c r="J88" i="21"/>
  <c r="K12" i="21"/>
  <c r="K13" i="21"/>
  <c r="K14" i="21"/>
  <c r="K30" i="21"/>
  <c r="K28" i="21"/>
  <c r="K20" i="21"/>
  <c r="K21" i="21"/>
  <c r="K22" i="21"/>
  <c r="K23" i="21"/>
  <c r="K24" i="21"/>
  <c r="K25" i="21"/>
  <c r="K26" i="21"/>
  <c r="J30" i="21"/>
  <c r="J28" i="21"/>
  <c r="J20" i="21"/>
  <c r="J21" i="21"/>
  <c r="J22" i="21"/>
  <c r="J23" i="21"/>
  <c r="J24" i="21"/>
  <c r="J25" i="21"/>
  <c r="J26" i="21"/>
  <c r="K9" i="8"/>
  <c r="K8" i="8"/>
  <c r="K7" i="8"/>
  <c r="Y16" i="10"/>
  <c r="D7" i="23"/>
  <c r="C7" i="23"/>
  <c r="C42" i="29"/>
  <c r="B42" i="29"/>
  <c r="AA35" i="23"/>
  <c r="AA32" i="23"/>
  <c r="S42" i="23"/>
  <c r="S38" i="23"/>
  <c r="S39" i="23"/>
  <c r="S40" i="23"/>
  <c r="S37" i="23"/>
  <c r="S36" i="23"/>
  <c r="S35" i="23"/>
  <c r="S33" i="23"/>
  <c r="S34" i="23"/>
  <c r="S32" i="23"/>
  <c r="I29" i="19"/>
  <c r="I28" i="19"/>
  <c r="I26" i="19"/>
  <c r="I24" i="19"/>
  <c r="I23" i="19"/>
  <c r="K23" i="19"/>
  <c r="I22" i="19"/>
  <c r="H28" i="19"/>
  <c r="V14" i="28" l="1"/>
  <c r="V13" i="28"/>
  <c r="V16" i="28"/>
  <c r="V15" i="28"/>
  <c r="K16" i="21"/>
  <c r="I31" i="19"/>
  <c r="J33" i="21"/>
  <c r="K33" i="21"/>
  <c r="V27" i="6"/>
  <c r="V23" i="6"/>
  <c r="V20" i="6"/>
  <c r="V19" i="6"/>
  <c r="C94" i="23" l="1"/>
  <c r="L153" i="23"/>
  <c r="C75" i="23"/>
  <c r="L17" i="23"/>
  <c r="S17" i="23" s="1"/>
  <c r="O17" i="23"/>
  <c r="R17" i="23"/>
  <c r="V17" i="23"/>
  <c r="L18" i="23"/>
  <c r="S18" i="23" s="1"/>
  <c r="V18" i="23"/>
  <c r="L19" i="23"/>
  <c r="S19" i="23" s="1"/>
  <c r="O19" i="23"/>
  <c r="R19" i="23"/>
  <c r="V19" i="23"/>
  <c r="L20" i="23"/>
  <c r="S20" i="23" s="1"/>
  <c r="O20" i="23"/>
  <c r="R20" i="23"/>
  <c r="V20" i="23"/>
  <c r="L21" i="23"/>
  <c r="O21" i="23"/>
  <c r="R21" i="23"/>
  <c r="V21" i="23"/>
  <c r="J22" i="23"/>
  <c r="K22" i="23"/>
  <c r="M22" i="23"/>
  <c r="N22" i="23"/>
  <c r="P22" i="23"/>
  <c r="Q22" i="23"/>
  <c r="L24" i="23"/>
  <c r="O24" i="23"/>
  <c r="R24" i="23"/>
  <c r="L25" i="23"/>
  <c r="S25" i="23" s="1"/>
  <c r="L26" i="23"/>
  <c r="O26" i="23"/>
  <c r="R26" i="23"/>
  <c r="L27" i="23"/>
  <c r="S27" i="23" s="1"/>
  <c r="O27" i="23"/>
  <c r="R27" i="23"/>
  <c r="L28" i="23"/>
  <c r="S28" i="23" s="1"/>
  <c r="O28" i="23"/>
  <c r="R28" i="23"/>
  <c r="J29" i="23"/>
  <c r="K29" i="23"/>
  <c r="M29" i="23"/>
  <c r="N29" i="23"/>
  <c r="P29" i="23"/>
  <c r="Q29" i="23"/>
  <c r="W29" i="23"/>
  <c r="X29" i="23"/>
  <c r="I31" i="23"/>
  <c r="J31" i="23"/>
  <c r="K31" i="23"/>
  <c r="M31" i="23"/>
  <c r="N31" i="23"/>
  <c r="P31" i="23"/>
  <c r="Q31" i="23"/>
  <c r="V31" i="23"/>
  <c r="Z31" i="23"/>
  <c r="I32" i="23"/>
  <c r="J32" i="23"/>
  <c r="K32" i="23"/>
  <c r="V32" i="23"/>
  <c r="Z32" i="23"/>
  <c r="I33" i="23"/>
  <c r="J33" i="23"/>
  <c r="K33" i="23"/>
  <c r="M33" i="23"/>
  <c r="N33" i="23"/>
  <c r="P33" i="23"/>
  <c r="Q33" i="23"/>
  <c r="V33" i="23"/>
  <c r="Z33" i="23"/>
  <c r="I34" i="23"/>
  <c r="J34" i="23"/>
  <c r="K34" i="23"/>
  <c r="M34" i="23"/>
  <c r="N34" i="23"/>
  <c r="P34" i="23"/>
  <c r="Q34" i="23"/>
  <c r="Z34" i="23"/>
  <c r="I35" i="23"/>
  <c r="J35" i="23"/>
  <c r="K35" i="23"/>
  <c r="M35" i="23"/>
  <c r="N35" i="23"/>
  <c r="P35" i="23"/>
  <c r="Q35" i="23"/>
  <c r="Z35" i="23"/>
  <c r="G36" i="23"/>
  <c r="H36" i="23"/>
  <c r="V36" i="23"/>
  <c r="I37" i="23"/>
  <c r="L37" i="23"/>
  <c r="O37" i="23"/>
  <c r="R37" i="23"/>
  <c r="I38" i="23"/>
  <c r="L38" i="23"/>
  <c r="O38" i="23"/>
  <c r="R38" i="23"/>
  <c r="I39" i="23"/>
  <c r="L39" i="23"/>
  <c r="O39" i="23"/>
  <c r="R39" i="23"/>
  <c r="I40" i="23"/>
  <c r="L40" i="23"/>
  <c r="O40" i="23"/>
  <c r="I41" i="23"/>
  <c r="L41" i="23"/>
  <c r="O41" i="23"/>
  <c r="I42" i="23"/>
  <c r="L42" i="23"/>
  <c r="O42" i="23"/>
  <c r="R42" i="23"/>
  <c r="I47" i="23"/>
  <c r="L47" i="23"/>
  <c r="O47" i="23"/>
  <c r="I48" i="23"/>
  <c r="L48" i="23"/>
  <c r="O48" i="23"/>
  <c r="I49" i="23"/>
  <c r="L49" i="23"/>
  <c r="O49" i="23"/>
  <c r="I50" i="23"/>
  <c r="L50" i="23"/>
  <c r="O50" i="23"/>
  <c r="G51" i="23"/>
  <c r="H51" i="23"/>
  <c r="J51" i="23"/>
  <c r="K51" i="23"/>
  <c r="M51" i="23"/>
  <c r="N51" i="23"/>
  <c r="P51" i="23"/>
  <c r="Q51" i="23"/>
  <c r="I52" i="23"/>
  <c r="L52" i="23"/>
  <c r="O52" i="23"/>
  <c r="R52" i="23"/>
  <c r="I53" i="23"/>
  <c r="L53" i="23"/>
  <c r="O53" i="23"/>
  <c r="R53" i="23"/>
  <c r="I54" i="23"/>
  <c r="L54" i="23"/>
  <c r="I55" i="23"/>
  <c r="L55" i="23"/>
  <c r="O55" i="23"/>
  <c r="R55" i="23"/>
  <c r="G56" i="23"/>
  <c r="H56" i="23"/>
  <c r="J56" i="23"/>
  <c r="K56" i="23"/>
  <c r="M56" i="23"/>
  <c r="N56" i="23"/>
  <c r="P56" i="23"/>
  <c r="Q56" i="23"/>
  <c r="E75" i="23"/>
  <c r="F75" i="23"/>
  <c r="G75" i="23"/>
  <c r="H75" i="23"/>
  <c r="I75" i="23"/>
  <c r="J75" i="23"/>
  <c r="E80" i="23"/>
  <c r="F80" i="23"/>
  <c r="G80" i="23"/>
  <c r="H80" i="23"/>
  <c r="I80" i="23"/>
  <c r="J80" i="23"/>
  <c r="E86" i="23"/>
  <c r="F86" i="23"/>
  <c r="G86" i="23"/>
  <c r="H86" i="23"/>
  <c r="I86" i="23"/>
  <c r="J86" i="23"/>
  <c r="E94" i="23"/>
  <c r="F94" i="23"/>
  <c r="G94" i="23"/>
  <c r="H94" i="23"/>
  <c r="I99" i="23"/>
  <c r="L99" i="23"/>
  <c r="O99" i="23"/>
  <c r="R99" i="23"/>
  <c r="I100" i="23"/>
  <c r="L100" i="23"/>
  <c r="O100" i="23"/>
  <c r="R100" i="23"/>
  <c r="I101" i="23"/>
  <c r="I102" i="23"/>
  <c r="L102" i="23"/>
  <c r="O102" i="23"/>
  <c r="R102" i="23"/>
  <c r="I103" i="23"/>
  <c r="G106" i="23"/>
  <c r="H106" i="23"/>
  <c r="I106" i="23"/>
  <c r="J106" i="23"/>
  <c r="K106" i="23"/>
  <c r="L106" i="23"/>
  <c r="M106" i="23"/>
  <c r="P106" i="23"/>
  <c r="F112" i="23"/>
  <c r="I112" i="23"/>
  <c r="F113" i="23"/>
  <c r="I113" i="23"/>
  <c r="F114" i="23"/>
  <c r="I114" i="23"/>
  <c r="F115" i="23"/>
  <c r="I115" i="23"/>
  <c r="F116" i="23"/>
  <c r="I116" i="23"/>
  <c r="E117" i="23"/>
  <c r="F117" i="23" s="1"/>
  <c r="G117" i="23"/>
  <c r="H117" i="23"/>
  <c r="H122" i="23"/>
  <c r="K122" i="23"/>
  <c r="H123" i="23"/>
  <c r="K123" i="23"/>
  <c r="F124" i="23"/>
  <c r="H124" i="23" s="1"/>
  <c r="I124" i="23"/>
  <c r="K124" i="23" s="1"/>
  <c r="H125" i="23"/>
  <c r="K125" i="23"/>
  <c r="H126" i="23"/>
  <c r="K126" i="23"/>
  <c r="H127" i="23"/>
  <c r="J127" i="23"/>
  <c r="K127" i="23" s="1"/>
  <c r="J131" i="23"/>
  <c r="J132" i="23"/>
  <c r="J133" i="23"/>
  <c r="K133" i="23" s="1"/>
  <c r="J134" i="23"/>
  <c r="J135" i="23"/>
  <c r="J136" i="23"/>
  <c r="L136" i="23"/>
  <c r="M136" i="23"/>
  <c r="N136" i="23"/>
  <c r="I140" i="23"/>
  <c r="L140" i="23"/>
  <c r="I141" i="23"/>
  <c r="L141" i="23"/>
  <c r="M151" i="23"/>
  <c r="M152" i="23"/>
  <c r="K153" i="23"/>
  <c r="N42" i="21" l="1"/>
  <c r="D74" i="23"/>
  <c r="D72" i="23"/>
  <c r="D73" i="23"/>
  <c r="O31" i="23"/>
  <c r="O33" i="23"/>
  <c r="N36" i="23"/>
  <c r="R35" i="23"/>
  <c r="M153" i="23"/>
  <c r="I36" i="23"/>
  <c r="G147" i="23" s="1"/>
  <c r="I56" i="23"/>
  <c r="O35" i="23"/>
  <c r="K135" i="23"/>
  <c r="R56" i="23"/>
  <c r="Q36" i="23"/>
  <c r="R22" i="23"/>
  <c r="K134" i="23"/>
  <c r="I51" i="23"/>
  <c r="W19" i="23"/>
  <c r="W21" i="23"/>
  <c r="R33" i="23"/>
  <c r="O22" i="23"/>
  <c r="L34" i="23"/>
  <c r="O134" i="23" s="1"/>
  <c r="M36" i="23"/>
  <c r="I117" i="23"/>
  <c r="L32" i="23"/>
  <c r="O132" i="23" s="1"/>
  <c r="L22" i="23"/>
  <c r="S22" i="23" s="1"/>
  <c r="O51" i="23"/>
  <c r="R34" i="23"/>
  <c r="L51" i="23"/>
  <c r="O34" i="23"/>
  <c r="L56" i="23"/>
  <c r="O29" i="23"/>
  <c r="R31" i="23"/>
  <c r="W20" i="23"/>
  <c r="O56" i="23"/>
  <c r="L29" i="23"/>
  <c r="S29" i="23" s="1"/>
  <c r="K36" i="23"/>
  <c r="S21" i="23"/>
  <c r="P36" i="23"/>
  <c r="W18" i="23"/>
  <c r="L31" i="23"/>
  <c r="S24" i="23"/>
  <c r="W17" i="23"/>
  <c r="L33" i="23"/>
  <c r="O133" i="23" s="1"/>
  <c r="R29" i="23"/>
  <c r="L35" i="23"/>
  <c r="O135" i="23" s="1"/>
  <c r="S26" i="23"/>
  <c r="J36" i="23"/>
  <c r="N40" i="21" l="1"/>
  <c r="N39" i="21"/>
  <c r="N41" i="21"/>
  <c r="D44" i="21"/>
  <c r="D75" i="23"/>
  <c r="H147" i="23"/>
  <c r="I147" i="23"/>
  <c r="O36" i="23"/>
  <c r="F8" i="23" s="1"/>
  <c r="F7" i="23" s="1"/>
  <c r="L36" i="23"/>
  <c r="O136" i="23" s="1"/>
  <c r="K136" i="23"/>
  <c r="R36" i="23"/>
  <c r="G8" i="23" s="1"/>
  <c r="G7" i="23" s="1"/>
  <c r="N43" i="21" l="1"/>
  <c r="E8" i="23"/>
  <c r="E7" i="23" s="1"/>
  <c r="AA36" i="23"/>
  <c r="X37" i="23"/>
  <c r="J31" i="19" l="1"/>
  <c r="J30" i="19"/>
  <c r="F34" i="21" l="1"/>
  <c r="G34" i="21"/>
  <c r="H34" i="21"/>
  <c r="I34" i="21"/>
  <c r="F35" i="21"/>
  <c r="G35" i="21"/>
  <c r="H35" i="21"/>
  <c r="I35" i="21"/>
  <c r="J36" i="21" l="1"/>
  <c r="E41" i="21"/>
  <c r="J41" i="21" s="1"/>
  <c r="L30" i="19" l="1"/>
  <c r="N31" i="19" l="1"/>
  <c r="N30" i="19"/>
  <c r="H31" i="19"/>
  <c r="H30" i="19"/>
  <c r="M23" i="19"/>
  <c r="M22" i="19"/>
  <c r="M24" i="19"/>
  <c r="M26" i="19"/>
  <c r="M28" i="19"/>
  <c r="M29" i="19"/>
  <c r="J42" i="21"/>
  <c r="F29" i="19"/>
  <c r="F28" i="19"/>
  <c r="J28" i="19" s="1"/>
  <c r="H29" i="19" l="1"/>
  <c r="J29" i="19"/>
  <c r="E43" i="21"/>
  <c r="J43" i="21" s="1"/>
  <c r="N29" i="19"/>
  <c r="N28" i="19"/>
  <c r="J155" i="21"/>
  <c r="J154" i="21"/>
  <c r="J153" i="21"/>
  <c r="J152" i="21"/>
  <c r="J151" i="21"/>
  <c r="J150" i="21"/>
  <c r="E45" i="21" l="1"/>
  <c r="J45" i="21" s="1"/>
  <c r="E44" i="21"/>
  <c r="J44" i="21" s="1"/>
  <c r="H13" i="2" l="1"/>
  <c r="F22" i="19" l="1"/>
  <c r="K22" i="19"/>
  <c r="F26" i="19"/>
  <c r="J26" i="19" s="1"/>
  <c r="F24" i="19"/>
  <c r="F23" i="19"/>
  <c r="J23" i="19" l="1"/>
  <c r="G23" i="19"/>
  <c r="H23" i="19" s="1"/>
  <c r="J24" i="19"/>
  <c r="L22" i="19"/>
  <c r="J22" i="19"/>
  <c r="H22" i="19"/>
  <c r="N24" i="19"/>
  <c r="N26" i="19"/>
  <c r="N23" i="19"/>
  <c r="N22" i="19"/>
  <c r="G24" i="19"/>
  <c r="H24" i="19" s="1"/>
  <c r="U27" i="6" l="1"/>
  <c r="T27" i="6"/>
  <c r="U23" i="6"/>
  <c r="T23" i="6"/>
  <c r="U20" i="6"/>
  <c r="Q20" i="6"/>
  <c r="R20" i="6"/>
  <c r="S20" i="6"/>
  <c r="T20" i="6"/>
  <c r="U19" i="6"/>
  <c r="T19" i="6"/>
  <c r="I8" i="6" l="1"/>
  <c r="K29" i="19" l="1"/>
  <c r="L29" i="19" s="1"/>
  <c r="K28" i="19"/>
  <c r="L28" i="19" s="1"/>
  <c r="K26" i="19"/>
  <c r="L26" i="19" s="1"/>
  <c r="K24" i="19"/>
  <c r="L24" i="19" s="1"/>
  <c r="L23" i="19"/>
  <c r="F21" i="10" l="1"/>
  <c r="X16" i="10" l="1"/>
  <c r="G68" i="21" l="1"/>
  <c r="H68" i="21"/>
  <c r="I68" i="21"/>
  <c r="F68" i="21"/>
  <c r="K70" i="21"/>
  <c r="J70" i="21"/>
  <c r="H152" i="22"/>
  <c r="H153" i="22"/>
  <c r="H154" i="22"/>
  <c r="H155" i="22"/>
  <c r="H156" i="22"/>
  <c r="H157" i="22"/>
  <c r="H158" i="22"/>
  <c r="G159" i="22"/>
  <c r="H159" i="22"/>
  <c r="G160" i="22"/>
  <c r="G161" i="22"/>
  <c r="G162" i="22"/>
  <c r="G163" i="22"/>
  <c r="G164" i="22"/>
  <c r="G165" i="22"/>
  <c r="G166" i="22"/>
  <c r="G167" i="22"/>
  <c r="G168" i="22"/>
  <c r="G169" i="22"/>
  <c r="G170" i="22"/>
  <c r="G171" i="22"/>
  <c r="H171" i="22"/>
  <c r="G172" i="22"/>
  <c r="G173" i="22"/>
  <c r="G174" i="22"/>
  <c r="G175" i="22"/>
  <c r="G176" i="22"/>
  <c r="G177" i="22"/>
  <c r="G178" i="22"/>
  <c r="G179" i="22"/>
  <c r="G180" i="22"/>
  <c r="G181" i="22"/>
  <c r="G117" i="22"/>
  <c r="G118" i="22"/>
  <c r="G119" i="22"/>
  <c r="G120" i="22"/>
  <c r="D122" i="22"/>
  <c r="E122" i="22"/>
  <c r="F122" i="22"/>
  <c r="F108" i="22"/>
  <c r="F109" i="22"/>
  <c r="F110" i="22"/>
  <c r="F111" i="22"/>
  <c r="F112" i="22"/>
  <c r="D113" i="22"/>
  <c r="E113" i="22"/>
  <c r="F113" i="22"/>
  <c r="G113" i="22"/>
  <c r="I113" i="22"/>
  <c r="F99" i="22"/>
  <c r="I99" i="22"/>
  <c r="F101" i="22"/>
  <c r="I101" i="22"/>
  <c r="F102" i="22"/>
  <c r="I102" i="22"/>
  <c r="F103" i="22"/>
  <c r="I103" i="22"/>
  <c r="D104" i="22"/>
  <c r="E104" i="22"/>
  <c r="F104" i="22"/>
  <c r="G104" i="22"/>
  <c r="H104" i="22"/>
  <c r="I104" i="22"/>
  <c r="J104" i="22"/>
  <c r="K104" i="22"/>
  <c r="L104" i="22"/>
  <c r="F92" i="22"/>
  <c r="D67" i="22"/>
  <c r="E67" i="22"/>
  <c r="F67" i="22"/>
  <c r="D74" i="22"/>
  <c r="E74" i="22"/>
  <c r="F74" i="22"/>
  <c r="D81" i="22"/>
  <c r="E81" i="22"/>
  <c r="F81" i="22"/>
  <c r="D82" i="22"/>
  <c r="E82" i="22"/>
  <c r="F82" i="22"/>
  <c r="D89" i="22"/>
  <c r="E89" i="22"/>
  <c r="F89" i="22"/>
  <c r="F49" i="22"/>
  <c r="I49" i="22"/>
  <c r="L49" i="22"/>
  <c r="F50" i="22"/>
  <c r="I50" i="22"/>
  <c r="L50" i="22"/>
  <c r="F51" i="22"/>
  <c r="I51" i="22"/>
  <c r="L51" i="22"/>
  <c r="F52" i="22"/>
  <c r="D56" i="22"/>
  <c r="E56" i="22"/>
  <c r="F56" i="22"/>
  <c r="G56" i="22"/>
  <c r="J56" i="22"/>
  <c r="D57" i="22"/>
  <c r="E57" i="22"/>
  <c r="F57" i="22"/>
  <c r="G57" i="22"/>
  <c r="J57" i="22"/>
  <c r="F43" i="22"/>
  <c r="I43" i="22"/>
  <c r="L43" i="22"/>
  <c r="M43" i="22"/>
  <c r="F44" i="22"/>
  <c r="I44" i="22"/>
  <c r="L44" i="22"/>
  <c r="M44" i="22"/>
  <c r="F45" i="22"/>
  <c r="M45" i="22"/>
  <c r="F46" i="22"/>
  <c r="I46" i="22"/>
  <c r="L46" i="22"/>
  <c r="M46" i="22"/>
  <c r="D47" i="22"/>
  <c r="E47" i="22"/>
  <c r="F47" i="22"/>
  <c r="G47" i="22"/>
  <c r="H47" i="22"/>
  <c r="I47" i="22"/>
  <c r="J47" i="22"/>
  <c r="K47" i="22"/>
  <c r="L47" i="22"/>
  <c r="M47" i="22"/>
  <c r="F37" i="22"/>
  <c r="I37" i="22"/>
  <c r="F38" i="22"/>
  <c r="I38" i="22"/>
  <c r="F39" i="22"/>
  <c r="I39" i="22"/>
  <c r="F40" i="22"/>
  <c r="I40" i="22"/>
  <c r="D41" i="22"/>
  <c r="E41" i="22"/>
  <c r="F41" i="22"/>
  <c r="M41" i="22" s="1"/>
  <c r="G41" i="22"/>
  <c r="H41" i="22"/>
  <c r="I41" i="22"/>
  <c r="J41" i="22"/>
  <c r="K41" i="22"/>
  <c r="F30" i="22"/>
  <c r="I30" i="22"/>
  <c r="L30" i="22"/>
  <c r="M30" i="22"/>
  <c r="F31" i="22"/>
  <c r="I31" i="22"/>
  <c r="L31" i="22"/>
  <c r="M31" i="22"/>
  <c r="F32" i="22"/>
  <c r="I32" i="22"/>
  <c r="L32" i="22"/>
  <c r="M32" i="22"/>
  <c r="F33" i="22"/>
  <c r="I33" i="22"/>
  <c r="L33" i="22"/>
  <c r="M33" i="22"/>
  <c r="F34" i="22"/>
  <c r="I34" i="22"/>
  <c r="L34" i="22"/>
  <c r="M34" i="22"/>
  <c r="N34" i="22"/>
  <c r="F35" i="22"/>
  <c r="I35" i="22"/>
  <c r="L35" i="22"/>
  <c r="M35" i="22"/>
  <c r="F9" i="22"/>
  <c r="I9" i="22"/>
  <c r="L9" i="22"/>
  <c r="M9" i="22"/>
  <c r="P9" i="22"/>
  <c r="Q9" i="22"/>
  <c r="F10" i="22"/>
  <c r="M10" i="22"/>
  <c r="P10" i="22"/>
  <c r="Q10" i="22"/>
  <c r="F11" i="22"/>
  <c r="I11" i="22"/>
  <c r="L11" i="22"/>
  <c r="M11" i="22"/>
  <c r="P11" i="22"/>
  <c r="Q11" i="22"/>
  <c r="F12" i="22"/>
  <c r="I12" i="22"/>
  <c r="L12" i="22"/>
  <c r="M12" i="22"/>
  <c r="P12" i="22"/>
  <c r="Q12" i="22"/>
  <c r="F13" i="22"/>
  <c r="I13" i="22"/>
  <c r="L13" i="22"/>
  <c r="M13" i="22"/>
  <c r="P13" i="22"/>
  <c r="Q13" i="22"/>
  <c r="D14" i="22"/>
  <c r="E14" i="22"/>
  <c r="F14" i="22"/>
  <c r="G14" i="22"/>
  <c r="H14" i="22"/>
  <c r="I14" i="22"/>
  <c r="J14" i="22"/>
  <c r="K14" i="22"/>
  <c r="L14" i="22"/>
  <c r="M14" i="22"/>
  <c r="F16" i="22"/>
  <c r="I16" i="22"/>
  <c r="L16" i="22"/>
  <c r="M16" i="22"/>
  <c r="F17" i="22"/>
  <c r="M17" i="22"/>
  <c r="F18" i="22"/>
  <c r="I18" i="22"/>
  <c r="L18" i="22"/>
  <c r="M18" i="22"/>
  <c r="F19" i="22"/>
  <c r="I19" i="22"/>
  <c r="L19" i="22"/>
  <c r="M19" i="22"/>
  <c r="F20" i="22"/>
  <c r="I20" i="22"/>
  <c r="L20" i="22"/>
  <c r="M20" i="22"/>
  <c r="D21" i="22"/>
  <c r="E21" i="22"/>
  <c r="F21" i="22"/>
  <c r="M21" i="22" s="1"/>
  <c r="G21" i="22"/>
  <c r="H21" i="22"/>
  <c r="I21" i="22"/>
  <c r="J21" i="22"/>
  <c r="K21" i="22"/>
  <c r="L21" i="22"/>
  <c r="Q21" i="22"/>
  <c r="R21" i="22"/>
  <c r="D23" i="22"/>
  <c r="E23" i="22"/>
  <c r="F23" i="22"/>
  <c r="G23" i="22"/>
  <c r="H23" i="22"/>
  <c r="I23" i="22"/>
  <c r="J23" i="22"/>
  <c r="K23" i="22"/>
  <c r="L23" i="22"/>
  <c r="M23" i="22"/>
  <c r="D24" i="22"/>
  <c r="E24" i="22"/>
  <c r="F24" i="22"/>
  <c r="M24" i="22" s="1"/>
  <c r="D25" i="22"/>
  <c r="E25" i="22"/>
  <c r="F25" i="22"/>
  <c r="G25" i="22"/>
  <c r="H25" i="22"/>
  <c r="I25" i="22"/>
  <c r="J25" i="22"/>
  <c r="K25" i="22"/>
  <c r="L25" i="22"/>
  <c r="M25" i="22"/>
  <c r="D26" i="22"/>
  <c r="E26" i="22"/>
  <c r="F26" i="22"/>
  <c r="G26" i="22"/>
  <c r="H26" i="22"/>
  <c r="I26" i="22"/>
  <c r="J26" i="22"/>
  <c r="K26" i="22"/>
  <c r="L26" i="22"/>
  <c r="M26" i="22"/>
  <c r="D27" i="22"/>
  <c r="E27" i="22"/>
  <c r="F27" i="22"/>
  <c r="M27" i="22" s="1"/>
  <c r="G27" i="22"/>
  <c r="H27" i="22"/>
  <c r="I27" i="22"/>
  <c r="J27" i="22"/>
  <c r="K27" i="22"/>
  <c r="L27" i="22"/>
  <c r="D28" i="22"/>
  <c r="E28" i="22"/>
  <c r="F28" i="22"/>
  <c r="D140" i="22" s="1"/>
  <c r="G28" i="22"/>
  <c r="H28" i="22"/>
  <c r="I28" i="22"/>
  <c r="E92" i="22" s="1"/>
  <c r="J28" i="22"/>
  <c r="K28" i="22"/>
  <c r="L28" i="22"/>
  <c r="G42" i="21"/>
  <c r="G38" i="21"/>
  <c r="G157" i="21" s="1"/>
  <c r="G41" i="21"/>
  <c r="H67" i="21"/>
  <c r="G67" i="21"/>
  <c r="F67" i="21"/>
  <c r="K67" i="21" s="1"/>
  <c r="I66" i="21"/>
  <c r="H66" i="21"/>
  <c r="G66" i="21"/>
  <c r="F66" i="21"/>
  <c r="I65" i="21"/>
  <c r="H65" i="21"/>
  <c r="G65" i="21"/>
  <c r="F65" i="21"/>
  <c r="I64" i="21"/>
  <c r="H64" i="21"/>
  <c r="G64" i="21"/>
  <c r="F64" i="21"/>
  <c r="I63" i="21"/>
  <c r="H63" i="21"/>
  <c r="G63" i="21"/>
  <c r="F63" i="21"/>
  <c r="I62" i="21"/>
  <c r="H62" i="21"/>
  <c r="G62" i="21"/>
  <c r="F62" i="21"/>
  <c r="I61" i="21"/>
  <c r="H61" i="21"/>
  <c r="G61" i="21"/>
  <c r="F61" i="21"/>
  <c r="I60" i="21"/>
  <c r="H60" i="21"/>
  <c r="G60" i="21"/>
  <c r="F60" i="21"/>
  <c r="B42" i="21"/>
  <c r="M42" i="21" s="1"/>
  <c r="I41" i="21"/>
  <c r="K41" i="21" s="1"/>
  <c r="H41" i="21"/>
  <c r="F41" i="21"/>
  <c r="B41" i="21"/>
  <c r="M41" i="21" s="1"/>
  <c r="K40" i="21"/>
  <c r="B40" i="21"/>
  <c r="M40" i="21" s="1"/>
  <c r="K39" i="21"/>
  <c r="B39" i="21"/>
  <c r="M39" i="21" s="1"/>
  <c r="I38" i="21"/>
  <c r="I157" i="21" s="1"/>
  <c r="H38" i="21"/>
  <c r="H157" i="21" s="1"/>
  <c r="F38" i="21"/>
  <c r="F157" i="21" s="1"/>
  <c r="K36" i="21"/>
  <c r="H36" i="21"/>
  <c r="K84" i="21"/>
  <c r="K106" i="21" s="1"/>
  <c r="J84" i="21"/>
  <c r="H42" i="21" l="1"/>
  <c r="H43" i="21" s="1"/>
  <c r="H45" i="21" s="1"/>
  <c r="H32" i="28"/>
  <c r="F42" i="21"/>
  <c r="F43" i="21" s="1"/>
  <c r="I42" i="21"/>
  <c r="K42" i="21" s="1"/>
  <c r="J106" i="21"/>
  <c r="J52" i="21" s="1"/>
  <c r="J149" i="21"/>
  <c r="K63" i="21"/>
  <c r="J61" i="21"/>
  <c r="J65" i="21"/>
  <c r="J66" i="21"/>
  <c r="K62" i="21"/>
  <c r="K64" i="21"/>
  <c r="K60" i="21"/>
  <c r="J62" i="21"/>
  <c r="J68" i="21"/>
  <c r="K61" i="21"/>
  <c r="J63" i="21"/>
  <c r="J60" i="21"/>
  <c r="J64" i="21"/>
  <c r="J67" i="21"/>
  <c r="K66" i="21"/>
  <c r="K65" i="21"/>
  <c r="K68" i="21"/>
  <c r="M28" i="22"/>
  <c r="D92" i="22"/>
  <c r="G121" i="22"/>
  <c r="G122" i="22"/>
  <c r="G43" i="21"/>
  <c r="G45" i="21" s="1"/>
  <c r="I43" i="21" l="1"/>
  <c r="K43" i="21" s="1"/>
  <c r="L31" i="19"/>
  <c r="H44" i="21"/>
  <c r="G44" i="21"/>
  <c r="I44" i="21" l="1"/>
  <c r="K44" i="21" s="1"/>
  <c r="I45" i="21"/>
  <c r="K45" i="21" s="1"/>
  <c r="F45" i="21"/>
  <c r="F44" i="21"/>
  <c r="E40" i="14" l="1"/>
  <c r="H42" i="14" l="1"/>
  <c r="G42" i="14"/>
  <c r="F42" i="14"/>
  <c r="E42" i="14"/>
  <c r="N41" i="14"/>
  <c r="R137" i="14"/>
  <c r="E72" i="14" l="1"/>
  <c r="E94" i="14"/>
  <c r="E71" i="14"/>
  <c r="E73" i="14"/>
  <c r="N125" i="3" l="1"/>
  <c r="N120" i="3"/>
  <c r="N121" i="3"/>
  <c r="N122" i="3"/>
  <c r="N123" i="3"/>
  <c r="K120" i="3"/>
  <c r="K121" i="3"/>
  <c r="K122" i="3"/>
  <c r="K123" i="3"/>
  <c r="K124" i="3"/>
  <c r="K125" i="3"/>
  <c r="H120" i="3"/>
  <c r="H121" i="3"/>
  <c r="H122" i="3"/>
  <c r="H123" i="3"/>
  <c r="H124" i="3"/>
  <c r="H125" i="3"/>
  <c r="N119" i="3"/>
  <c r="K119" i="3"/>
  <c r="H119" i="3"/>
  <c r="N118" i="3"/>
  <c r="K118" i="3"/>
  <c r="H118" i="3"/>
  <c r="N117" i="3"/>
  <c r="K117" i="3"/>
  <c r="H117" i="3"/>
  <c r="E42" i="3"/>
  <c r="E52" i="3"/>
  <c r="O15" i="14"/>
  <c r="I13" i="14"/>
  <c r="J13" i="14" s="1"/>
  <c r="N134" i="14"/>
  <c r="G134" i="14"/>
  <c r="Q129" i="14"/>
  <c r="Q127" i="14"/>
  <c r="G58" i="14"/>
  <c r="F58" i="14"/>
  <c r="B42" i="3"/>
  <c r="B41" i="3"/>
  <c r="B40" i="3"/>
  <c r="B39" i="3"/>
  <c r="M134" i="3"/>
  <c r="L124" i="3"/>
  <c r="M124" i="3" s="1"/>
  <c r="J134" i="3"/>
  <c r="I124" i="3"/>
  <c r="G134" i="3"/>
  <c r="F124" i="3"/>
  <c r="E124" i="3"/>
  <c r="E71" i="3"/>
  <c r="E33" i="14"/>
  <c r="N76" i="14"/>
  <c r="Q133" i="14"/>
  <c r="Q132" i="14"/>
  <c r="Q131" i="14"/>
  <c r="Q130" i="14"/>
  <c r="Q128" i="14"/>
  <c r="Q135" i="14" l="1"/>
  <c r="R128" i="14" s="1"/>
  <c r="E39" i="14"/>
  <c r="R127" i="14"/>
  <c r="G124" i="3"/>
  <c r="J124" i="3"/>
  <c r="R131" i="14" l="1"/>
  <c r="R129" i="14"/>
  <c r="R130" i="14"/>
  <c r="R133" i="14"/>
  <c r="R132" i="14"/>
  <c r="R135" i="14" l="1"/>
  <c r="K18" i="14" l="1"/>
  <c r="Q13" i="14"/>
  <c r="P13" i="14" l="1"/>
  <c r="J18" i="14"/>
  <c r="I18" i="14"/>
  <c r="J49" i="14" l="1"/>
  <c r="H124" i="14" l="1"/>
  <c r="I124" i="14"/>
  <c r="K124" i="14"/>
  <c r="L124" i="14"/>
  <c r="F124" i="14"/>
  <c r="E124" i="14"/>
  <c r="M134" i="14"/>
  <c r="M124" i="14" s="1"/>
  <c r="J134" i="14"/>
  <c r="J124" i="14" s="1"/>
  <c r="G124" i="14"/>
  <c r="I49" i="14"/>
  <c r="I51" i="14"/>
  <c r="J51" i="14"/>
  <c r="I54" i="14"/>
  <c r="J54" i="14"/>
  <c r="P12" i="14"/>
  <c r="K17" i="14"/>
  <c r="J17" i="14"/>
  <c r="J47" i="14" s="1"/>
  <c r="J65" i="14" s="1"/>
  <c r="I17" i="14"/>
  <c r="I47" i="14" s="1"/>
  <c r="I65" i="14" s="1"/>
  <c r="O109" i="14" s="1"/>
  <c r="H123" i="14"/>
  <c r="K47" i="14" l="1"/>
  <c r="K65" i="14" s="1"/>
  <c r="P15" i="14"/>
  <c r="P14" i="14"/>
  <c r="P10" i="14"/>
  <c r="J67" i="14"/>
  <c r="I67" i="14"/>
  <c r="J70" i="14"/>
  <c r="J69" i="14"/>
  <c r="J68" i="14"/>
  <c r="B38" i="14"/>
  <c r="O13" i="14"/>
  <c r="G130" i="14"/>
  <c r="E120" i="14"/>
  <c r="E83" i="14"/>
  <c r="E77" i="14"/>
  <c r="E81" i="14"/>
  <c r="E58" i="14"/>
  <c r="G9" i="8"/>
  <c r="H9" i="8"/>
  <c r="J9" i="8"/>
  <c r="I9" i="8"/>
  <c r="F28" i="6"/>
  <c r="G28" i="6"/>
  <c r="H28" i="6"/>
  <c r="I28" i="6"/>
  <c r="J28" i="6"/>
  <c r="I69" i="14"/>
  <c r="I68" i="14"/>
  <c r="I70" i="14"/>
  <c r="O10" i="14"/>
  <c r="O76" i="14"/>
  <c r="P76" i="14"/>
  <c r="Q76" i="14"/>
  <c r="O77" i="14"/>
  <c r="P77" i="14"/>
  <c r="Q77" i="14"/>
  <c r="O78" i="14"/>
  <c r="P78" i="14"/>
  <c r="Q78" i="14"/>
  <c r="O79" i="14"/>
  <c r="P79" i="14"/>
  <c r="Q79" i="14"/>
  <c r="N79" i="14"/>
  <c r="N78" i="14"/>
  <c r="N77" i="14"/>
  <c r="E82" i="14" l="1"/>
  <c r="H94" i="14"/>
  <c r="H97" i="14" s="1"/>
  <c r="H89" i="3"/>
  <c r="G89" i="3"/>
  <c r="E38" i="14"/>
  <c r="F89" i="3"/>
  <c r="O112" i="14"/>
  <c r="G71" i="3"/>
  <c r="H71" i="3"/>
  <c r="F71" i="3"/>
  <c r="G89" i="14"/>
  <c r="H89" i="14"/>
  <c r="F89" i="14"/>
  <c r="E89" i="14"/>
  <c r="F71" i="14"/>
  <c r="G71" i="14"/>
  <c r="H71" i="14"/>
  <c r="F94" i="14"/>
  <c r="F97" i="14" s="1"/>
  <c r="G94" i="14"/>
  <c r="G97" i="14" s="1"/>
  <c r="F97" i="3"/>
  <c r="G97" i="3"/>
  <c r="H97" i="3"/>
  <c r="E97" i="14"/>
  <c r="E97" i="3"/>
  <c r="G26" i="19" l="1"/>
  <c r="H26" i="19" s="1"/>
  <c r="J71" i="14"/>
  <c r="K71" i="14"/>
  <c r="I71" i="14"/>
  <c r="F111" i="3"/>
  <c r="E111" i="3"/>
  <c r="H8" i="6"/>
  <c r="I11" i="6"/>
  <c r="L111" i="14"/>
  <c r="F111" i="14"/>
  <c r="E111" i="14"/>
  <c r="H81" i="14"/>
  <c r="F137" i="14" l="1"/>
  <c r="G127" i="14"/>
  <c r="O11" i="14"/>
  <c r="E39" i="3" l="1"/>
  <c r="E40" i="3"/>
  <c r="E41" i="3"/>
  <c r="H39" i="3"/>
  <c r="H40" i="3"/>
  <c r="H41" i="3"/>
  <c r="G39" i="3"/>
  <c r="G40" i="3"/>
  <c r="G41" i="3"/>
  <c r="F39" i="3"/>
  <c r="F40" i="3"/>
  <c r="F41" i="3"/>
  <c r="H38" i="3"/>
  <c r="G38" i="3"/>
  <c r="F38" i="3"/>
  <c r="E38" i="3"/>
  <c r="E37" i="14"/>
  <c r="E36" i="14"/>
  <c r="F36" i="14"/>
  <c r="F37" i="14"/>
  <c r="F38" i="14"/>
  <c r="F33" i="14"/>
  <c r="F39" i="14" s="1"/>
  <c r="G36" i="14"/>
  <c r="G37" i="14"/>
  <c r="G38" i="14"/>
  <c r="G33" i="14"/>
  <c r="G39" i="14" s="1"/>
  <c r="H36" i="14"/>
  <c r="H37" i="14"/>
  <c r="H38" i="14"/>
  <c r="H33" i="14"/>
  <c r="H39" i="14" s="1"/>
  <c r="H35" i="14"/>
  <c r="G35" i="14"/>
  <c r="F35" i="14"/>
  <c r="E35" i="14"/>
  <c r="B39" i="14"/>
  <c r="B37" i="14"/>
  <c r="B36" i="14"/>
  <c r="I19" i="14"/>
  <c r="J19" i="14"/>
  <c r="I20" i="14"/>
  <c r="J20" i="14"/>
  <c r="I21" i="14"/>
  <c r="J21" i="14"/>
  <c r="I22" i="14"/>
  <c r="J22" i="14"/>
  <c r="I23" i="14"/>
  <c r="J23" i="14"/>
  <c r="I24" i="14"/>
  <c r="J24" i="14"/>
  <c r="I25" i="14"/>
  <c r="J25" i="14"/>
  <c r="I32" i="14"/>
  <c r="J32" i="14"/>
  <c r="O12" i="14"/>
  <c r="O14" i="14"/>
  <c r="G111" i="14"/>
  <c r="H111" i="14"/>
  <c r="O111" i="14" s="1"/>
  <c r="I111" i="14"/>
  <c r="J127" i="14"/>
  <c r="J111" i="14" s="1"/>
  <c r="K111" i="14"/>
  <c r="M127" i="14"/>
  <c r="M111" i="14" s="1"/>
  <c r="N111" i="14"/>
  <c r="P11" i="14"/>
  <c r="E83" i="3"/>
  <c r="F137" i="3"/>
  <c r="E137" i="3"/>
  <c r="G135" i="3"/>
  <c r="G128" i="3"/>
  <c r="G127" i="3"/>
  <c r="G111" i="3" s="1"/>
  <c r="G129" i="3"/>
  <c r="G130" i="3"/>
  <c r="E121" i="3"/>
  <c r="F121" i="3"/>
  <c r="G131" i="3"/>
  <c r="G132" i="3"/>
  <c r="G133" i="3"/>
  <c r="E125" i="3"/>
  <c r="F125" i="3"/>
  <c r="E123" i="3"/>
  <c r="F123" i="3"/>
  <c r="E122" i="3"/>
  <c r="F122" i="3"/>
  <c r="E120" i="3"/>
  <c r="F120" i="3"/>
  <c r="E119" i="3"/>
  <c r="F119" i="3"/>
  <c r="E118" i="3"/>
  <c r="F118" i="3"/>
  <c r="E117" i="3"/>
  <c r="F117" i="3"/>
  <c r="E90" i="3"/>
  <c r="E91" i="3"/>
  <c r="E92" i="3"/>
  <c r="E81" i="3"/>
  <c r="E82" i="3" s="1"/>
  <c r="M11" i="3"/>
  <c r="E137" i="14"/>
  <c r="E125" i="14"/>
  <c r="F125" i="14"/>
  <c r="E123" i="14"/>
  <c r="F123" i="14"/>
  <c r="E122" i="14"/>
  <c r="F122" i="14"/>
  <c r="E121" i="14"/>
  <c r="F121" i="14"/>
  <c r="F120" i="14"/>
  <c r="E119" i="14"/>
  <c r="F119" i="14"/>
  <c r="E118" i="14"/>
  <c r="F118" i="14"/>
  <c r="F117" i="14"/>
  <c r="G128" i="14"/>
  <c r="G129" i="14"/>
  <c r="G131" i="14"/>
  <c r="G132" i="14"/>
  <c r="G133" i="14"/>
  <c r="G135" i="14"/>
  <c r="E117" i="14"/>
  <c r="O23" i="6"/>
  <c r="O20" i="6"/>
  <c r="P20" i="6"/>
  <c r="H77" i="14"/>
  <c r="H82" i="14" s="1"/>
  <c r="H72" i="14"/>
  <c r="G11" i="14"/>
  <c r="G12" i="14"/>
  <c r="G13" i="14"/>
  <c r="G14" i="14"/>
  <c r="G10" i="14"/>
  <c r="J10" i="14"/>
  <c r="J11" i="14"/>
  <c r="J12" i="14"/>
  <c r="M10" i="14"/>
  <c r="M11" i="14"/>
  <c r="M12" i="14"/>
  <c r="M13" i="14"/>
  <c r="J14" i="14"/>
  <c r="G11" i="3"/>
  <c r="G12" i="3"/>
  <c r="G13" i="3"/>
  <c r="G14" i="3"/>
  <c r="G10" i="3"/>
  <c r="J11" i="3"/>
  <c r="J12" i="3"/>
  <c r="J10" i="3"/>
  <c r="M12" i="3"/>
  <c r="M10" i="3"/>
  <c r="R22" i="10"/>
  <c r="T16" i="10" s="1"/>
  <c r="O22" i="10"/>
  <c r="U16" i="10" s="1"/>
  <c r="L24" i="10"/>
  <c r="V16" i="10" s="1"/>
  <c r="J128" i="14"/>
  <c r="J118" i="14" s="1"/>
  <c r="L125" i="14"/>
  <c r="L123" i="14"/>
  <c r="L122" i="14"/>
  <c r="L121" i="14"/>
  <c r="L120" i="14"/>
  <c r="L119" i="14"/>
  <c r="L118" i="14"/>
  <c r="L117" i="14"/>
  <c r="M135" i="14"/>
  <c r="M125" i="14" s="1"/>
  <c r="M133" i="14"/>
  <c r="M123" i="14" s="1"/>
  <c r="M132" i="14"/>
  <c r="M122" i="14" s="1"/>
  <c r="M131" i="14"/>
  <c r="M121" i="14" s="1"/>
  <c r="M130" i="14"/>
  <c r="M120" i="14" s="1"/>
  <c r="M129" i="14"/>
  <c r="M119" i="14" s="1"/>
  <c r="M128" i="14"/>
  <c r="M118" i="14" s="1"/>
  <c r="L137" i="14"/>
  <c r="I137" i="14"/>
  <c r="I125" i="14"/>
  <c r="I123" i="14"/>
  <c r="I122" i="14"/>
  <c r="I121" i="14"/>
  <c r="I120" i="14"/>
  <c r="I119" i="14"/>
  <c r="I118" i="14"/>
  <c r="I117" i="14"/>
  <c r="J135" i="14"/>
  <c r="J125" i="14" s="1"/>
  <c r="J133" i="14"/>
  <c r="J123" i="14" s="1"/>
  <c r="J132" i="14"/>
  <c r="J122" i="14" s="1"/>
  <c r="J131" i="14"/>
  <c r="J121" i="14" s="1"/>
  <c r="J130" i="14"/>
  <c r="J120" i="14" s="1"/>
  <c r="J129" i="14"/>
  <c r="J119" i="14" s="1"/>
  <c r="H125" i="14"/>
  <c r="H122" i="14"/>
  <c r="H121" i="14"/>
  <c r="H120" i="14"/>
  <c r="H119" i="14"/>
  <c r="H118" i="14"/>
  <c r="N118" i="14"/>
  <c r="N119" i="14"/>
  <c r="N120" i="14"/>
  <c r="N121" i="14"/>
  <c r="N122" i="14"/>
  <c r="N123" i="14"/>
  <c r="N125" i="14"/>
  <c r="K125" i="14"/>
  <c r="K123" i="14"/>
  <c r="K122" i="14"/>
  <c r="K121" i="14"/>
  <c r="K120" i="14"/>
  <c r="K119" i="14"/>
  <c r="K118" i="14"/>
  <c r="N117" i="14"/>
  <c r="K117" i="14"/>
  <c r="H117" i="14"/>
  <c r="L137" i="3"/>
  <c r="M135" i="3"/>
  <c r="M133" i="3"/>
  <c r="M132" i="3"/>
  <c r="M131" i="3"/>
  <c r="M130" i="3"/>
  <c r="M129" i="3"/>
  <c r="L125" i="3"/>
  <c r="M125" i="3" s="1"/>
  <c r="L123" i="3"/>
  <c r="M123" i="3" s="1"/>
  <c r="L122" i="3"/>
  <c r="M122" i="3" s="1"/>
  <c r="L121" i="3"/>
  <c r="M121" i="3" s="1"/>
  <c r="L120" i="3"/>
  <c r="M120" i="3" s="1"/>
  <c r="L119" i="3"/>
  <c r="M119" i="3" s="1"/>
  <c r="J135" i="3"/>
  <c r="J133" i="3"/>
  <c r="J132" i="3"/>
  <c r="J131" i="3"/>
  <c r="J130" i="3"/>
  <c r="J129" i="3"/>
  <c r="I125" i="3"/>
  <c r="J125" i="3" s="1"/>
  <c r="I123" i="3"/>
  <c r="J123" i="3" s="1"/>
  <c r="I122" i="3"/>
  <c r="J122" i="3" s="1"/>
  <c r="I121" i="3"/>
  <c r="J121" i="3" s="1"/>
  <c r="I120" i="3"/>
  <c r="J120" i="3" s="1"/>
  <c r="I119" i="3"/>
  <c r="J119" i="3" s="1"/>
  <c r="I137" i="3"/>
  <c r="M128" i="3"/>
  <c r="L118" i="3"/>
  <c r="M118" i="3" s="1"/>
  <c r="L117" i="3"/>
  <c r="M117" i="3" s="1"/>
  <c r="I118" i="3"/>
  <c r="J118" i="3" s="1"/>
  <c r="J128" i="3"/>
  <c r="I117" i="3"/>
  <c r="J117" i="3" s="1"/>
  <c r="M127" i="3"/>
  <c r="J127" i="3"/>
  <c r="F83" i="14"/>
  <c r="O80" i="14" s="1"/>
  <c r="G83" i="14"/>
  <c r="P80" i="14" s="1"/>
  <c r="H83" i="14"/>
  <c r="Q80" i="14" s="1"/>
  <c r="F81" i="14"/>
  <c r="G81" i="14"/>
  <c r="F77" i="14"/>
  <c r="G77" i="14"/>
  <c r="S27" i="6"/>
  <c r="R27" i="6"/>
  <c r="Q27" i="6"/>
  <c r="P27" i="6"/>
  <c r="O27" i="6"/>
  <c r="P23" i="6"/>
  <c r="Q23" i="6"/>
  <c r="R23" i="6"/>
  <c r="S23" i="6"/>
  <c r="S19" i="6"/>
  <c r="R19" i="6"/>
  <c r="Q19" i="6"/>
  <c r="P19" i="6"/>
  <c r="F92" i="3"/>
  <c r="F83" i="3"/>
  <c r="F81" i="3"/>
  <c r="G92" i="3"/>
  <c r="G83" i="3"/>
  <c r="G81" i="3"/>
  <c r="H92" i="3"/>
  <c r="H83" i="3"/>
  <c r="H77" i="3"/>
  <c r="H81" i="3"/>
  <c r="F77" i="3"/>
  <c r="G77" i="3"/>
  <c r="F72" i="14"/>
  <c r="G72" i="14"/>
  <c r="E52" i="14"/>
  <c r="E56" i="14" s="1"/>
  <c r="F52" i="14"/>
  <c r="G52" i="14"/>
  <c r="H52" i="14"/>
  <c r="M14" i="14"/>
  <c r="I19" i="10"/>
  <c r="W16" i="10" s="1"/>
  <c r="H102" i="3"/>
  <c r="H101" i="3"/>
  <c r="G102" i="3"/>
  <c r="G101" i="3"/>
  <c r="F102" i="3"/>
  <c r="F101" i="3"/>
  <c r="G52" i="3"/>
  <c r="G56" i="3" s="1"/>
  <c r="H52" i="3"/>
  <c r="H56" i="3" s="1"/>
  <c r="F52" i="3"/>
  <c r="F56" i="3" s="1"/>
  <c r="E56" i="3"/>
  <c r="E33" i="3"/>
  <c r="H33" i="3"/>
  <c r="H42" i="3" s="1"/>
  <c r="G33" i="3"/>
  <c r="G42" i="3" s="1"/>
  <c r="F33" i="3"/>
  <c r="F42" i="3" s="1"/>
  <c r="H14" i="3"/>
  <c r="J14" i="3" s="1"/>
  <c r="I13" i="3"/>
  <c r="H13" i="3"/>
  <c r="L14" i="3"/>
  <c r="K14" i="3"/>
  <c r="M13" i="3"/>
  <c r="G90" i="3"/>
  <c r="G91" i="3"/>
  <c r="F90" i="3"/>
  <c r="F91" i="3"/>
  <c r="H91" i="3"/>
  <c r="H90" i="3"/>
  <c r="F82" i="3" l="1"/>
  <c r="G137" i="3"/>
  <c r="I52" i="14"/>
  <c r="J52" i="14"/>
  <c r="J72" i="14"/>
  <c r="G90" i="14"/>
  <c r="P81" i="14"/>
  <c r="N80" i="14"/>
  <c r="H91" i="14"/>
  <c r="Q81" i="14"/>
  <c r="F91" i="14"/>
  <c r="O81" i="14"/>
  <c r="E90" i="14"/>
  <c r="N81" i="14"/>
  <c r="I72" i="14"/>
  <c r="G122" i="3"/>
  <c r="G117" i="14"/>
  <c r="G119" i="14"/>
  <c r="G123" i="14"/>
  <c r="F90" i="14"/>
  <c r="H90" i="14"/>
  <c r="J137" i="3"/>
  <c r="H82" i="3"/>
  <c r="M14" i="3"/>
  <c r="G91" i="14"/>
  <c r="H92" i="14"/>
  <c r="G82" i="14"/>
  <c r="F82" i="14"/>
  <c r="E43" i="3"/>
  <c r="G120" i="3"/>
  <c r="G123" i="3"/>
  <c r="G125" i="3"/>
  <c r="M137" i="3"/>
  <c r="F43" i="3"/>
  <c r="G121" i="3"/>
  <c r="J13" i="3"/>
  <c r="G117" i="3"/>
  <c r="G82" i="3"/>
  <c r="H43" i="3"/>
  <c r="G119" i="3"/>
  <c r="G56" i="14"/>
  <c r="M117" i="14"/>
  <c r="F56" i="14"/>
  <c r="J117" i="14"/>
  <c r="I33" i="14"/>
  <c r="G118" i="3"/>
  <c r="G122" i="14"/>
  <c r="J137" i="14"/>
  <c r="G92" i="14"/>
  <c r="F92" i="14"/>
  <c r="G137" i="14"/>
  <c r="G125" i="14"/>
  <c r="H56" i="14"/>
  <c r="G121" i="14"/>
  <c r="G118" i="14"/>
  <c r="H40" i="14"/>
  <c r="G120" i="14"/>
  <c r="F40" i="14"/>
  <c r="M137" i="14"/>
  <c r="J33" i="14"/>
  <c r="G40" i="14"/>
  <c r="E92" i="14"/>
  <c r="G43" i="3"/>
  <c r="E91" i="14"/>
  <c r="N36" i="14" l="1"/>
  <c r="N39" i="14"/>
  <c r="N37" i="14"/>
  <c r="K56" i="14"/>
  <c r="J56" i="14"/>
  <c r="I56" i="14"/>
  <c r="N40" i="14"/>
  <c r="N3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G19" authorId="0" shapeId="0" xr:uid="{DB3F3AC2-0932-4A7A-8611-73D24758C4C7}">
      <text>
        <r>
          <rPr>
            <sz val="9"/>
            <color indexed="81"/>
            <rFont val="Tahoma"/>
            <family val="2"/>
          </rPr>
          <t>FY2024/25 numbers still to be confirmed and will be done so post publication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tc={88CFE28E-21D1-4056-9225-B05788A1C467}</author>
    <author>tc={C02B732B-636A-4CEB-815E-3948C14291C4}</author>
    <author>tc={02AD94CE-5BA5-4EDE-8525-A8931064BB55}</author>
    <author>tc={BEFF355C-3301-4268-899F-0446A980FBF7}</author>
    <author>tc={6E85BAEE-3492-4EDB-A49D-4F4B86EF50CB}</author>
    <author>tc={001970F9-6B2E-4346-99A5-39219D8D021B}</author>
    <author>tc={03841D26-5513-474E-A67B-CF977A8D9E33}</author>
    <author>tc={E9077630-1FCD-49E0-8638-50CEE60F698E}</author>
    <author>tc={8D7664A8-D9AB-409E-BC7A-63330965D85C}</author>
    <author>tc={24774F3C-A95F-4E42-B59F-47A22CD07DB5}</author>
    <author>tc={65C9ADAF-508A-4C6E-B538-0C965DAA136B}</author>
    <author>tc={A2CA4E63-ED3C-426E-B8D2-FEF83A215810}</author>
    <author>tc={D0DCF2E0-067B-4DB8-8039-E4686F86BC52}</author>
    <author>tc={FD15BE50-FFBA-48D5-AEB0-A413712E4AD2}</author>
    <author>tc={728C9CDD-C922-4B62-BF8F-21E63D9803F2}</author>
    <author>tc={7E8A7E52-B244-4F21-B8F8-040ABF19BEC2}</author>
  </authors>
  <commentList>
    <comment ref="B32" authorId="0" shapeId="0" xr:uid="{88CFE28E-21D1-4056-9225-B05788A1C467}">
      <text>
        <t>[Threaded comment]
Your version of Excel allows you to read this threaded comment; however, any edits to it will get removed if the file is opened in a newer version of Excel. Learn more: https://go.microsoft.com/fwlink/?linkid=870924
Comment:
    @Victoria Barlow - for your team to provide numbers once finalised. Thank you.</t>
      </text>
    </comment>
    <comment ref="D33" authorId="1" shapeId="0" xr:uid="{C02B732B-636A-4CEB-815E-3948C14291C4}">
      <text>
        <t>[Threaded comment]
Your version of Excel allows you to read this threaded comment; however, any edits to it will get removed if the file is opened in a newer version of Excel. Learn more: https://go.microsoft.com/fwlink/?linkid=870924
Comment:
    @Trevor Rouse are these numbers as at 31st March 2023 or avg numbers over the financial year?
Reply:
    As at 31st March 2023</t>
      </text>
    </comment>
    <comment ref="C34" authorId="2" shapeId="0" xr:uid="{02AD94CE-5BA5-4EDE-8525-A8931064BB55}">
      <text>
        <t>[Threaded comment]
Your version of Excel allows you to read this threaded comment; however, any edits to it will get removed if the file is opened in a newer version of Excel. Learn more: https://go.microsoft.com/fwlink/?linkid=870924
Comment:
    @Trevor Rouse do you have a definition we can use here? preferably not with GG12+ as that won't mean anything externally
Reply:
    All employees whether they are a People manager or not at a minimum pay grade</t>
      </text>
    </comment>
    <comment ref="M34" authorId="3" shapeId="0" xr:uid="{BEFF355C-3301-4268-899F-0446A980FBF7}">
      <text>
        <t>[Threaded comment]
Your version of Excel allows you to read this threaded comment; however, any edits to it will get removed if the file is opened in a newer version of Excel. Learn more: https://go.microsoft.com/fwlink/?linkid=870924
Comment:
    @Trevor Rouse please could you just confirm this number for me, make sure you are happy with the split and that this is 28% for 2022/23
Reply:
    Yes - happy with the split and the 28%</t>
      </text>
    </comment>
    <comment ref="B37" authorId="4" shapeId="0" xr:uid="{6E85BAEE-3492-4EDB-A49D-4F4B86EF50CB}">
      <text>
        <t>[Threaded comment]
Your version of Excel allows you to read this threaded comment; however, any edits to it will get removed if the file is opened in a newer version of Excel. Learn more: https://go.microsoft.com/fwlink/?linkid=870924
Comment:
    VB reviewed and confirmed 21/04/23
Reply:
    @Victoria Barlow thank you, do we have any historical data?
Reply:
    @Victoria Barlow is there any prior years data available?
Reply:
    @Holly Scott are you able to provide prior year ages?
Reply:
    @Xin Ngfat added in
Reply:
    @Victoria Barlow @Holly Scott definitely some numbers in there</t>
      </text>
    </comment>
    <comment ref="C47" authorId="5" shapeId="0" xr:uid="{001970F9-6B2E-4346-99A5-39219D8D021B}">
      <text>
        <t>[Threaded comment]
Your version of Excel allows you to read this threaded comment; however, any edits to it will get removed if the file is opened in a newer version of Excel. Learn more: https://go.microsoft.com/fwlink/?linkid=870924
Comment:
    @Trevor Rouse why is this? Age details voluntary?
Reply:
    Yes - age details voluntary</t>
      </text>
    </comment>
    <comment ref="C51" authorId="6" shapeId="0" xr:uid="{03841D26-5513-474E-A67B-CF977A8D9E33}">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53" authorId="7" shapeId="0" xr:uid="{E9077630-1FCD-49E0-8638-50CEE60F698E}">
      <text>
        <t>[Threaded comment]
Your version of Excel allows you to read this threaded comment; however, any edits to it will get removed if the file is opened in a newer version of Excel. Learn more: https://go.microsoft.com/fwlink/?linkid=870924
Comment:
    @Trevor Rouse can we put in the calculation detail please of first day, last day etc
Reply:
    @Trevor Rouse and perm employee only
Reply:
    @Xin Ngfat - think you have this now - number of leavers over last 12 months divided by average headcount say as at data points 1 April 2022 and 31 March 2023</t>
      </text>
    </comment>
    <comment ref="C54" authorId="8" shapeId="0" xr:uid="{8D7664A8-D9AB-409E-BC7A-63330965D85C}">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94" authorId="9" shapeId="0" xr:uid="{24774F3C-A95F-4E42-B59F-47A22CD07DB5}">
      <text>
        <t>[Threaded comment]
Your version of Excel allows you to read this threaded comment; however, any edits to it will get removed if the file is opened in a newer version of Excel. Learn more: https://go.microsoft.com/fwlink/?linkid=870924
Comment:
    @Trevor Rouse could you provide this excl health please - I think it's 12510 this year, any idea for historical?</t>
      </text>
    </comment>
    <comment ref="B115" authorId="10" shapeId="0" xr:uid="{65C9ADAF-508A-4C6E-B538-0C965DAA136B}">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24" authorId="11" shapeId="0" xr:uid="{A2CA4E63-ED3C-426E-B8D2-FEF83A215810}">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2" authorId="12" shapeId="0" xr:uid="{D0DCF2E0-067B-4DB8-8039-E4686F86BC5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8" authorId="13" shapeId="0" xr:uid="{FD15BE50-FFBA-48D5-AEB0-A413712E4AD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C151" authorId="14" shapeId="0" xr:uid="{728C9CDD-C922-4B62-BF8F-21E63D9803F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 ref="C182" authorId="15" shapeId="0" xr:uid="{7E8A7E52-B244-4F21-B8F8-040ABF19BEC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2" authorId="0" shapeId="0" xr:uid="{8666A49C-821A-4BA8-ACD5-059BF6F66435}">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3" authorId="0" shapeId="0" xr:uid="{A1B4E1F2-BF85-4FCF-8EF8-3F1351495022}">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4" authorId="0" shapeId="0" xr:uid="{0E167E7A-78AE-4E01-92B9-F2F9DC06A4E9}">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5" authorId="0" shapeId="0" xr:uid="{BB15AA27-163E-4173-9A0C-ED199EDE971A}">
      <text>
        <r>
          <rPr>
            <sz val="10"/>
            <color indexed="81"/>
            <rFont val="Verdana"/>
            <family val="2"/>
          </rPr>
          <t xml:space="preserve">
This is our operational GHG footprint using the Scope 1 emissions and the market based Scope 2 emissions as stated above.</t>
        </r>
      </text>
    </comment>
    <comment ref="B16" authorId="0" shapeId="0" xr:uid="{C5CFD619-63CF-4C03-A663-A62299BB8E4F}">
      <text>
        <r>
          <rPr>
            <sz val="10"/>
            <color indexed="81"/>
            <rFont val="Verdana"/>
            <family val="2"/>
          </rPr>
          <t xml:space="preserve">
This is our operational GHG footprint using the Scope 1 emissions and the location based Scope 2 emissions as stated above.</t>
        </r>
      </text>
    </comment>
    <comment ref="B17" authorId="0" shapeId="0" xr:uid="{3D39FBB3-BB97-4466-AB8F-81FAFE2A7B63}">
      <text>
        <r>
          <rPr>
            <sz val="10"/>
            <color indexed="81"/>
            <rFont val="Verdana"/>
            <family val="2"/>
          </rPr>
          <t xml:space="preserve">
This is the total scope 1 GHG emissions and  Scope 2 GHG emissions based on the market values factored against the weight of product sold.
UK - This is the (UK) total scope 1 GHG emissions and  Scope 2 GHG emissions based on the market values factored against the weight of product manufatured in the UK and sold.</t>
        </r>
      </text>
    </comment>
    <comment ref="B22" authorId="0" shapeId="0" xr:uid="{5137AD46-C394-43D4-ABAE-2A9AB9C684D0}">
      <text>
        <r>
          <rPr>
            <sz val="10"/>
            <color indexed="81"/>
            <rFont val="Verdana"/>
            <family val="2"/>
          </rPr>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23" authorId="0" shapeId="0" xr:uid="{DCE85ACF-B12D-449F-932C-C499FA7E9B3C}">
      <text>
        <r>
          <rPr>
            <sz val="10"/>
            <color indexed="81"/>
            <rFont val="Verdana"/>
            <family val="2"/>
          </rPr>
          <t>This is the total energy used by the business divided by amount of materials sold to customers.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tc={28CD9136-3778-4ED6-8BA8-1625F9C05E17}</author>
  </authors>
  <commentList>
    <comment ref="C2" authorId="0" shapeId="0" xr:uid="{28CD9136-3778-4ED6-8BA8-1625F9C05E17}">
      <text>
        <t>[Threaded comment]
Your version of Excel allows you to read this threaded comment; however, any edits to it will get removed if the file is opened in a newer version of Excel. Learn more: https://go.microsoft.com/fwlink/?linkid=870924
Comment:
    @Ellen Briggs-Coquio UN SDG data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Xin Ngfat</author>
    <author>Ketan Chavda</author>
  </authors>
  <commentList>
    <comment ref="B11" authorId="0" shapeId="0" xr:uid="{FFA28DE6-B952-4767-8054-EBBD987AF037}">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2" authorId="0" shapeId="0" xr:uid="{35C2FE94-E483-4F99-87D8-6DE614D9580A}">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3" authorId="0" shapeId="0" xr:uid="{DD79B860-0DCD-422B-8660-D0551A05A190}">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4" authorId="0" shapeId="0" xr:uid="{EFF25D66-9714-4E11-8335-0296651C5CD8}">
      <text>
        <r>
          <rPr>
            <sz val="10"/>
            <color indexed="81"/>
            <rFont val="Verdana"/>
            <family val="2"/>
          </rPr>
          <t xml:space="preserve">
This is our operational GHG footprint using the Scope 1 emissions and the market based Scope 2 emissions as stated above.</t>
        </r>
      </text>
    </comment>
    <comment ref="B15" authorId="0" shapeId="0" xr:uid="{5E54F472-C26B-449C-9D33-BB06DFF00875}">
      <text>
        <r>
          <rPr>
            <sz val="10"/>
            <color indexed="81"/>
            <rFont val="Verdana"/>
            <family val="2"/>
          </rPr>
          <t xml:space="preserve">
This is our operational GHG footprint using the Scope 1 emissions and the location based Scope 2 emissions as stated above.</t>
        </r>
      </text>
    </comment>
    <comment ref="B16" authorId="0" shapeId="0" xr:uid="{E6AA52E8-08AB-42D0-B11F-DDDC7BF95C72}">
      <text>
        <r>
          <rPr>
            <sz val="10"/>
            <color indexed="81"/>
            <rFont val="Verdana"/>
            <family val="2"/>
          </rPr>
          <t xml:space="preserve">
This is the total scope 1 GHG emissions and  Scope 2 GHG emissions based on the market values factored against the weight of product sold. </t>
        </r>
      </text>
    </comment>
    <comment ref="B19" authorId="1" shapeId="0" xr:uid="{5D83FC05-CC51-4E43-BB76-D768C15E441A}">
      <text>
        <r>
          <rPr>
            <sz val="9"/>
            <color indexed="81"/>
            <rFont val="Tahoma"/>
            <family val="2"/>
          </rPr>
          <t>Where mass of purchased goods was available, this was used in combination with GHG intensity factors obtained either from suppliers or EcoInvent. For the remaining goods and for purchased services a financial allocation (EEIO model) was used.</t>
        </r>
      </text>
    </comment>
    <comment ref="B20" authorId="1" shapeId="0" xr:uid="{37AA0882-DB2F-4673-B90C-2DDD2AA9BD38}">
      <text>
        <r>
          <rPr>
            <sz val="9"/>
            <color indexed="81"/>
            <rFont val="Tahoma"/>
            <family val="2"/>
          </rPr>
          <t>Financial allocation (EEIO model) using geographical breakdown of data shown in Accounting note 11 “Property, plant &amp; equipment” on page [168 in ara2024 - property, plant and equipment].</t>
        </r>
      </text>
    </comment>
    <comment ref="B21" authorId="1" shapeId="0" xr:uid="{D6401EE6-66E0-4409-B1F8-C1B4D6899D5A}">
      <text>
        <r>
          <rPr>
            <sz val="9"/>
            <color indexed="81"/>
            <rFont val="Tahoma"/>
            <family val="2"/>
          </rPr>
          <t>DEFRA’s GHG reporting conversion factors 2024 were used to calculate well-to-tank GHG emissions from fuel usage, transmission and distribution losses from purchased electricity, and well-to-tank and transmission and distribution losses of energy from steam.</t>
        </r>
      </text>
    </comment>
    <comment ref="B22" authorId="1" shapeId="0" xr:uid="{AFC974E7-C4AA-40FD-BC80-FE98C97FE1C1}">
      <text>
        <r>
          <rPr>
            <sz val="9"/>
            <color indexed="81"/>
            <rFont val="Tahoma"/>
            <family val="2"/>
          </rPr>
          <t>Emissions data was provided by our suppliers where available. Otherwise, a financial allocation was made based on spend and intensity factors from the EEIO model.</t>
        </r>
      </text>
    </comment>
    <comment ref="B23" authorId="1" shapeId="0" xr:uid="{8B274B4F-5F45-40BA-8F3F-4A9AC597F850}">
      <text>
        <r>
          <rPr>
            <sz val="9"/>
            <color indexed="81"/>
            <rFont val="Tahoma"/>
            <family val="2"/>
          </rPr>
          <t>Where GHG footprints were available from waste service providers they were used, otherwise DEFRA’s GHG reporting conversion factors 2024 were used according to mass of waste disposal by destination.</t>
        </r>
      </text>
    </comment>
    <comment ref="B24" authorId="1" shapeId="0" xr:uid="{42023213-188E-4083-85EA-A0B5EBC1E511}">
      <text>
        <r>
          <rPr>
            <sz val="9"/>
            <color indexed="81"/>
            <rFont val="Tahoma"/>
            <family val="2"/>
          </rPr>
          <t xml:space="preserve">Footprints for business travel for air, rail and hotel was obtained from our business travel service providers, where possible. For all other travel-related items, distance was preferentially used in combination with DEFRA’s GHG reporting conversion factors 2024. Otherwise, a financial allocation was made based on expenses and intensity factors from the EEIO model. Accounting is by date of financial transaction report.
</t>
        </r>
      </text>
    </comment>
    <comment ref="B25" authorId="1" shapeId="0" xr:uid="{C7307CD6-7D39-4B5D-97A1-B93A2B1A4464}">
      <text>
        <r>
          <rPr>
            <sz val="9"/>
            <color indexed="81"/>
            <rFont val="Tahoma"/>
            <family val="2"/>
          </rPr>
          <t xml:space="preserve">Data is obtained through an annual employee survey of distance travelled per week by modes of transport. DEFRA’s GHG reporting conversion factors 2024 are used to calculate the GHG intensity of each transport type.
</t>
        </r>
      </text>
    </comment>
    <comment ref="B26" authorId="1" shapeId="0" xr:uid="{B9F9CB17-386D-4261-B1BC-C3BE215DBE2D}">
      <text>
        <r>
          <rPr>
            <sz val="9"/>
            <color indexed="81"/>
            <rFont val="Tahoma"/>
            <family val="2"/>
          </rPr>
          <t xml:space="preserve">Activity-based secondary emission factors were used on floor space and geographical data.
</t>
        </r>
      </text>
    </comment>
    <comment ref="B27" authorId="1" shapeId="0" xr:uid="{AEA9442A-0909-4BEC-9081-88C16ECD7EBE}">
      <text>
        <r>
          <rPr>
            <sz val="9"/>
            <color indexed="81"/>
            <rFont val="Tahoma"/>
            <family val="2"/>
          </rPr>
          <t xml:space="preserve">Emissions data was provided by our suppliers where available. Otherwise, a financial allocation was made based on spend and intensity factors from the EEIO model.
</t>
        </r>
      </text>
    </comment>
    <comment ref="B28" authorId="1" shapeId="0" xr:uid="{BB29B88B-C75D-4801-95FB-5A22DF254B77}">
      <text>
        <r>
          <rPr>
            <sz val="9"/>
            <color indexed="81"/>
            <rFont val="Tahoma"/>
            <family val="2"/>
          </rPr>
          <t xml:space="preserve">Where possible, calculations have been made using the mass or number of products sold and attributing an emissions conversion associated with a catalyst activation step by downstream customers for products requiring this. For Clean Air products, an emission factor associated with welding/canning was used.
</t>
        </r>
      </text>
    </comment>
    <comment ref="B29" authorId="1" shapeId="0" xr:uid="{E7F900BC-0C23-4B7F-9EA6-5BE27A069052}">
      <text>
        <r>
          <rPr>
            <sz val="9"/>
            <color indexed="81"/>
            <rFont val="Tahoma"/>
            <family val="2"/>
          </rPr>
          <t xml:space="preserve">We have removed Use of sold products from our footprint by agreement with SBTi, as it determined that the emissions we reported in this category were ‘indirect’ and should not, therefore, be included.
</t>
        </r>
      </text>
    </comment>
    <comment ref="B30" authorId="1" shapeId="0" xr:uid="{E5E525C3-E6C5-4512-9C44-A8C9FDF45795}">
      <text>
        <r>
          <rPr>
            <sz val="9"/>
            <color indexed="81"/>
            <rFont val="Tahoma"/>
            <family val="2"/>
          </rPr>
          <t xml:space="preserve">Given no visibility of the end-of-life treatment/use of JM products, the mass of sold products has been mapped against an emission factor associated with the recycling of PGMs to retain the precious metals, with remainder mass associated with GHG emissions for landfill activities.
</t>
        </r>
      </text>
    </comment>
    <comment ref="B31" authorId="1" shapeId="0" xr:uid="{0918E711-CEC0-485A-A948-806E6EFF0F43}">
      <text>
        <r>
          <rPr>
            <sz val="9"/>
            <color indexed="81"/>
            <rFont val="Tahoma"/>
            <family val="2"/>
          </rPr>
          <t xml:space="preserve">Activity-based secondary emission factors were used on floor space and geographical data.
</t>
        </r>
      </text>
    </comment>
    <comment ref="B32" authorId="1" shapeId="0" xr:uid="{099E499A-DE95-494D-B3E7-2EB597BE9EE4}">
      <text>
        <r>
          <rPr>
            <sz val="9"/>
            <color indexed="81"/>
            <rFont val="Tahoma"/>
            <family val="2"/>
          </rPr>
          <t xml:space="preserve">JM does not have any franchises.
</t>
        </r>
      </text>
    </comment>
    <comment ref="B33" authorId="1" shapeId="0" xr:uid="{5ACE571B-B028-4C0F-A42A-BE1C3F39DF1B}">
      <text>
        <r>
          <rPr>
            <sz val="9"/>
            <color indexed="81"/>
            <rFont val="Tahoma"/>
            <family val="2"/>
          </rPr>
          <t>GHG intensity factors from our Pensions trustee providers were used and applied to pension-related financials. Due to missing data JM’s from joint ventures’ emissions, historical JM data for the divested business was used as a substitute.</t>
        </r>
      </text>
    </comment>
    <comment ref="B54" authorId="0" shapeId="0" xr:uid="{175B0089-8403-40F9-B80E-6CEDA1992BFA}">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55" authorId="0" shapeId="0" xr:uid="{2A23E601-09FE-4E99-902D-E1D17CBD8BE7}">
      <text>
        <r>
          <rPr>
            <sz val="10"/>
            <color indexed="81"/>
            <rFont val="Verdana"/>
            <family val="2"/>
          </rPr>
          <t>This is the total energy used by the business divided by amount of materials sold to customers.</t>
        </r>
      </text>
    </comment>
    <comment ref="B56" authorId="0" shapeId="0" xr:uid="{10055198-DB26-4D53-BC3B-07066B6C1D0F}">
      <text>
        <r>
          <rPr>
            <sz val="10"/>
            <color indexed="81"/>
            <rFont val="Verdana"/>
            <family val="2"/>
          </rPr>
          <t>This is the total amount of renewable electricity supplied to site or generated on site as a percentage of the total electricity used by JM. The total amount includes non renewable electricity generated by JM on our own sites as well as all electricity supplied to JM through grid or direct connection.</t>
        </r>
      </text>
    </comment>
    <comment ref="B71" authorId="0" shapeId="0" xr:uid="{F2893684-7383-4FFC-9BD1-06617548BE76}">
      <text>
        <r>
          <rPr>
            <sz val="10"/>
            <color indexed="81"/>
            <rFont val="Verdana"/>
            <family val="2"/>
          </rPr>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r>
      </text>
    </comment>
    <comment ref="B72" authorId="0" shapeId="0" xr:uid="{AE1422BE-87C9-4B3C-8992-E96012D145A2}">
      <text>
        <r>
          <rPr>
            <sz val="10"/>
            <color indexed="81"/>
            <rFont val="Verdana"/>
            <family val="2"/>
          </rPr>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r>
      </text>
    </comment>
    <comment ref="B73" authorId="0" shapeId="0" xr:uid="{687246BD-CC2B-469D-9A66-79A37FE084F5}">
      <text>
        <r>
          <rPr>
            <sz val="10"/>
            <color indexed="81"/>
            <rFont val="Verdana"/>
            <family val="2"/>
          </rPr>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r>
      </text>
    </comment>
    <comment ref="B74" authorId="0" shapeId="0" xr:uid="{E8422A88-33D1-4043-8DB3-0961CBFD049E}">
      <text>
        <r>
          <rPr>
            <sz val="10"/>
            <color indexed="81"/>
            <rFont val="Verdana"/>
            <family val="2"/>
          </rPr>
          <t>This is the total energy consumed by JM (expressed in kWh)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r>
      </text>
    </comment>
    <comment ref="B75" authorId="0" shapeId="0" xr:uid="{D4F95AA3-266D-41D2-BEA7-C366D3EBA784}">
      <text>
        <r>
          <rPr>
            <sz val="10"/>
            <color indexed="81"/>
            <rFont val="Verdana"/>
            <family val="2"/>
          </rPr>
          <t>This is the total of non renewable electrical energy (expressed as kWh) purchased from a grid that is consumed for site operations. Values are taken from supplier invoices that cover the time period in question.</t>
        </r>
      </text>
    </comment>
    <comment ref="B76" authorId="0" shapeId="0" xr:uid="{9FEB0B2C-A7BB-49A9-A449-2C4D7ED9695A}">
      <text>
        <r>
          <rPr>
            <sz val="10"/>
            <color indexed="81"/>
            <rFont val="Verdana"/>
            <family val="2"/>
          </rPr>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r>
      </text>
    </comment>
    <comment ref="B77" authorId="0" shapeId="0" xr:uid="{18A2FBEE-CB58-44A5-8775-BBCBC7C2FB37}">
      <text>
        <r>
          <rPr>
            <sz val="10"/>
            <color indexed="81"/>
            <rFont val="Verdana"/>
            <family val="2"/>
          </rPr>
          <t xml:space="preserve">This is the energy used from either the direct fuel used or mileage traveled by JM vehicles or JM employees in road vehicles when on company business. </t>
        </r>
      </text>
    </comment>
    <comment ref="B78" authorId="0" shapeId="0" xr:uid="{065C91CC-65CB-42B7-9625-F1C4B7BA3D40}">
      <text>
        <r>
          <rPr>
            <sz val="10"/>
            <color indexed="81"/>
            <rFont val="Verdana"/>
            <family val="2"/>
          </rPr>
          <t>This is the total amount of renewable energy (expressed as kWh) supplied to site or generated on site for use in our operations. The energy is certified renewable or is purchased as a renewable supply.</t>
        </r>
      </text>
    </comment>
    <comment ref="B86" authorId="0" shapeId="0" xr:uid="{B78E1880-0FE3-4FC5-B0DC-D1A2AAAA14AD}">
      <text>
        <r>
          <rPr>
            <sz val="10"/>
            <color indexed="81"/>
            <rFont val="Verdana"/>
            <family val="2"/>
          </rPr>
          <t>This is fresh water that is supplied to site via mains pipework.</t>
        </r>
      </text>
    </comment>
    <comment ref="B87" authorId="0" shapeId="0" xr:uid="{5A9B5874-4EC5-4110-A0AA-E0A4471A8B9B}">
      <text>
        <r>
          <rPr>
            <sz val="10"/>
            <color indexed="81"/>
            <rFont val="Verdana"/>
            <family val="2"/>
          </rPr>
          <t>This is water that is extracted from fresh surface water</t>
        </r>
      </text>
    </comment>
    <comment ref="B88" authorId="0" shapeId="0" xr:uid="{42F94C63-7CE7-4FC3-A520-D9108C5D1CD2}">
      <text>
        <r>
          <rPr>
            <sz val="10"/>
            <color indexed="81"/>
            <rFont val="Verdana"/>
            <family val="2"/>
          </rPr>
          <t xml:space="preserve">Water in soil beneath the soil surface, usually under conditions where the pressure in the water is greater than the atmospheric pressure, and the soil voids are substantially filled with the water. </t>
        </r>
      </text>
    </comment>
    <comment ref="B90" authorId="0" shapeId="0" xr:uid="{01AB2AF8-5C8D-40D9-80C5-C5A76FBBEDDB}">
      <text>
        <r>
          <rPr>
            <sz val="10"/>
            <color indexed="81"/>
            <rFont val="Verdana"/>
            <family val="2"/>
          </rPr>
          <t xml:space="preserve">This is the total fresh mains water, water extracted from the surface of the earth and water extracted from beneath the ground. </t>
        </r>
      </text>
    </comment>
    <comment ref="B92" authorId="0" shapeId="0" xr:uid="{0C4F0592-3303-418E-9DAF-A4451157E774}">
      <text>
        <r>
          <rPr>
            <sz val="10"/>
            <color indexed="81"/>
            <rFont val="Verdana"/>
            <family val="2"/>
          </rPr>
          <t>This is wastewater that is returned to its original source and is of equal or higher quality than the water that was originally extracted. In JM we only consider water returned to fresh surface water (lakes, rivers etc) or fresh ground water for this indicator.</t>
        </r>
      </text>
    </comment>
    <comment ref="B94" authorId="0" shapeId="0" xr:uid="{398A002F-B38D-49A2-83D6-CDA930EBC196}">
      <text>
        <r>
          <rPr>
            <sz val="10"/>
            <color indexed="81"/>
            <rFont val="Tahoma"/>
            <family val="2"/>
          </rPr>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r>
      </text>
    </comment>
    <comment ref="B97" authorId="0" shapeId="0" xr:uid="{A9631693-9675-44F2-8BAC-5F1BB05C5A4E}">
      <text>
        <r>
          <rPr>
            <sz val="10"/>
            <color indexed="81"/>
            <rFont val="Verdana"/>
            <family val="2"/>
          </rPr>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r>
      </text>
    </comment>
    <comment ref="B98" authorId="0" shapeId="0" xr:uid="{1D2AE209-BACE-41BF-AA77-788F74423ED0}">
      <text>
        <r>
          <rPr>
            <sz val="10"/>
            <color indexed="81"/>
            <rFont val="Verdana"/>
            <family val="2"/>
          </rPr>
          <t>This represents the amount of wastewater at JM where COD is routinely measured.</t>
        </r>
      </text>
    </comment>
    <comment ref="B101" authorId="0" shapeId="0" xr:uid="{54613D08-4F79-4EEE-8E84-416221D70952}">
      <text>
        <r>
          <rPr>
            <sz val="10"/>
            <color indexed="81"/>
            <rFont val="Verdana"/>
            <family val="2"/>
          </rPr>
          <t>This indicator equates the net fresh water usage indicator as per the DJSI reporting criteria. This equates to the fresh water takn into site from mains, surface and groundwater which is adjusted for any water that is returned to fresh surface or groundwater.</t>
        </r>
      </text>
    </comment>
    <comment ref="B102" authorId="0" shapeId="0" xr:uid="{EF6F40EA-2902-427C-AFED-445775950EC2}">
      <text>
        <r>
          <rPr>
            <sz val="10"/>
            <color indexed="81"/>
            <rFont val="Verdana"/>
            <family val="2"/>
          </rPr>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r>
      </text>
    </comment>
    <comment ref="B104" authorId="0" shapeId="0" xr:uid="{34FF1621-B836-416C-93D5-F25796F4CAEC}">
      <text>
        <r>
          <rPr>
            <sz val="9"/>
            <color indexed="81"/>
            <rFont val="Tahoma"/>
            <family val="2"/>
          </rPr>
          <t>Calculated in line with ESG rebaslining</t>
        </r>
      </text>
    </comment>
    <comment ref="B108" authorId="0" shapeId="0" xr:uid="{FA2F564E-B36B-4578-99F7-959530EEBDC9}">
      <text>
        <r>
          <rPr>
            <sz val="10"/>
            <color indexed="81"/>
            <rFont val="Verdana"/>
            <family val="2"/>
          </rPr>
          <t xml:space="preserve">
Hazardous waste is material deemed hazardous under the terms of the Basel Convention Annex I, II, III, 179 and VIII.  A liquid waste is any item that can be poured and is transported in IBC, tanker or sealed container</t>
        </r>
      </text>
    </comment>
    <comment ref="B109" authorId="0" shapeId="0" xr:uid="{D05EF9B7-5C0D-4D73-B64F-D2D74859B98D}">
      <text>
        <r>
          <rPr>
            <sz val="10"/>
            <color indexed="81"/>
            <rFont val="Verdana"/>
            <family val="2"/>
          </rPr>
          <t xml:space="preserve">Hazardous waste is material deemed hazardous under the terms of the Basel Convention Annex I, II, III, 179 and VIII.  A solid waste is any item that is transported in a skip or similar container that cannot be poured
</t>
        </r>
      </text>
    </comment>
    <comment ref="B110" authorId="0" shapeId="0" xr:uid="{A604139C-0B5E-4EBF-A6FF-B39F92979AC3}">
      <text>
        <r>
          <rPr>
            <sz val="10"/>
            <color indexed="81"/>
            <rFont val="Verdana"/>
            <family val="2"/>
          </rPr>
          <t xml:space="preserve">Non Hazardous waste is material not deemed hazardous under the terms of the Basel Convention Annex I, II, III, 179 and VIII.  A liquid waste is any item that can be poured and is transported in IBC, tanker or sealed container
</t>
        </r>
      </text>
    </comment>
    <comment ref="B111" authorId="0" shapeId="0" xr:uid="{33B8DA16-C17E-46E0-8D31-BCD65959C278}">
      <text>
        <r>
          <rPr>
            <sz val="10"/>
            <color indexed="81"/>
            <rFont val="Verdana"/>
            <family val="2"/>
          </rPr>
          <t xml:space="preserve">
Non Hazardous waste is material that is not deemed hazardous under the terms of the Basel Convention Annex I, II, III, 179 and VIII.  A solid waste is any item that is transported in a skip or similar container that cannot be poured</t>
        </r>
      </text>
    </comment>
    <comment ref="B112" authorId="0" shapeId="0" xr:uid="{51AA756E-DA99-4D12-9202-FDDA60F2DE93}">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13" authorId="0" shapeId="0" xr:uid="{A1391F9E-44AE-4C09-A027-248DF015583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16" authorId="0" shapeId="0" xr:uid="{86218217-3B07-497E-AFF1-2A842D99E105}">
      <text>
        <r>
          <rPr>
            <sz val="10"/>
            <color indexed="81"/>
            <rFont val="Verdana"/>
            <family val="2"/>
          </rPr>
          <t xml:space="preserve">Total waste represents both liquid and solid waste. Total waste includes both hazardous and non hazardous waste.
Reused waste is that waste that can be reused in its original or some other purpose without any modification to the waste material.
</t>
        </r>
      </text>
    </comment>
    <comment ref="B117" authorId="0" shapeId="0" xr:uid="{787AAE8A-F516-4D8F-ABFA-588D4A58489C}">
      <text>
        <r>
          <rPr>
            <sz val="10"/>
            <color indexed="81"/>
            <rFont val="Verdana"/>
            <family val="2"/>
          </rPr>
          <t xml:space="preserve">Total waste represents both liquid and solid waste. Total waste includes both hazardous and non hazardous waste.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
</t>
        </r>
      </text>
    </comment>
    <comment ref="B118" authorId="0" shapeId="0" xr:uid="{FA78FCB2-6FC7-4F94-AD33-DD16054892E2}">
      <text>
        <r>
          <rPr>
            <sz val="10"/>
            <color indexed="81"/>
            <rFont val="Verdana"/>
            <family val="2"/>
          </rPr>
          <t>This is the total waste that is recycled  or reused. Total waste represents both liquid and solid waste. Total waste includes both hazardous and non hazardous waste.
This category counts waste that is sent offsite from JM to a third party facility that is licensed and authorised to incinerate waste materials. The incineration process will give rise to waste heat that is recovered for reuse as heat or to generate electricity.</t>
        </r>
      </text>
    </comment>
    <comment ref="B119" authorId="0" shapeId="0" xr:uid="{624B0787-01F9-4EE1-BC47-DEA00D71F57C}">
      <text>
        <r>
          <rPr>
            <sz val="10"/>
            <color indexed="81"/>
            <rFont val="Verdana"/>
            <family val="2"/>
          </rPr>
          <t xml:space="preserve">This is the total waste that is recycled  or reused. Total waste represents both liquid and solid waste. Total waste includes both hazardous and non hazardous waste.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r>
      </text>
    </comment>
    <comment ref="B120" authorId="0" shapeId="0" xr:uid="{DB4F006C-14FC-421D-9907-E7B52146202F}">
      <text>
        <r>
          <rPr>
            <sz val="10"/>
            <color indexed="81"/>
            <rFont val="Verdana"/>
            <family val="2"/>
          </rPr>
          <t xml:space="preserve">This is the total waste that is recycled  or reused. Total waste represents both liquid and solid waste. Total waste includes both hazardous and non hazardous waste.
This is the total waste sent from the JM site for reuse, recycling incineration with energy recovery, incineration / treatment without energy recover or landfilling. This is a sum of the above total waste indicators.
</t>
        </r>
      </text>
    </comment>
    <comment ref="B121" authorId="0" shapeId="0" xr:uid="{85EC312B-D643-459C-A885-94943F2FCA8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44" authorId="0" shapeId="0" xr:uid="{24B939B1-7BBA-4799-8988-6D363BB5DBC7}">
      <text>
        <r>
          <rPr>
            <sz val="10"/>
            <color indexed="81"/>
            <rFont val="Verdana"/>
            <family val="2"/>
          </rPr>
          <t>A solid waste is any item that is transported in a skip or similar container that cannot be poured. 
The total solid waste is the total of all solid hazardous and non hazardous waste sent offsite by JM.</t>
        </r>
      </text>
    </comment>
    <comment ref="B145" authorId="0" shapeId="0" xr:uid="{E2C4305F-04CD-4F74-A041-422CD9DD9AA3}">
      <text>
        <r>
          <rPr>
            <sz val="10"/>
            <color indexed="81"/>
            <rFont val="Verdana"/>
            <family val="2"/>
          </rPr>
          <t xml:space="preserve">A solid waste is any item that is transported in a skip or similar container that cannot be poured. This represents the total hazardous and non hazardous waste sent offsite by JM for reuse. </t>
        </r>
      </text>
    </comment>
    <comment ref="B146" authorId="0" shapeId="0" xr:uid="{49CCA6FC-FC4A-4EE2-9523-5A3C86AF3237}">
      <text>
        <r>
          <rPr>
            <sz val="10"/>
            <color indexed="81"/>
            <rFont val="Verdana"/>
            <family val="2"/>
          </rPr>
          <t xml:space="preserve">A solid waste is any item that is transported in a skip or similar container that cannot be poured. This represents the total hazardous and non hazardous waste sent offsite by JM for recycling. </t>
        </r>
      </text>
    </comment>
    <comment ref="B147" authorId="0" shapeId="0" xr:uid="{2416605F-3E00-421C-98E2-5EC78AB6D9BA}">
      <text>
        <r>
          <rPr>
            <sz val="10"/>
            <color indexed="81"/>
            <rFont val="Verdana"/>
            <family val="2"/>
          </rPr>
          <t>A solid waste is any item that is transported in a skip or similar container that cannot be poured. This indicator represents the total solid waste (hazardous and non hazardous) that is sent offsite to incineration (with or without energy recovery), further treatment before disposal and landfill. 
This indicator considers solid waste that cannot be recovered, reused or recycled.</t>
        </r>
      </text>
    </comment>
    <comment ref="D147" authorId="0" shapeId="0" xr:uid="{741C82D8-6A84-47F3-9070-8D3626025F29}">
      <text>
        <r>
          <rPr>
            <sz val="9"/>
            <color indexed="81"/>
            <rFont val="Tahoma"/>
            <family val="2"/>
          </rPr>
          <t>Updated in July 2025</t>
        </r>
      </text>
    </comment>
    <comment ref="B150" authorId="0" shapeId="0" xr:uid="{1DE4A1BE-2CBA-4585-8876-93D558C2F5FF}">
      <text>
        <r>
          <rPr>
            <sz val="10"/>
            <color indexed="81"/>
            <rFont val="Verdana"/>
            <family val="2"/>
          </rPr>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r>
      </text>
    </comment>
    <comment ref="B151" authorId="0" shapeId="0" xr:uid="{103A23A1-B76A-4CFF-AC90-DDE2A14EE0D0}">
      <text>
        <r>
          <rPr>
            <sz val="10"/>
            <color indexed="81"/>
            <rFont val="Verdana"/>
            <family val="2"/>
          </rPr>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r>
      </text>
    </comment>
    <comment ref="B152" authorId="0" shapeId="0" xr:uid="{92F0347C-D34D-4268-9F6F-DBE08E9994F8}">
      <text>
        <r>
          <rPr>
            <sz val="10"/>
            <color indexed="81"/>
            <rFont val="Verdana"/>
            <family val="2"/>
          </rPr>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r>
      </text>
    </comment>
    <comment ref="B153" authorId="0" shapeId="0" xr:uid="{29FE0B95-2A28-47E1-8E25-FBC5E12774DE}">
      <text>
        <r>
          <rPr>
            <sz val="10"/>
            <color indexed="81"/>
            <rFont val="Verdana"/>
            <family val="2"/>
          </rPr>
          <t>This represents the percentage of JM operational sites reporting NOx values.</t>
        </r>
      </text>
    </comment>
    <comment ref="B154" authorId="0" shapeId="0" xr:uid="{1036AD0F-FD46-48E7-AAE0-094325A388D6}">
      <text>
        <r>
          <rPr>
            <sz val="10"/>
            <color indexed="81"/>
            <rFont val="Verdana"/>
            <family val="2"/>
          </rPr>
          <t>This represents the percentage of JM operational sites reporting SOx values.</t>
        </r>
      </text>
    </comment>
    <comment ref="B155" authorId="0" shapeId="0" xr:uid="{CE5B0161-FA42-418B-A9CC-7FE82ED10256}">
      <text>
        <r>
          <rPr>
            <sz val="10"/>
            <color indexed="81"/>
            <rFont val="Verdana"/>
            <family val="2"/>
          </rPr>
          <t>This represents the percentage of JM operational sites reporting VOCs values.</t>
        </r>
      </text>
    </comment>
    <comment ref="B158" authorId="0" shapeId="0" xr:uid="{86A61306-4B5B-4F55-AB5C-F224BB40BF33}">
      <text>
        <r>
          <rPr>
            <sz val="10"/>
            <color indexed="81"/>
            <rFont val="Verdana"/>
            <family val="2"/>
          </rPr>
          <t xml:space="preserve">Global Weight of product sold. </t>
        </r>
      </text>
    </comment>
    <comment ref="B163" authorId="0" shapeId="0" xr:uid="{7FD64105-B10E-497E-AC80-41557A67E890}">
      <text>
        <r>
          <rPr>
            <sz val="10"/>
            <color indexed="81"/>
            <rFont val="Verdana"/>
            <family val="2"/>
          </rPr>
          <t>Significant fines during the year.
Fines reported here if the individual fine was over $10,000 USD (or equivalent in converted currency)</t>
        </r>
      </text>
    </comment>
    <comment ref="D166" authorId="0" shapeId="0" xr:uid="{2576A960-2D1C-414F-94D5-030EE8553C42}">
      <text>
        <r>
          <rPr>
            <sz val="9"/>
            <color indexed="81"/>
            <rFont val="Tahoma"/>
            <family val="2"/>
          </rPr>
          <t>Updated in July 2025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tc={045CEAD6-44D5-4DE1-AE3A-0499C42C9616}</author>
    <author>tc={D8177E34-4D20-4233-952E-063C50A69C81}</author>
    <author>tc={EB1C496A-7E95-46CD-B1C4-2C14A77160C9}</author>
    <author>tc={31588365-2E37-48C3-A341-F195A3CC917D}</author>
    <author>tc={6DE5A362-2CB6-4CAE-918A-B45D7D1B215B}</author>
    <author>tc={66A0C1D0-063F-46BA-B2B7-35584E49DB76}</author>
    <author>tc={7395D06B-4809-436C-8613-C7B8EA4843EA}</author>
    <author>tc={E2DACDBD-2CE9-404F-9CD1-EA1926F7E895}</author>
    <author>tc={5BBA88AF-99A1-4EE5-A219-EE93D2238B34}</author>
    <author>tc={2C43F909-8CE6-44CD-A9BD-F2A9F2136806}</author>
    <author>tc={DCA6DCC2-4F95-4441-8A02-030ECD0194BB}</author>
    <author>tc={E5EF1409-32A3-47D2-95CD-E380E26A28E5}</author>
    <author>tc={B6AECDD5-0693-4415-B7BC-DF4F010AB5EF}</author>
    <author>tc={FD31075B-9724-4D99-9246-CAB9D9771295}</author>
    <author>tc={2D5D4FAA-F4DC-4012-BB10-693DB2B05DC8}</author>
    <author>tc={05FA9193-32F8-40FA-BE15-690D7028CBCC}</author>
    <author>tc={F313A705-16E2-42CA-911B-106A4110655C}</author>
    <author>tc={0218E8B7-C208-4FBE-8BF2-6D8FB15A903F}</author>
    <author>tc={1E44BA25-80ED-4FB3-9E92-571D4DF6C243}</author>
    <author>tc={4B56B321-22A0-41E6-BEBD-72F8A1AB0AB7}</author>
    <author>tc={C8765530-3B60-4CEF-A961-F5F29077E42B}</author>
    <author>tc={56C32388-E193-46ED-9ACA-92FB0958F5BB}</author>
    <author>tc={E99AD1A7-DF42-4DF8-BA52-F02DF784972E}</author>
    <author>tc={1E0FCF4C-9EEA-4D19-B7A5-51AF4D59D8FE}</author>
    <author>tc={ABC36D99-FAA2-463C-B701-6B82A6B210FA}</author>
    <author>tc={07B07872-8C1B-4596-8DAE-D7873EADC94A}</author>
    <author>tc={29719286-53A7-48C2-8938-DF1D49675701}</author>
    <author>tc={1A878988-3E19-4FE6-A6B1-9181675A35CC}</author>
    <author>tc={3E34FCC1-B6DB-4896-A1B4-C063FABAF873}</author>
    <author>tc={E2276F93-69E3-4439-8844-5EA8EE80479C}</author>
  </authors>
  <commentList>
    <comment ref="H10" authorId="0" shapeId="0" xr:uid="{045CEAD6-44D5-4DE1-AE3A-0499C42C961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0" authorId="1" shapeId="0" xr:uid="{D8177E34-4D20-4233-952E-063C50A69C81}">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0" authorId="2" shapeId="0" xr:uid="{EB1C496A-7E95-46CD-B1C4-2C14A77160C9}">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0" authorId="3" shapeId="0" xr:uid="{31588365-2E37-48C3-A341-F195A3CC917D}">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0" authorId="4" shapeId="0" xr:uid="{6DE5A362-2CB6-4CAE-918A-B45D7D1B215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0" authorId="5" shapeId="0" xr:uid="{66A0C1D0-063F-46BA-B2B7-35584E49DB7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0" authorId="6" shapeId="0" xr:uid="{7395D06B-4809-436C-8613-C7B8EA4843EA}">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3" authorId="7" shapeId="0" xr:uid="{E2DACDBD-2CE9-404F-9CD1-EA1926F7E8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3" authorId="8" shapeId="0" xr:uid="{5BBA88AF-99A1-4EE5-A219-EE93D2238B34}">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3" authorId="9" shapeId="0" xr:uid="{2C43F909-8CE6-44CD-A9BD-F2A9F213680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3" authorId="10" shapeId="0" xr:uid="{DCA6DCC2-4F95-4441-8A02-030ECD0194B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3" authorId="11" shapeId="0" xr:uid="{E5EF1409-32A3-47D2-95CD-E380E26A28E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3" authorId="12" shapeId="0" xr:uid="{B6AECDD5-0693-4415-B7BC-DF4F010AB5E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3" authorId="13" shapeId="0" xr:uid="{FD31075B-9724-4D99-9246-CAB9D97712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4" authorId="14" shapeId="0" xr:uid="{2D5D4FAA-F4DC-4012-BB10-693DB2B05DC8}">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4" authorId="15" shapeId="0" xr:uid="{05FA9193-32F8-40FA-BE15-690D7028CBC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4" authorId="16" shapeId="0" xr:uid="{F313A705-16E2-42CA-911B-106A4110655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4" authorId="17" shapeId="0" xr:uid="{0218E8B7-C208-4FBE-8BF2-6D8FB15A903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4" authorId="18" shapeId="0" xr:uid="{1E44BA25-80ED-4FB3-9E92-571D4DF6C243}">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4" authorId="19" shapeId="0" xr:uid="{4B56B321-22A0-41E6-BEBD-72F8A1AB0AB7}">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4" authorId="20" shapeId="0" xr:uid="{C8765530-3B60-4CEF-A961-F5F29077E42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G100" authorId="21" shapeId="0" xr:uid="{56C32388-E193-46ED-9ACA-92FB0958F5BB}">
      <text>
        <t>[Threaded comment]
Your version of Excel allows you to read this threaded comment; however, any edits to it will get removed if the file is opened in a newer version of Excel. Learn more: https://go.microsoft.com/fwlink/?linkid=870924
Comment:
    Original data was 298,955 kg</t>
      </text>
    </comment>
    <comment ref="H100" authorId="22" shapeId="0" xr:uid="{E99AD1A7-DF42-4DF8-BA52-F02DF784972E}">
      <text>
        <t>[Threaded comment]
Your version of Excel allows you to read this threaded comment; however, any edits to it will get removed if the file is opened in a newer version of Excel. Learn more: https://go.microsoft.com/fwlink/?linkid=870924
Comment:
    Original value was 301,869</t>
      </text>
    </comment>
    <comment ref="K120" authorId="23" shapeId="0" xr:uid="{1E0FCF4C-9EEA-4D19-B7A5-51AF4D59D8FE}">
      <text>
        <t>[Threaded comment]
Your version of Excel allows you to read this threaded comment; however, any edits to it will get removed if the file is opened in a newer version of Excel. Learn more: https://go.microsoft.com/fwlink/?linkid=870924
Comment:
    Original value before rstatement was 4107694</t>
      </text>
    </comment>
    <comment ref="K122" authorId="24" shapeId="0" xr:uid="{ABC36D99-FAA2-463C-B701-6B82A6B210FA}">
      <text>
        <t>[Threaded comment]
Your version of Excel allows you to read this threaded comment; however, any edits to it will get removed if the file is opened in a newer version of Excel. Learn more: https://go.microsoft.com/fwlink/?linkid=870924
Comment:
    Original value before restatement was 1224735</t>
      </text>
    </comment>
    <comment ref="K125" authorId="25" shapeId="0" xr:uid="{07B07872-8C1B-4596-8DAE-D7873EADC94A}">
      <text>
        <t>[Threaded comment]
Your version of Excel allows you to read this threaded comment; however, any edits to it will get removed if the file is opened in a newer version of Excel. Learn more: https://go.microsoft.com/fwlink/?linkid=870924
Comment:
    Original value before restatement was 615809</t>
      </text>
    </comment>
    <comment ref="K130" authorId="26" shapeId="0" xr:uid="{29719286-53A7-48C2-8938-DF1D49675701}">
      <text>
        <t>[Threaded comment]
Your version of Excel allows you to read this threaded comment; however, any edits to it will get removed if the file is opened in a newer version of Excel. Learn more: https://go.microsoft.com/fwlink/?linkid=870924
Comment:
    Original value last year of 141026138 changed after energy restatements for renewable energy</t>
      </text>
    </comment>
    <comment ref="K132" authorId="27" shapeId="0" xr:uid="{1A878988-3E19-4FE6-A6B1-9181675A35CC}">
      <text>
        <t>[Threaded comment]
Your version of Excel allows you to read this threaded comment; however, any edits to it will get removed if the file is opened in a newer version of Excel. Learn more: https://go.microsoft.com/fwlink/?linkid=870924
Comment:
    Original value from last year reported was 340204183 Following restatement has altered</t>
      </text>
    </comment>
    <comment ref="K135" authorId="28" shapeId="0" xr:uid="{3E34FCC1-B6DB-4896-A1B4-C063FABAF873}">
      <text>
        <t>[Threaded comment]
Your version of Excel allows you to read this threaded comment; however, any edits to it will get removed if the file is opened in a newer version of Excel. Learn more: https://go.microsoft.com/fwlink/?linkid=870924
Comment:
    Original value before correction was 171,057,996</t>
      </text>
    </comment>
    <comment ref="K137" authorId="29" shapeId="0" xr:uid="{E2276F93-69E3-4439-8844-5EA8EE80479C}">
      <text>
        <t>[Threaded comment]
Your version of Excel allows you to read this threaded comment; however, any edits to it will get removed if the file is opened in a newer version of Excel. Learn more: https://go.microsoft.com/fwlink/?linkid=870924
Comment:
    Original value was 30.9% before restatement of renewable electricity</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Xin Ngfat</author>
    <author>Giovanna Cantore</author>
  </authors>
  <commentList>
    <comment ref="B7" authorId="0" shapeId="0" xr:uid="{1C39D8EE-32E2-4A23-91CC-65A6E657D2FF}">
      <text>
        <r>
          <rPr>
            <sz val="12"/>
            <color indexed="81"/>
            <rFont val="Verdana"/>
            <family val="2"/>
          </rPr>
          <t>Total number of employees, contractors and agency staff - does not include Non Executive Board members</t>
        </r>
      </text>
    </comment>
    <comment ref="B8" authorId="0" shapeId="0" xr:uid="{19033548-F4E3-4225-B9F5-63738352521C}">
      <text>
        <r>
          <rPr>
            <sz val="12"/>
            <color indexed="81"/>
            <rFont val="Verdana"/>
            <family val="2"/>
          </rPr>
          <t xml:space="preserve">
Defined as an individual who is paid on a Johnson Matthey’s payroll and have a contract of employment
They can be further classified under the employee types of Regular, Fixed-term, Graduate, Intern, Apprentice
Permanent headcount = regular
Non permanent = Fixed term, graduate, intern and apprentice
Work is directly supervised by JM - paid via payroll</t>
        </r>
      </text>
    </comment>
    <comment ref="B11" authorId="0" shapeId="0" xr:uid="{CD1C03F4-DDC1-40EE-9EBE-5A16F4391609}">
      <text>
        <r>
          <rPr>
            <sz val="12"/>
            <color indexed="81"/>
            <rFont val="Verdana"/>
            <family val="2"/>
          </rPr>
          <t>An individual who is not on Johnson Matthey’s payroll, but performs tasks on Johnson Matthey's behalf. 
They are hired for a specific purpose and usually for a certain period of time e.g. Consultant,  Contractor, Vendor</t>
        </r>
      </text>
    </comment>
    <comment ref="B12" authorId="0" shapeId="0" xr:uid="{DBEE2674-F3EC-4941-BDAC-5B27A1518796}">
      <text>
        <r>
          <rPr>
            <sz val="12"/>
            <color indexed="81"/>
            <rFont val="Verdana"/>
            <family val="2"/>
          </rPr>
          <t>Continuously site based
Person employed by an agency performing tasks that would normally be expected to be undertaken by a JM employee.
Work is directly supervised by JM - paid directly via invoices</t>
        </r>
      </text>
    </comment>
    <comment ref="B15" authorId="0" shapeId="0" xr:uid="{C923DA4B-C0F4-4B95-BBCE-1D52F061ECAD}">
      <text>
        <r>
          <rPr>
            <sz val="11"/>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6" authorId="0" shapeId="0" xr:uid="{40928D8B-82EC-4B86-849D-F9D89BB186E2}">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27" authorId="0" shapeId="0" xr:uid="{4B22B3E1-F7ED-41E6-B686-7B89C0C1024C}">
      <text>
        <r>
          <rPr>
            <sz val="10"/>
            <color indexed="81"/>
            <rFont val="Verdana"/>
            <family val="2"/>
          </rPr>
          <t>Excludes Board members
2022 and 2021 categories different
employees under 30 years of age
employees aged between 30-50 
employees aged over 50
Age disclosure is voluntary</t>
        </r>
      </text>
    </comment>
    <comment ref="B41" authorId="0" shapeId="0" xr:uid="{9F1F840C-1548-450C-AE0C-5CB4014D4FA1}">
      <text>
        <r>
          <rPr>
            <sz val="11"/>
            <color indexed="81"/>
            <rFont val="Verdana"/>
            <family val="2"/>
          </rPr>
          <t>All employees whether they are a people manager or not, at a minimum compensation grade</t>
        </r>
      </text>
    </comment>
    <comment ref="B45" authorId="0" shapeId="0" xr:uid="{86588985-16FF-4252-90DF-9FFB2953907A}">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59" authorId="0" shapeId="0" xr:uid="{8AE9B8C5-5E51-4FF1-B424-050E36567616}">
      <text>
        <r>
          <rPr>
            <sz val="11"/>
            <color indexed="81"/>
            <rFont val="Verdana"/>
            <family val="2"/>
          </rPr>
          <t>Senior Management defined as Group Leadership Team (GLT) and GLT-1 members</t>
        </r>
      </text>
    </comment>
    <comment ref="B98" authorId="0" shapeId="0" xr:uid="{D1E947F7-B2EC-4694-9532-E43D265E3FE2}">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99" authorId="1" shapeId="0" xr:uid="{8931A637-B256-4CC5-A549-3DC442473925}">
      <text>
        <r>
          <rPr>
            <sz val="11"/>
            <color theme="1"/>
            <rFont val="Verdana"/>
            <family val="2"/>
          </rPr>
          <t>External joiners</t>
        </r>
      </text>
    </comment>
    <comment ref="B100" authorId="0" shapeId="0" xr:uid="{E6CA7531-8F7C-4848-85A6-A122A9D96EE3}">
      <text>
        <r>
          <rPr>
            <sz val="11"/>
            <color theme="1"/>
            <rFont val="Verdana"/>
            <family val="2"/>
          </rPr>
          <t>Resignation only</t>
        </r>
      </text>
    </comment>
    <comment ref="B101" authorId="0" shapeId="0" xr:uid="{E666F78D-FAFC-40C9-8F06-ECAF5649B2A5}">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04" authorId="1" shapeId="0" xr:uid="{CE6902F5-71B7-488B-AB59-5574094BA2DE}">
      <text>
        <r>
          <rPr>
            <sz val="11"/>
            <color theme="1"/>
            <rFont val="Verdana"/>
            <family val="2"/>
          </rPr>
          <t>Resignation only
Number of leavers over last 12 months divided by average headcount as at data points 1 April and the following 31 March</t>
        </r>
      </text>
    </comment>
    <comment ref="B105" authorId="1" shapeId="0" xr:uid="{6A6189F2-4131-4B9E-A62D-8092F04A51B0}">
      <text>
        <r>
          <rPr>
            <sz val="11"/>
            <color theme="1"/>
            <rFont val="Verdana"/>
            <family val="2"/>
          </rPr>
          <t>Employee turnover rate initiated by employer 
Number of leavers over last 12 months divided by average headcount as at data points 1 April and the following 31 March</t>
        </r>
      </text>
    </comment>
    <comment ref="B106" authorId="1" shapeId="0" xr:uid="{E63E1660-F1EB-4377-B6B9-5ACA18889591}">
      <text>
        <r>
          <rPr>
            <sz val="11"/>
            <color theme="1"/>
            <rFont val="Verdana"/>
            <family val="2"/>
          </rPr>
          <t>Voluntary and involuntary leavers
Number of leavers over last 12 months divided by average headcount as at data points 1 April and the following 31 March</t>
        </r>
      </text>
    </comment>
    <comment ref="B110" authorId="0" shapeId="0" xr:uid="{C3AF9ECF-997F-42E3-9E7E-C38680D51FC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12" authorId="0" shapeId="0" xr:uid="{6E5A78F8-5D62-4A1B-9799-B80525D98EC7}">
      <text>
        <r>
          <rPr>
            <sz val="9"/>
            <color indexed="81"/>
            <rFont val="Tahoma"/>
            <family val="2"/>
          </rPr>
          <t xml:space="preserve">
Some employees may still be on leave</t>
        </r>
      </text>
    </comment>
    <comment ref="B117" authorId="0" shapeId="0" xr:uid="{4BB481B6-8D2F-4699-A8FC-2B933B44DB2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19" authorId="1" shapeId="0" xr:uid="{2B5ECD50-668B-4F9F-8796-EE81EF0B7248}">
      <text>
        <r>
          <rPr>
            <sz val="11"/>
            <color theme="1"/>
            <rFont val="Verdana"/>
            <family val="2"/>
          </rPr>
          <t xml:space="preserve">Number of employees who were covered by a collective bargaining agreement and / or represented by a trade union
Topics covered within trade union agreements are:
Personall protective equipment, 
Participation of worker representatives in health and safety,
Training and education,
Complaints mechanism,
The right to refuse unsafe work, 
Periodic inspections
</t>
        </r>
      </text>
    </comment>
    <comment ref="B129" authorId="0" shapeId="0" xr:uid="{CD11A43D-4F03-4BE7-AFD5-0050A37F8708}">
      <text>
        <r>
          <rPr>
            <sz val="11"/>
            <color theme="1"/>
            <rFont val="Verdana"/>
            <family val="2"/>
          </rPr>
          <t>An internal promotion happens when an internal candidate is promoted to a new position — instead of the organization hiring an external candidate.</t>
        </r>
      </text>
    </comment>
    <comment ref="B130" authorId="0" shapeId="0" xr:uid="{27D765B3-A90E-4676-AFB7-E3AA51381101}">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39" authorId="0" shapeId="0" xr:uid="{CCB2E77B-4FB5-48BD-80E6-8E7EDEEC0C22}">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46" authorId="0" shapeId="0" xr:uid="{A528844E-0A96-4A1E-9D6C-842415B83294}">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47" authorId="0" shapeId="0" xr:uid="{A73EE3DA-F770-42CB-AC13-269536938385}">
      <text>
        <r>
          <rPr>
            <sz val="12"/>
            <color indexed="81"/>
            <rFont val="Verdana"/>
            <family val="2"/>
          </rPr>
          <t xml:space="preserve">Johnson Matthey is accredited as a Living Wage Employer in the UK, meaning we voluntarily pay our employees at or above the Living Wage rate. </t>
        </r>
      </text>
    </comment>
    <comment ref="B150" authorId="0" shapeId="0" xr:uid="{1622E667-C6FA-4E1F-8341-303532A74AC7}">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62" authorId="0" shapeId="0" xr:uid="{C5C6FD71-C439-42EA-81B2-6E180389A5F8}">
      <text>
        <r>
          <rPr>
            <sz val="11"/>
            <color indexed="81"/>
            <rFont val="Verdana"/>
            <family val="2"/>
          </rPr>
          <t>Employees are assigned training 
based on their role and requirement to understand the topic</t>
        </r>
      </text>
    </comment>
    <comment ref="B164" authorId="1" shapeId="0" xr:uid="{24693847-4AA7-4D04-8A15-71D838C1428B}">
      <text>
        <r>
          <rPr>
            <sz val="11"/>
            <color theme="1"/>
            <rFont val="Verdana"/>
            <family val="2"/>
          </rPr>
          <t>Eligible employees and contractors are offered the Code of Ethics training, subject to local laws, union agreements, long-term leave arrangements and start date before the cutoff period</t>
        </r>
      </text>
    </comment>
    <comment ref="B166" authorId="0" shapeId="0" xr:uid="{2FA0543E-2A7A-4317-A870-B0AB387E227C}">
      <text>
        <r>
          <rPr>
            <sz val="11"/>
            <color indexed="81"/>
            <rFont val="Verdana"/>
            <family val="2"/>
          </rPr>
          <t>Also known as Antitrust training</t>
        </r>
      </text>
    </comment>
    <comment ref="C166" authorId="0" shapeId="0" xr:uid="{72685B02-577C-4051-B196-9A53C85C8439}">
      <text>
        <r>
          <rPr>
            <sz val="11"/>
            <color indexed="81"/>
            <rFont val="Verdana"/>
            <family val="2"/>
          </rPr>
          <t>Enrollment date 1st April 2025 and so data for 2024/25 = 0</t>
        </r>
      </text>
    </comment>
    <comment ref="B176" authorId="1" shapeId="0" xr:uid="{945CF54B-E990-4A5E-B835-40C37A84DCA5}">
      <text>
        <r>
          <rPr>
            <sz val="12"/>
            <color theme="1"/>
            <rFont val="Verdana"/>
            <family val="2"/>
          </rPr>
          <t>Average score given by survey respondents in response to three engagement questions (engagement, loyalty, satisfaction)</t>
        </r>
        <r>
          <rPr>
            <sz val="11"/>
            <color theme="1"/>
            <rFont val="Calibri"/>
            <family val="2"/>
            <scheme val="minor"/>
          </rPr>
          <t> </t>
        </r>
      </text>
    </comment>
    <comment ref="C181" authorId="0" shapeId="0" xr:uid="{8F1C22CD-F416-4B15-92B9-4D00747A9708}">
      <text>
        <r>
          <rPr>
            <sz val="12"/>
            <color indexed="81"/>
            <rFont val="Verdana"/>
            <family val="2"/>
          </rPr>
          <t xml:space="preserve">Bonus data for UK employees was left out of the 2024/25 calculation because it was not administratively possible to calculate these bonuses before the publication of the ARA2025 and this databook. 
However, the calculation will be revised to include these bonuses once available and will be disclosed in the 2026 annual report and accounts.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Xin Ngfat</author>
    <author>Gary Machin</author>
  </authors>
  <commentList>
    <comment ref="B7" authorId="0" shapeId="0" xr:uid="{7910B1E4-5035-4D02-8351-FDB929F53EEB}">
      <text>
        <r>
          <rPr>
            <b/>
            <sz val="10"/>
            <color indexed="81"/>
            <rFont val="Verdana"/>
            <family val="2"/>
          </rPr>
          <t>Definition:</t>
        </r>
        <r>
          <rPr>
            <sz val="10"/>
            <color indexed="81"/>
            <rFont val="Verdana"/>
            <family val="2"/>
          </rPr>
          <t xml:space="preserve"> 
The OSHA severity rate monitors the severity of injuries occurring at JM sites by counting all the lost days away from normal work (including restricted duties) for all personnel conducting its process activities (i.e. employees, temporary staff and agency employees). The total number of injuries is multiplied by the 200,000 OSHA standardised factor and divided by the total number of hours worked (by employees, temps and agency employees).
</t>
        </r>
      </text>
    </comment>
    <comment ref="F7" authorId="1" shapeId="0" xr:uid="{F481ED05-4435-4157-83AB-D76295EE9B00}">
      <text>
        <r>
          <rPr>
            <sz val="11"/>
            <color theme="1"/>
            <rFont val="Calibri"/>
            <family val="2"/>
            <scheme val="minor"/>
          </rPr>
          <t xml:space="preserve">
Higher value than previous years due to several ergonomic (musculo-skeletal) events in North America region resulting in &gt;180 total  lost and or restricted days</t>
        </r>
      </text>
    </comment>
    <comment ref="H7" authorId="1" shapeId="0" xr:uid="{C2951AC0-0489-4D80-A750-EEE64A7145EC}">
      <text>
        <r>
          <rPr>
            <b/>
            <sz val="11"/>
            <color theme="1"/>
            <rFont val="Calibri"/>
            <family val="2"/>
            <scheme val="minor"/>
          </rPr>
          <t>Restatement:</t>
        </r>
        <r>
          <rPr>
            <sz val="11"/>
            <color theme="1"/>
            <rFont val="Calibri"/>
            <family val="2"/>
            <scheme val="minor"/>
          </rPr>
          <t xml:space="preserve">
Number restated due to further information received.</t>
        </r>
      </text>
    </comment>
    <comment ref="J7" authorId="0" shapeId="0" xr:uid="{32D55EE4-DD57-4E79-A044-7BEC59467A4C}">
      <text>
        <r>
          <rPr>
            <b/>
            <sz val="10"/>
            <color indexed="81"/>
            <rFont val="Verdana"/>
            <family val="2"/>
          </rPr>
          <t>Restatement:</t>
        </r>
        <r>
          <rPr>
            <sz val="10"/>
            <color indexed="81"/>
            <rFont val="Verdana"/>
            <family val="2"/>
          </rPr>
          <t xml:space="preserve">
restated value based on additional information received regarding injury/illness lost days and restricted days after initial 2021/022 submission.</t>
        </r>
      </text>
    </comment>
    <comment ref="B8" authorId="0" shapeId="0" xr:uid="{C592875A-ECC9-4A0A-A346-18F1E649444C}">
      <text>
        <r>
          <rPr>
            <b/>
            <sz val="9"/>
            <color indexed="81"/>
            <rFont val="Tahoma"/>
            <family val="2"/>
          </rPr>
          <t xml:space="preserve">Definition:
</t>
        </r>
        <r>
          <rPr>
            <sz val="10"/>
            <color indexed="81"/>
            <rFont val="Verdana"/>
            <family val="2"/>
          </rPr>
          <t>JM's total recordable injury and illness rate (TRIIR) is based upon the US OSHA accident reporting metric (using the OSHA 200,00 standardised multiplier), but additionally includes contractor accidents occurring whilst working on JM sites. It includes all injuries/illness requiring prescribed medical treatment or resulting in restricted/lost time.</t>
        </r>
        <r>
          <rPr>
            <sz val="9"/>
            <color indexed="81"/>
            <rFont val="Tahoma"/>
            <family val="2"/>
          </rPr>
          <t xml:space="preserve">
</t>
        </r>
      </text>
    </comment>
    <comment ref="F8" authorId="1" shapeId="0" xr:uid="{714C4DDE-E507-47C0-9332-FFC52BC6CACA}">
      <text>
        <r>
          <rPr>
            <b/>
            <sz val="12"/>
            <color indexed="81"/>
            <rFont val="Verdana"/>
            <family val="2"/>
          </rPr>
          <t>Restatement:</t>
        </r>
        <r>
          <rPr>
            <sz val="12"/>
            <color indexed="81"/>
            <rFont val="Verdana"/>
            <family val="2"/>
          </rPr>
          <t xml:space="preserve">
Number restated due to further information received post submission</t>
        </r>
      </text>
    </comment>
    <comment ref="B9" authorId="0" shapeId="0" xr:uid="{E5A4A2E5-0486-48FB-82B8-2D75B2BA41CE}">
      <text>
        <r>
          <rPr>
            <b/>
            <sz val="9"/>
            <color indexed="81"/>
            <rFont val="Tahoma"/>
            <family val="2"/>
          </rPr>
          <t>Definition:</t>
        </r>
        <r>
          <rPr>
            <sz val="9"/>
            <color indexed="81"/>
            <rFont val="Tahoma"/>
            <family val="2"/>
          </rPr>
          <t xml:space="preserve">
The total number of LTA's is a subset of the total recordables. 
Any involving Temporary Workers have been included under the "Contractors" heading.</t>
        </r>
      </text>
    </comment>
    <comment ref="F9" authorId="1" shapeId="0" xr:uid="{FEA2DA7A-264C-4709-9177-34E5F2B0F298}">
      <text>
        <r>
          <rPr>
            <sz val="12"/>
            <color indexed="81"/>
            <rFont val="Verdana"/>
            <family val="2"/>
          </rPr>
          <t>Re-stated due to lchanges after Mar-24</t>
        </r>
      </text>
    </comment>
    <comment ref="B10" authorId="0" shapeId="0" xr:uid="{7681DB1C-BC8C-4A9E-99B0-42C68AE83CE8}">
      <text>
        <r>
          <rPr>
            <b/>
            <sz val="10"/>
            <color indexed="81"/>
            <rFont val="Verdana"/>
            <family val="2"/>
          </rPr>
          <t>Definition:</t>
        </r>
        <r>
          <rPr>
            <sz val="10"/>
            <color indexed="81"/>
            <rFont val="Verdana"/>
            <family val="2"/>
          </rPr>
          <t xml:space="preserve">
JM's lost time injury frequency rate (LTIFR) uses a 1,000,000 standardised multiplier, and additionally includes contractor accidents occurring whilst working on JM sites.</t>
        </r>
      </text>
    </comment>
    <comment ref="H10" authorId="1" shapeId="0" xr:uid="{05AE2332-73FB-44A8-AEDF-C40C3642E9EC}">
      <text>
        <r>
          <rPr>
            <b/>
            <sz val="11"/>
            <color theme="1"/>
            <rFont val="Calibri"/>
            <family val="2"/>
            <scheme val="minor"/>
          </rPr>
          <t>Restatement:</t>
        </r>
        <r>
          <rPr>
            <sz val="11"/>
            <color theme="1"/>
            <rFont val="Calibri"/>
            <family val="2"/>
            <scheme val="minor"/>
          </rPr>
          <t xml:space="preserve">
Number restated due to further information received.</t>
        </r>
      </text>
    </comment>
    <comment ref="B11" authorId="0" shapeId="0" xr:uid="{F3D8CE6A-4232-432A-BF03-B3EA70C8EEDB}">
      <text>
        <r>
          <rPr>
            <b/>
            <sz val="10"/>
            <color indexed="81"/>
            <rFont val="Verdana"/>
            <family val="2"/>
          </rPr>
          <t>Definition:</t>
        </r>
        <r>
          <rPr>
            <sz val="10"/>
            <color indexed="81"/>
            <rFont val="Verdana"/>
            <family val="2"/>
          </rPr>
          <t xml:space="preserve">
JM's lost time injury and illness rate (LTIIR) is based upon the US OSHA accident reporting metric (using the OSHA 200,00 standardised multiplier) but additionally includes contractor accidents occurring whilst working on JM sites.</t>
        </r>
      </text>
    </comment>
    <comment ref="B20" authorId="0" shapeId="0" xr:uid="{6D78BF36-57C3-45B7-84F2-39DDF1204A6A}">
      <text>
        <r>
          <rPr>
            <b/>
            <sz val="10"/>
            <color indexed="81"/>
            <rFont val="Verdana"/>
            <family val="2"/>
          </rPr>
          <t>Definition:</t>
        </r>
        <r>
          <rPr>
            <sz val="10"/>
            <color indexed="81"/>
            <rFont val="Verdana"/>
            <family val="2"/>
          </rPr>
          <t xml:space="preserve">
Permanent employees, temporary employees and contractors</t>
        </r>
      </text>
    </comment>
    <comment ref="G20" authorId="0" shapeId="0" xr:uid="{D81F73E0-0D35-4E01-AD9A-D8BC9BECBA25}">
      <text>
        <r>
          <rPr>
            <b/>
            <sz val="10"/>
            <color indexed="81"/>
            <rFont val="Verdana"/>
            <family val="2"/>
          </rPr>
          <t>Restatement:</t>
        </r>
        <r>
          <rPr>
            <sz val="10"/>
            <color indexed="81"/>
            <rFont val="Verdana"/>
            <family val="2"/>
          </rPr>
          <t xml:space="preserve">
Restated value based on additional lost days injury/illness information received after initial submission of data for 2022 annual report.</t>
        </r>
      </text>
    </comment>
    <comment ref="B21" authorId="0" shapeId="0" xr:uid="{3E11B436-0291-4A5E-9752-207F0EE95BBF}">
      <text>
        <r>
          <rPr>
            <b/>
            <sz val="10"/>
            <color indexed="81"/>
            <rFont val="Verdana"/>
            <family val="2"/>
          </rPr>
          <t>Definition:</t>
        </r>
        <r>
          <rPr>
            <sz val="10"/>
            <color indexed="81"/>
            <rFont val="Verdana"/>
            <family val="2"/>
          </rPr>
          <t xml:space="preserve">
Employee and temporary employee injuries/hours only</t>
        </r>
      </text>
    </comment>
    <comment ref="B22" authorId="0" shapeId="0" xr:uid="{D61F1254-336B-4E28-9FD5-CE7561F0DBD2}">
      <text>
        <r>
          <rPr>
            <b/>
            <sz val="10"/>
            <color indexed="81"/>
            <rFont val="Verdana"/>
            <family val="2"/>
          </rPr>
          <t>Definition:</t>
        </r>
        <r>
          <rPr>
            <sz val="10"/>
            <color indexed="81"/>
            <rFont val="Verdana"/>
            <family val="2"/>
          </rPr>
          <t xml:space="preserve">
Contractor (all types) injuries/hours only</t>
        </r>
      </text>
    </comment>
    <comment ref="B23" authorId="0" shapeId="0" xr:uid="{32830A9D-17CA-4F66-8C3B-CF187EA84CE9}">
      <text>
        <r>
          <rPr>
            <b/>
            <sz val="10"/>
            <color indexed="81"/>
            <rFont val="Verdana"/>
            <family val="2"/>
          </rPr>
          <t>Definition:</t>
        </r>
        <r>
          <rPr>
            <sz val="10"/>
            <color indexed="81"/>
            <rFont val="Verdana"/>
            <family val="2"/>
          </rPr>
          <t xml:space="preserve">
Permanent employees, temporary employees and contractors</t>
        </r>
      </text>
    </comment>
    <comment ref="B24" authorId="0" shapeId="0" xr:uid="{62973684-B222-404E-926C-28A141DE09A9}">
      <text>
        <r>
          <rPr>
            <b/>
            <sz val="9"/>
            <color indexed="81"/>
            <rFont val="Tahoma"/>
            <family val="2"/>
          </rPr>
          <t>Definition:</t>
        </r>
        <r>
          <rPr>
            <sz val="9"/>
            <color indexed="81"/>
            <rFont val="Tahoma"/>
            <family val="2"/>
          </rPr>
          <t xml:space="preserve">
Permanent employees, temporary employees and contractors</t>
        </r>
      </text>
    </comment>
    <comment ref="B25" authorId="0" shapeId="0" xr:uid="{E1DFB639-428D-4D86-B256-1ABCD5BCF047}">
      <text>
        <r>
          <rPr>
            <b/>
            <sz val="10"/>
            <color indexed="81"/>
            <rFont val="Verdana"/>
            <family val="2"/>
          </rPr>
          <t>Definition:</t>
        </r>
        <r>
          <rPr>
            <sz val="10"/>
            <color indexed="81"/>
            <rFont val="Verdana"/>
            <family val="2"/>
          </rPr>
          <t xml:space="preserve">
Employee and temporary employee injuries/hours only</t>
        </r>
      </text>
    </comment>
    <comment ref="B26" authorId="0" shapeId="0" xr:uid="{B3FA9340-B3BD-4720-B567-2CB2E7AB8ECF}">
      <text>
        <r>
          <rPr>
            <b/>
            <sz val="10"/>
            <color indexed="81"/>
            <rFont val="Verdana"/>
            <family val="2"/>
          </rPr>
          <t>Definition:</t>
        </r>
        <r>
          <rPr>
            <sz val="10"/>
            <color indexed="81"/>
            <rFont val="Verdana"/>
            <family val="2"/>
          </rPr>
          <t xml:space="preserve">
Contractor (all types) injuries/hours only</t>
        </r>
      </text>
    </comment>
    <comment ref="B27" authorId="0" shapeId="0" xr:uid="{61E1B901-9B41-49F2-9613-26405878D142}">
      <text>
        <r>
          <rPr>
            <b/>
            <sz val="10"/>
            <color indexed="81"/>
            <rFont val="Verdana"/>
            <family val="2"/>
          </rPr>
          <t>Definition:</t>
        </r>
        <r>
          <rPr>
            <sz val="10"/>
            <color indexed="81"/>
            <rFont val="Verdana"/>
            <family val="2"/>
          </rPr>
          <t xml:space="preserve">
JM uses the ICCA (International Council of Chemical Associations) globally harmonised process safety metric to monitor the severity of process safety events. This uses a standardised 200,000 multiplier. This process safety metric is most relevant to JM chemical operations.</t>
        </r>
      </text>
    </comment>
    <comment ref="G27" authorId="0" shapeId="0" xr:uid="{76AA5DD0-ED02-4655-B77A-762B688E212B}">
      <text>
        <r>
          <rPr>
            <b/>
            <sz val="10"/>
            <color indexed="81"/>
            <rFont val="Verdana"/>
            <family val="2"/>
          </rPr>
          <t>Restatement:</t>
        </r>
        <r>
          <rPr>
            <sz val="10"/>
            <color indexed="81"/>
            <rFont val="Verdana"/>
            <family val="2"/>
          </rPr>
          <t xml:space="preserve">
Restated value based on improved reporting of historical process safety events.</t>
        </r>
      </text>
    </comment>
    <comment ref="B28" authorId="0" shapeId="0" xr:uid="{21762049-35D4-48EC-B858-2B68940A1997}">
      <text>
        <r>
          <rPr>
            <b/>
            <sz val="10"/>
            <color indexed="81"/>
            <rFont val="Verdana"/>
            <family val="2"/>
          </rPr>
          <t>Definition:</t>
        </r>
        <r>
          <rPr>
            <sz val="10"/>
            <color indexed="81"/>
            <rFont val="Verdana"/>
            <family val="2"/>
          </rPr>
          <t xml:space="preserve">
Tier 1 process safety events involve losses of primary containment of greater consequence, which align with American Petroleum Industry (API) recommended practice (RP). </t>
        </r>
      </text>
    </comment>
    <comment ref="B29" authorId="0" shapeId="0" xr:uid="{6DFAF5DE-6079-491C-A4A3-3FF722FEC2DC}">
      <text>
        <r>
          <rPr>
            <b/>
            <sz val="10"/>
            <color indexed="81"/>
            <rFont val="Verdana"/>
            <family val="2"/>
          </rPr>
          <t>Definition:</t>
        </r>
        <r>
          <rPr>
            <sz val="10"/>
            <color indexed="81"/>
            <rFont val="Verdana"/>
            <family val="2"/>
          </rPr>
          <t xml:space="preserve">
Tier 1 process safety events rate measures the frequency events involving losses of primary containment of greater consequence, which align with American Petroleum Industry (API) recommended practice (RP). This metric is less relevant to JM chemical operations but is an important standard as it aligns with the Center for Chemical for Process Safety (CCPS), which JM's process safety management system follows. </t>
        </r>
      </text>
    </comment>
    <comment ref="B30" authorId="0" shapeId="0" xr:uid="{A6926E56-8FDA-4F32-B1C2-C4DA8634F228}">
      <text>
        <r>
          <rPr>
            <b/>
            <sz val="10"/>
            <color indexed="81"/>
            <rFont val="Verdana"/>
            <family val="2"/>
          </rPr>
          <t>Definition:</t>
        </r>
        <r>
          <rPr>
            <sz val="10"/>
            <color indexed="81"/>
            <rFont val="Verdana"/>
            <family val="2"/>
          </rPr>
          <t xml:space="preserve">
Total hours (emp+temp+cont) used for all EHS statistics</t>
        </r>
      </text>
    </comment>
    <comment ref="F30" authorId="1" shapeId="0" xr:uid="{C667A50B-444A-4EBD-A1B2-F6D0051E82FB}">
      <text>
        <r>
          <rPr>
            <b/>
            <sz val="11"/>
            <color theme="1"/>
            <rFont val="Calibri"/>
            <family val="2"/>
            <scheme val="minor"/>
          </rPr>
          <t>Restatement:</t>
        </r>
        <r>
          <rPr>
            <sz val="11"/>
            <color theme="1"/>
            <rFont val="Calibri"/>
            <family val="2"/>
            <scheme val="minor"/>
          </rPr>
          <t xml:space="preserve">
Restated value based on revised hours data received.</t>
        </r>
      </text>
    </comment>
    <comment ref="B34" authorId="0" shapeId="0" xr:uid="{C32151A6-56D6-41C9-B1C7-75AF4190EDF5}">
      <text>
        <r>
          <rPr>
            <b/>
            <sz val="10"/>
            <color indexed="81"/>
            <rFont val="Verdana"/>
            <family val="2"/>
          </rPr>
          <t>Definition:</t>
        </r>
        <r>
          <rPr>
            <sz val="10"/>
            <color indexed="81"/>
            <rFont val="Verdana"/>
            <family val="2"/>
          </rPr>
          <t xml:space="preserve">
Number of transport incidents as defined by SASB RT-CH-540a.2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25" authorId="0" shapeId="0" xr:uid="{F2E3C276-28DD-434E-B05D-5A8C3DF64714}">
      <text>
        <r>
          <rPr>
            <sz val="10"/>
            <color indexed="81"/>
            <rFont val="Verdana"/>
            <family val="2"/>
          </rPr>
          <t>*as defined by our CMRT/EMRT procedure</t>
        </r>
      </text>
    </comment>
    <comment ref="B29" authorId="0" shapeId="0" xr:uid="{1C19DB05-27D4-4B99-BBA4-AC581F7134EB}">
      <text>
        <r>
          <rPr>
            <sz val="10"/>
            <color indexed="81"/>
            <rFont val="Verdana"/>
            <family val="2"/>
          </rPr>
          <t>*as defined by our CMRT/EMRT procedure</t>
        </r>
      </text>
    </comment>
    <comment ref="B33" authorId="0" shapeId="0" xr:uid="{04563571-50B7-4FC0-A4B3-660E0D196437}">
      <text>
        <r>
          <rPr>
            <sz val="10"/>
            <color indexed="81"/>
            <rFont val="Tahoma"/>
            <family val="2"/>
          </rPr>
          <t>Assumption: Using the registered address of the supplier as the country from which the good/service was sourced from.</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tc={D3D927BC-1CDB-4513-B406-DEBDB920A912}</author>
    <author>tc={4E702EDD-0DD4-4CC2-8471-CFD1D7BD8A98}</author>
  </authors>
  <commentList>
    <comment ref="F58" authorId="0" shapeId="0" xr:uid="{D3D927BC-1CDB-4513-B406-DEBDB920A912}">
      <text>
        <t>[Threaded comment]
Your version of Excel allows you to read this threaded comment; however, any edits to it will get removed if the file is opened in a newer version of Excel. Learn more: https://go.microsoft.com/fwlink/?linkid=870924
Comment:
    @Tony Malone I dunno if you have to replicate this on the "actual" tab now?</t>
      </text>
    </comment>
    <comment ref="N134" authorId="1" shapeId="0" xr:uid="{4E702EDD-0DD4-4CC2-8471-CFD1D7BD8A98}">
      <text>
        <t>[Threaded comment]
Your version of Excel allows you to read this threaded comment; however, any edits to it will get removed if the file is opened in a newer version of Excel. Learn more: https://go.microsoft.com/fwlink/?linkid=870924
Comment:
    @Tony Malone I've just subtracted and got this number, is it ok? It was zero in 2019/20?
Reply:
    @Xin Ngfat We were not recording this data at this point so we do not have a number for this indicator</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<sst xmlns="http://schemas.openxmlformats.org/spreadsheetml/2006/main" count="3486" uniqueCount="1453">
  <si>
    <t>About this workbook</t>
  </si>
  <si>
    <t>Reporting on Greenhouse Gas (GHG) Emissions</t>
  </si>
  <si>
    <t xml:space="preserve">We are committed to transparent disclosures of our emissions and we continue to enhance our reporting of all the Scopes as we continue to better understand the emissions from our operations and our supply chain. </t>
  </si>
  <si>
    <t>Notes on data</t>
  </si>
  <si>
    <t>The data presented in this workbook relates to Johnson Matthey's financial reporting year (1 April 2024 to 31 March 2025), unless otherwise stated.</t>
  </si>
  <si>
    <t>This workbook has been prepared in accordance with the GRI Standards.</t>
  </si>
  <si>
    <r>
      <rPr>
        <b/>
        <sz val="10"/>
        <color rgb="FF0000CC"/>
        <rFont val="Verdana"/>
        <family val="2"/>
      </rPr>
      <t>Rebaselining of previous years’ data</t>
    </r>
    <r>
      <rPr>
        <sz val="10"/>
        <rFont val="Verdana"/>
        <family val="2"/>
      </rPr>
      <t xml:space="preserve"> 
During the year we divested several businesses as going concerns, including our Medical Devices and our Battery Systems businesses.
In accordance with the recommendations of the greenhouse gas (GHG) Protocol and SECR reporting guidance, we have removed their historical contribution to our operational KPIs for all years from 2019/20, which is our baseline for our 2030 sustainability targets. This specifically includes our historical data for Scope 1, 2 and 3 GHG emissions, water consumption, waste and emissions to air.</t>
    </r>
  </si>
  <si>
    <r>
      <rPr>
        <b/>
        <sz val="10"/>
        <color rgb="FF0000CC"/>
        <rFont val="Verdana"/>
        <family val="2"/>
      </rPr>
      <t>Restatements of previous years’ data</t>
    </r>
    <r>
      <rPr>
        <sz val="10"/>
        <rFont val="Verdana"/>
        <family val="2"/>
      </rPr>
      <t xml:space="preserve">
In addition to rebaselining, there have been some restatements of data to account for improvements in methodology, coverage and quality of available data. JM’s materiality threshold for variance is 5%. We have made restatements of environmental performance data for the following KPIs this year:
</t>
    </r>
  </si>
  <si>
    <t>Externally audited KPIs</t>
  </si>
  <si>
    <t>ERM Certification and Verification Services Limited (ERM CVS) were engaged to provide limited assurance of selected information. Information assured by ERM CVS is provided on the following tab</t>
  </si>
  <si>
    <t>Cautionary Statement</t>
  </si>
  <si>
    <t>This workbook contains forward-looking statements that are subject to risk factors associated with, among other things, the economic and business circumstances occurring from time to time in the countries and sectors in which the company operates. It is believed that the expectations reflected in these statements are reasonable, but they may be affected by a wide range of variables which could cause actual results, performance, operations, impacts, events or circumstances to differ materially from those currently anticipated.</t>
  </si>
  <si>
    <t>Contents</t>
  </si>
  <si>
    <t>Material Topics</t>
  </si>
  <si>
    <t>GRI Content index in accordance</t>
  </si>
  <si>
    <t>SASB Index</t>
  </si>
  <si>
    <t>TCFD Compliance Table</t>
  </si>
  <si>
    <t>PAI Statement</t>
  </si>
  <si>
    <t>UK SECR</t>
  </si>
  <si>
    <t>ERM CVS Assured metrics</t>
  </si>
  <si>
    <t>2030 targets</t>
  </si>
  <si>
    <t>UN SDGs</t>
  </si>
  <si>
    <t>Environment</t>
  </si>
  <si>
    <t>People</t>
  </si>
  <si>
    <t>Health and Safety</t>
  </si>
  <si>
    <t>Ethics and Compliance</t>
  </si>
  <si>
    <t>Community Investment</t>
  </si>
  <si>
    <t>Responsible Sourcing</t>
  </si>
  <si>
    <t>Product Stewardship</t>
  </si>
  <si>
    <t>Basis of reporting</t>
  </si>
  <si>
    <t>Our material topics were identified as:</t>
  </si>
  <si>
    <t>Planet</t>
  </si>
  <si>
    <t>Climate Change</t>
  </si>
  <si>
    <t>Pollution</t>
  </si>
  <si>
    <t>Water</t>
  </si>
  <si>
    <t>Biodiversity</t>
  </si>
  <si>
    <t>Resource use and circular economy</t>
  </si>
  <si>
    <t>Own Workforce</t>
  </si>
  <si>
    <t>Workers in the value chain</t>
  </si>
  <si>
    <t>Affected communities</t>
  </si>
  <si>
    <t>Business conduct</t>
  </si>
  <si>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</si>
  <si>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</si>
  <si>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2024 to 31</t>
    </r>
    <r>
      <rPr>
        <vertAlign val="superscript"/>
        <sz val="12"/>
        <rFont val="Verdana"/>
        <family val="2"/>
      </rPr>
      <t>st</t>
    </r>
    <r>
      <rPr>
        <sz val="12"/>
        <rFont val="Verdana"/>
        <family val="2"/>
      </rPr>
      <t xml:space="preserve"> March 2025</t>
    </r>
  </si>
  <si>
    <t>GRI 1 used</t>
  </si>
  <si>
    <t>GRI 1: Foundation 2021</t>
  </si>
  <si>
    <t>Applicable GRI Sector Standard(s)</t>
  </si>
  <si>
    <t>N/A</t>
  </si>
  <si>
    <t>Key to location references:</t>
  </si>
  <si>
    <t>ARA = Annual Report and Accounts 2025</t>
  </si>
  <si>
    <t>SPD = Sustainability Performance Databook 2025</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</si>
  <si>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</si>
  <si>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</si>
  <si>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</si>
  <si>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</si>
  <si>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</si>
  <si>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</si>
  <si>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</si>
  <si>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</si>
  <si>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</si>
  <si>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</si>
  <si>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</si>
  <si>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2-1 Organizational details</t>
  </si>
  <si>
    <t>Reasons for omission are not permitted for the disclosure or that a GRI Sector Standard reference number is not available.</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</si>
  <si>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</si>
  <si>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</si>
  <si>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</si>
  <si>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</si>
  <si>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</si>
  <si>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</si>
  <si>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</si>
  <si>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</si>
  <si>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</si>
  <si>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</si>
  <si>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</si>
  <si>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</si>
  <si>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</si>
  <si>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</si>
  <si>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Johnson Matthey Global Conflicts of Interest Policy</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</si>
  <si>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</si>
  <si>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</si>
  <si>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</si>
  <si>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</si>
  <si>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</si>
  <si>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</si>
  <si>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</si>
  <si>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</si>
  <si>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Johnson Matthey Policies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</si>
  <si>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</si>
  <si>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</si>
  <si>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</si>
  <si>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</si>
  <si>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</si>
  <si>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</si>
  <si>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</si>
  <si>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Material topics</t>
  </si>
  <si>
    <t>GRI 3: Material Topics 2021</t>
  </si>
  <si>
    <t>3-1 Process to determine material topics</t>
  </si>
  <si>
    <t>3-2 List of material topics</t>
  </si>
  <si>
    <t>Business Conduct</t>
  </si>
  <si>
    <t>Economic performance</t>
  </si>
  <si>
    <t>3-3 Management of material topics</t>
  </si>
  <si>
    <t>GRI 201: Economic Performance 2016</t>
  </si>
  <si>
    <t>201-1 Direct economic value generated and distributed</t>
  </si>
  <si>
    <t>201-2 Financial implications and other risks and opportunities due to climate change</t>
  </si>
  <si>
    <t>201-3 Defined benefit plan obligations and other retirement plans</t>
  </si>
  <si>
    <t>201-4 Financial assistance received from government</t>
  </si>
  <si>
    <t>Anti-corruption</t>
  </si>
  <si>
    <t>Johnson Matthey Anti-Bribery and Corruption Policy</t>
  </si>
  <si>
    <t>GRI 205: Anti-corruption 2016</t>
  </si>
  <si>
    <t>205-1 Operations assessed for risks related to corruption</t>
  </si>
  <si>
    <t>205-2 Communication and training about anti-corruption policies and procedures</t>
  </si>
  <si>
    <t>205-3 Confirmed incidents of corruption and actions taken</t>
  </si>
  <si>
    <t>Anti-competitive behavior</t>
  </si>
  <si>
    <t>GRI 206: Anti-competitive Behavior 2016</t>
  </si>
  <si>
    <t>206-1 Legal actions for anti-competitive behavior, anti-trust, and monopoly practices</t>
  </si>
  <si>
    <t>Materials</t>
  </si>
  <si>
    <t>GRI 301: Materials 2016</t>
  </si>
  <si>
    <t>301-1 Materials used by weight or volume</t>
  </si>
  <si>
    <t xml:space="preserve">a. </t>
  </si>
  <si>
    <t>Information unavailable/incomplete</t>
  </si>
  <si>
    <t>not disclosed as not relevant KPI to aggregate across our business</t>
  </si>
  <si>
    <t>301-2 Recycled input materials used</t>
  </si>
  <si>
    <t>301-3 Reclaimed products and their packaging materials</t>
  </si>
  <si>
    <t xml:space="preserve">a. b. </t>
  </si>
  <si>
    <t>only dislosed for platinum group metal use</t>
  </si>
  <si>
    <t>Energy</t>
  </si>
  <si>
    <t>GRI 302: Energy 2016</t>
  </si>
  <si>
    <t>302-1 Energy consumption within the organization</t>
  </si>
  <si>
    <t>302-2 Energy consumption outside of the organization</t>
  </si>
  <si>
    <t>302-3 Energy intensity</t>
  </si>
  <si>
    <t>302-4 Reduction of energy consumption</t>
  </si>
  <si>
    <t>302-5 Reductions in energy requirements of products and services</t>
  </si>
  <si>
    <t>Water and effluents</t>
  </si>
  <si>
    <t>GRI 303: Water and Effluents 2018</t>
  </si>
  <si>
    <t>303-1 Interactions with water as a shared resource</t>
  </si>
  <si>
    <t>303-2 Management of water discharge-related impacts</t>
  </si>
  <si>
    <t>303-3 Water withdrawal</t>
  </si>
  <si>
    <t>303-4 Water discharge</t>
  </si>
  <si>
    <t>303-5 Water consumption</t>
  </si>
  <si>
    <t>Emissions</t>
  </si>
  <si>
    <t>GRI 305: Emissions 2016</t>
  </si>
  <si>
    <t>305-1 Direct (Scope 1) GHG emissions</t>
  </si>
  <si>
    <t>305-2 Energy indirect (Scope 2) GHG emissions</t>
  </si>
  <si>
    <t>305-3 Other indirect (Scope 3) GHG emissions</t>
  </si>
  <si>
    <t>305-4 GHG emissions intensity</t>
  </si>
  <si>
    <t>305-5 Reduction of GHG emissions</t>
  </si>
  <si>
    <t>305-6 Emissions of ozone-depleting substances (ODS)</t>
  </si>
  <si>
    <t>305-7 Nitrogen oxides (NOx), sulfur oxides (SOx), and other significant air emissions</t>
  </si>
  <si>
    <t>Waste</t>
  </si>
  <si>
    <t>GRI 306: Waste 2020</t>
  </si>
  <si>
    <t>306-1 Waste generation and significant waste-related impacts</t>
  </si>
  <si>
    <t>306-2 Management of significant waste-related impacts</t>
  </si>
  <si>
    <t>306-3 Waste generated</t>
  </si>
  <si>
    <t>306-4 Waste diverted from disposal</t>
  </si>
  <si>
    <t>306-5 Waste directed to disposal</t>
  </si>
  <si>
    <t>GRI 101: Biodiversity 2024</t>
  </si>
  <si>
    <t>101-1 Policies to halt and reverse biodiversity loss</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</si>
  <si>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</si>
  <si>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</si>
  <si>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</si>
  <si>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</si>
  <si>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</si>
  <si>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</si>
  <si>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101-8 Ecosystem services</t>
  </si>
  <si>
    <t>Supplier environmental assessment</t>
  </si>
  <si>
    <t>GRI 308: Supplier Environmental Assessment 2016</t>
  </si>
  <si>
    <t>308-1 New suppliers that were screened using environmental criteria</t>
  </si>
  <si>
    <t>308-2 Negative environmental impacts in the supply chain and actions taken</t>
  </si>
  <si>
    <t>risks disclosed but not impacts or actions taken</t>
  </si>
  <si>
    <t>Employment</t>
  </si>
  <si>
    <t>GRI 401: Employment 2016</t>
  </si>
  <si>
    <t>401-1 New employee hires and employee turnover</t>
  </si>
  <si>
    <t>SPD People tab</t>
  </si>
  <si>
    <t>401-2 Benefits provided to full-time employees that are not provided to temporary or part-time employees</t>
  </si>
  <si>
    <t>401-3 Parental leave</t>
  </si>
  <si>
    <t>Own workforce</t>
  </si>
  <si>
    <t>Occupational health and safety</t>
  </si>
  <si>
    <t>Johnson Matthey Environmental, Health and Safety Policy Statement</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</si>
  <si>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</si>
  <si>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</si>
  <si>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</si>
  <si>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</si>
  <si>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</si>
  <si>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</si>
  <si>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</si>
  <si>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</si>
  <si>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</si>
  <si>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</si>
  <si>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SPD Health and Safety tab</t>
  </si>
  <si>
    <t>403-10 Work-related ill health</t>
  </si>
  <si>
    <t>Training and education</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</si>
  <si>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</si>
  <si>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</si>
  <si>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</si>
  <si>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</si>
  <si>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Diversity and equal opportunity</t>
  </si>
  <si>
    <t>GRI 405: Diversity and Equal Opportunity 2016</t>
  </si>
  <si>
    <t>405-1 Diversity of governance bodies and employees</t>
  </si>
  <si>
    <t>405-2 Ratio of basic salary and remuneration of women to men</t>
  </si>
  <si>
    <t>a. b.</t>
  </si>
  <si>
    <t>data only available for UK employees</t>
  </si>
  <si>
    <t>Non-discrimination</t>
  </si>
  <si>
    <t>GRI 406: Non-discrimination 2016</t>
  </si>
  <si>
    <t>406-1 Incidents of discrimination and corrective actions taken</t>
  </si>
  <si>
    <t>Freedom of association and collective bargaining</t>
  </si>
  <si>
    <t>GRI 407: Freedom of Association and Collective Bargaining 2016</t>
  </si>
  <si>
    <t>407-1 Operations and suppliers in which the right to freedom of association and collective bargaining may be at risk</t>
  </si>
  <si>
    <t xml:space="preserve">countries or suppliers where  risks exist are not disclosed </t>
  </si>
  <si>
    <t>Child labor</t>
  </si>
  <si>
    <t>GRI 408: Child Labor 2016</t>
  </si>
  <si>
    <t>408-1 Operations and suppliers at significant risk for incidents of child labor</t>
  </si>
  <si>
    <t>Forced or Compulsory Labor</t>
  </si>
  <si>
    <t>GRI 409: Forced or Compulsory Labor 2016</t>
  </si>
  <si>
    <t>409-1 Operations and suppliers at significant risk for incidents of forced or compulsory labor</t>
  </si>
  <si>
    <t>Local communities</t>
  </si>
  <si>
    <t>GRI 413: Local Communities 2016</t>
  </si>
  <si>
    <t>413-1 Operations with local community engagement, impact assessments, and development programs</t>
  </si>
  <si>
    <t>413-2 Operations with significant actual and potential negative impacts on local communities</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</si>
  <si>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</si>
  <si>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</si>
  <si>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</si>
  <si>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</si>
  <si>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</si>
  <si>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t>Consumers and end-users</t>
  </si>
  <si>
    <t>Customer health and safety</t>
  </si>
  <si>
    <t>GRI 416: Customer Health and Safety 2016</t>
  </si>
  <si>
    <t>416-1 Assessment of the health and safety impacts of product and service categories</t>
  </si>
  <si>
    <t>SPD Product Stewardship tab</t>
  </si>
  <si>
    <t>416-2 Incidents of non-compliance concerning the health and safety impacts of products and services</t>
  </si>
  <si>
    <t>Marketing and labeling</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</si>
  <si>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</si>
  <si>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</si>
  <si>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</si>
  <si>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</si>
  <si>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</si>
  <si>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</si>
  <si>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</si>
  <si>
    <r>
      <t>Topics in the applica</t>
    </r>
    <r>
      <rPr>
        <b/>
        <sz val="10"/>
        <color theme="0"/>
        <rFont val="Verdana"/>
        <family val="2"/>
      </rPr>
      <t>ble GRI Sector Standards determined as not material to JM but disclosure important to our stakeholers</t>
    </r>
  </si>
  <si>
    <t>GRI 411: Rights of Indigenous Peoples 2016</t>
  </si>
  <si>
    <t>411-1 Incidents of violations involving rights of indigenous peoples</t>
  </si>
  <si>
    <t>GRI 402: Labor/Management Relations 2016</t>
  </si>
  <si>
    <t>402-1 Minimum notice periods regarding operational changes</t>
  </si>
  <si>
    <t>Market presence</t>
  </si>
  <si>
    <t>GRI 202: Market Presence 2016</t>
  </si>
  <si>
    <t>202-1 Ratios of standard entry level wage by gender compared to local minimum wage</t>
  </si>
  <si>
    <t>202-2 Proportion of senior management hired from the local community</t>
  </si>
  <si>
    <t>Indirect economic impacts</t>
  </si>
  <si>
    <t>GRI 203: Indirect Economic Impacts 2016</t>
  </si>
  <si>
    <t>203-1 Infrastructure investments and services supported</t>
  </si>
  <si>
    <t>203-2 Significant indirect economic impacts</t>
  </si>
  <si>
    <t>Procurement practices</t>
  </si>
  <si>
    <t>GRI 204: Procurement Practices 2016</t>
  </si>
  <si>
    <t>204-1 Proportion of spending on local suppliers</t>
  </si>
  <si>
    <t>Tax</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</si>
  <si>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</si>
  <si>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</si>
  <si>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</si>
  <si>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</si>
  <si>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</si>
  <si>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</si>
  <si>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</si>
  <si>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Security practices</t>
  </si>
  <si>
    <t>410-1 Security personnel trained in human rights policies or procedures</t>
  </si>
  <si>
    <t>Public policy</t>
  </si>
  <si>
    <t>GRI 415: Public Policy 2016</t>
  </si>
  <si>
    <t>415-1 Political contributions</t>
  </si>
  <si>
    <t>Johnson Matthey reports in alignment with the requirements of the SASB Sustainability Accounting Standard for Chemicals (Version 2023-12)</t>
  </si>
  <si>
    <t>Topic</t>
  </si>
  <si>
    <t>Accounting Metric</t>
  </si>
  <si>
    <t xml:space="preserve">SASB Code </t>
  </si>
  <si>
    <t>Location</t>
  </si>
  <si>
    <t>JM Response</t>
  </si>
  <si>
    <t>Greenhouse gas emissions</t>
  </si>
  <si>
    <t>Gross global Scope 1 emissions, percentage covered under emissions-limiting regulations</t>
  </si>
  <si>
    <t>RT-CH-110a.1</t>
  </si>
  <si>
    <t>Discussion of long term and short term strategy or plan to manage Scope 1 emissions, emissions reduction targets, and an analysis of performance against those targets</t>
  </si>
  <si>
    <t>RT-CH-110a.2</t>
  </si>
  <si>
    <t>Air quality</t>
  </si>
  <si>
    <t>Air emissions of the following pollutants: (1) NOX (excluding N2O), (2) SOX, (3) volatile organic compounds (VOCs), and (4) hazardous air pollutants (HAPs)</t>
  </si>
  <si>
    <t>RT-CH-120a.1</t>
  </si>
  <si>
    <t>JM does not currently report on any air emissions of HAP. All JM production facilities operate under license or Permit issued by local regulators and all emissions are subject to emission limits set by external regulators. JM are currently assessing emissions from our sites to determine which (if any) HAP could be emitted from our processes.</t>
  </si>
  <si>
    <t>Energy management</t>
  </si>
  <si>
    <t>RT-CH-130a.1</t>
  </si>
  <si>
    <t>Water management</t>
  </si>
  <si>
    <t>1) Total water withdrawn, (2) total water consumed, percentage of each in regions with High or Extremely High Baseline Water Stress</t>
  </si>
  <si>
    <t>RT-CH-140a.1</t>
  </si>
  <si>
    <t>Number of incidents of non-compliance associated with water quality permits, standards, and regulations</t>
  </si>
  <si>
    <t>RT-CH-140a.2</t>
  </si>
  <si>
    <t>Description of water management risks and discussion of strategies and practices to mitigate those risks</t>
  </si>
  <si>
    <t>RT-CH-140a.3</t>
  </si>
  <si>
    <t>Hazardous waste management</t>
  </si>
  <si>
    <r>
      <t>Amount of hazardous waste generated, percentage recycled</t>
    </r>
    <r>
      <rPr>
        <vertAlign val="superscript"/>
        <sz val="10"/>
        <color theme="1"/>
        <rFont val="Verdana"/>
        <family val="2"/>
      </rPr>
      <t>2</t>
    </r>
  </si>
  <si>
    <t>RT-CH-150a.1</t>
  </si>
  <si>
    <t>Community relations</t>
  </si>
  <si>
    <t>Discussion of engagement processes to manage risks and opportunities associated with community interests</t>
  </si>
  <si>
    <t>RT-CH-210a.1</t>
  </si>
  <si>
    <t>Workforce health and safety</t>
  </si>
  <si>
    <t>1) Total recordable incident rate (TRIR) and (2) fatality rate for (a) direct employees and (b) contract employees</t>
  </si>
  <si>
    <t>RT-CH-320a.1</t>
  </si>
  <si>
    <t>Description of efforts to assess, monitor, and reduce exposure of employees and contract workers to long-term (chronic) health risks</t>
  </si>
  <si>
    <t>RT-CH-320a.2</t>
  </si>
  <si>
    <t>Product design for use-phase efficiency</t>
  </si>
  <si>
    <t>Revenue from products designed for use phase resource efficiency.
SASB Chemicals Sustainability Accounting Standard’s definition of products that, when used, improve energy efficiency, eliminate or reduce GHG emissions, reduce raw materials consumption, lower water consumption and/or increase product life.</t>
  </si>
  <si>
    <t>RT-CH-410a.1</t>
  </si>
  <si>
    <t>SPD SASB Index tab</t>
  </si>
  <si>
    <t>Safety and environmental stewardship of chemicals</t>
  </si>
  <si>
    <t>(1) Percentage of products that contain Globally Harmonized System of Classification and Labelling of Chemicals (GHS) Category 1 and 2 Health and Environmental Hazardous Substances, (2) percentage of such products that have undergone a hazard assessment</t>
  </si>
  <si>
    <t>RT-CH-410b.1</t>
  </si>
  <si>
    <t xml:space="preserve">(1) Not disclosed. However, we estimate &lt;10% of sales are from products containing &gt;0.1% w/w of Substances of Very High Concern (as defined in EU REACH), which would be a subset of the substances referred to in this metric. 
(2) 100% of JM products that meet the SASB GHS criteria undergo human health and environmental hazard assessment.  </t>
  </si>
  <si>
    <t>Discussion of strategy to (1) manage chemicals of concern and (2) develop alternatives with reduced human and/or environmental impact</t>
  </si>
  <si>
    <t>RT-CH-410b.2</t>
  </si>
  <si>
    <t>Genetically modified organisms</t>
  </si>
  <si>
    <t>Percentage of products by revenue that contain genetically modified organisms (GMOs)</t>
  </si>
  <si>
    <t>RT-CH-410c.1</t>
  </si>
  <si>
    <t>SPD SASB Index Tab
SPD Product Stewardship tab</t>
  </si>
  <si>
    <t xml:space="preserve">0% of our products contain live GMOs. 
At JM, our Life Sciences Technology business uses genetically modified microorganisms to create biocatalysts (enzymes) targeted at delivering very specific reactions in efficient and sustainable ways. Our products do not contain genetically modified organisms (GMOs) </t>
  </si>
  <si>
    <t>Management of the legal and regulatory environment</t>
  </si>
  <si>
    <t>Discussion of corporate positions related to government regulations and/or policy proposals that address environmental and social factors affecting the industry</t>
  </si>
  <si>
    <t>RT-CH-530a.1</t>
  </si>
  <si>
    <t>See our policies and disclosures</t>
  </si>
  <si>
    <t>Operational safety, emergency preparedness and response</t>
  </si>
  <si>
    <r>
      <t>Process Safety Incidents Count (PSIC), Process Safety Total Incident Rate (PSTIR), and Process Safety Incident Severity Rate (PSISR)</t>
    </r>
    <r>
      <rPr>
        <vertAlign val="superscript"/>
        <sz val="10"/>
        <color theme="1"/>
        <rFont val="Verdana"/>
        <family val="2"/>
      </rPr>
      <t>3</t>
    </r>
  </si>
  <si>
    <t>RT-CH-540a.1</t>
  </si>
  <si>
    <r>
      <t>Number of transport incidents</t>
    </r>
    <r>
      <rPr>
        <vertAlign val="superscript"/>
        <sz val="10"/>
        <color theme="1"/>
        <rFont val="Verdana"/>
        <family val="2"/>
      </rPr>
      <t>4</t>
    </r>
  </si>
  <si>
    <t>RT-CH-540a.2</t>
  </si>
  <si>
    <t>SPD Health and safety tab</t>
  </si>
  <si>
    <t>Activity metrics</t>
  </si>
  <si>
    <r>
      <t>Production by reportable segment</t>
    </r>
    <r>
      <rPr>
        <vertAlign val="superscript"/>
        <sz val="10"/>
        <color theme="1"/>
        <rFont val="Verdana"/>
        <family val="2"/>
      </rPr>
      <t>5</t>
    </r>
  </si>
  <si>
    <t>RT-CH-000.A</t>
  </si>
  <si>
    <t>SPD Environment tab</t>
  </si>
  <si>
    <r>
      <t xml:space="preserve">1 Note to </t>
    </r>
    <r>
      <rPr>
        <b/>
        <sz val="8"/>
        <color theme="1"/>
        <rFont val="Verdana"/>
        <family val="2"/>
      </rPr>
      <t>RT-CH-130a.1</t>
    </r>
    <r>
      <rPr>
        <sz val="8"/>
        <color theme="1"/>
        <rFont val="Verdana"/>
        <family val="2"/>
      </rPr>
      <t xml:space="preserve"> – The entity shall discuss its efforts to reduce energy consumption and / or improve energy efficiency throughout the production processes.</t>
    </r>
  </si>
  <si>
    <r>
      <t xml:space="preserve">2 Note to </t>
    </r>
    <r>
      <rPr>
        <b/>
        <sz val="8"/>
        <color theme="1"/>
        <rFont val="Verdana"/>
        <family val="2"/>
      </rPr>
      <t>RT-CH-150a.1</t>
    </r>
    <r>
      <rPr>
        <sz val="8"/>
        <color theme="1"/>
        <rFont val="Verdana"/>
        <family val="2"/>
      </rPr>
      <t xml:space="preserve"> – The entity shall disclose the legal or regulatory framework(s) used to define hazardous waste and recycled hazardous waste, and the amounts of waste defined in accordance with each applicable framework.</t>
    </r>
  </si>
  <si>
    <r>
      <t xml:space="preserve">3 Note to </t>
    </r>
    <r>
      <rPr>
        <b/>
        <sz val="8"/>
        <color theme="1"/>
        <rFont val="Verdana"/>
        <family val="2"/>
      </rPr>
      <t>RT-CH-540a.1</t>
    </r>
    <r>
      <rPr>
        <sz val="8"/>
        <color theme="1"/>
        <rFont val="Verdana"/>
        <family val="2"/>
      </rPr>
      <t xml:space="preserve"> – The entity shall describe incidents with a severity rating of 1 or 2, including their root cause, outcomes, and corrective actions implemented in response.</t>
    </r>
  </si>
  <si>
    <r>
      <t xml:space="preserve">4 Note to </t>
    </r>
    <r>
      <rPr>
        <b/>
        <sz val="8"/>
        <color theme="1"/>
        <rFont val="Verdana"/>
        <family val="2"/>
      </rPr>
      <t>RT-CH-540a.2</t>
    </r>
    <r>
      <rPr>
        <sz val="8"/>
        <color theme="1"/>
        <rFont val="Verdana"/>
        <family val="2"/>
      </rPr>
      <t xml:space="preserve"> – The entity shall describe significant transport incidents, including their root causes, outcomes, and corrective actions implemented in response.</t>
    </r>
  </si>
  <si>
    <r>
      <t xml:space="preserve">5 Note to </t>
    </r>
    <r>
      <rPr>
        <b/>
        <sz val="8"/>
        <color theme="1"/>
        <rFont val="Verdana"/>
        <family val="2"/>
      </rPr>
      <t>RT-CH-000.A</t>
    </r>
    <r>
      <rPr>
        <sz val="8"/>
        <color theme="1"/>
        <rFont val="Verdana"/>
        <family val="2"/>
      </rPr>
      <t xml:space="preserve"> – Production should be disclosed for each of the entity’s reportable segments, where products and service segments are determined according to FASB ASC 280-10 and production is reported as weight for solid products and volume for liquid and gas products.</t>
    </r>
  </si>
  <si>
    <t>Johnson Matthey annual report and accounts 2024 complies with the TCFD Guidance for All Sectors and have taken into consideration the Material and Buildings Group guidance, as set out in section C of ‘Annex: Implementing the Recommendations of the Task Force on Climate-related Financial Disclosures’, October 2021.
Additionally, following amendment of sections 414C, 414CA and 414CB of the Companies Act 2006 (CA), the below table indicates which of the climate-related disclosures, outlined in Section 414CB, are addressed by the TCFD recommended disclosures, alongside the pages of the Annual Report and Accounts 2024 where these are located.</t>
  </si>
  <si>
    <t>Recommendation</t>
  </si>
  <si>
    <t>Recommended Disclosure</t>
  </si>
  <si>
    <t>CA 414CB (2A)</t>
  </si>
  <si>
    <r>
      <t xml:space="preserve">Governance
</t>
    </r>
    <r>
      <rPr>
        <sz val="10"/>
        <color theme="1"/>
        <rFont val="Verdana"/>
        <family val="2"/>
      </rPr>
      <t>Disclose the organization’s governance around climate-related risks and opportunities.</t>
    </r>
  </si>
  <si>
    <t>a.) Describe the board’s oversight of climate-related risks and opportunities</t>
  </si>
  <si>
    <t>(a)</t>
  </si>
  <si>
    <t>b.) Describe management’s role in assessing and managing climate-related risks and opportunities.</t>
  </si>
  <si>
    <r>
      <t xml:space="preserve">Strategy
</t>
    </r>
    <r>
      <rPr>
        <sz val="10"/>
        <color theme="1"/>
        <rFont val="Verdana"/>
        <family val="2"/>
      </rPr>
      <t>Disclose the actual and potential impacts of climate-related risks and opportunities on the organization’s businesses, strategy, and financial planning</t>
    </r>
  </si>
  <si>
    <t>a.) Describe the climate-related risks and opportunities the company has identified over the short, medium and long term.</t>
  </si>
  <si>
    <t>(d)</t>
  </si>
  <si>
    <t>b.) Describe the impact of climate-related risks and opportunities on the company’s businesses, strategy, and financial planning.</t>
  </si>
  <si>
    <t>(e)</t>
  </si>
  <si>
    <r>
      <t>c.) Describe the resilience of the company’s strategy, taking into consideration different climate-related scenarios, including a 2</t>
    </r>
    <r>
      <rPr>
        <vertAlign val="superscript"/>
        <sz val="12"/>
        <color theme="1"/>
        <rFont val="Verdana"/>
        <family val="2"/>
      </rPr>
      <t>o</t>
    </r>
    <r>
      <rPr>
        <sz val="12"/>
        <color theme="1"/>
        <rFont val="Verdana"/>
        <family val="2"/>
      </rPr>
      <t>C or lower scenario.</t>
    </r>
  </si>
  <si>
    <t>(f)</t>
  </si>
  <si>
    <r>
      <t xml:space="preserve">Risk management
</t>
    </r>
    <r>
      <rPr>
        <sz val="10"/>
        <color theme="1"/>
        <rFont val="Verdana"/>
        <family val="2"/>
      </rPr>
      <t>Disclose how the organization identifies, assesses, and manages climate-related risks</t>
    </r>
  </si>
  <si>
    <t>a.) Describe the company’s processes for identifying and assessing climate-related risks</t>
  </si>
  <si>
    <t>(b)</t>
  </si>
  <si>
    <t>b.) Describe the company’s processes for managing climate-related risks</t>
  </si>
  <si>
    <t>c.) Describe how processes for identifying, assessing, and managing climate-related risks are integrated into the company’s overall risk management</t>
  </si>
  <si>
    <t>(c)</t>
  </si>
  <si>
    <r>
      <t xml:space="preserve">Metrics &amp; targets
</t>
    </r>
    <r>
      <rPr>
        <sz val="10"/>
        <color theme="1"/>
        <rFont val="Verdana"/>
        <family val="2"/>
      </rPr>
      <t>Disclose the metrics and targets used to assess and manage relevant climate-related risks and opportunities where such information is material.</t>
    </r>
  </si>
  <si>
    <t>a.) Disclose the metrics used by the company to assess climate-related risks and opportunities in line with its strategy and risk management process.</t>
  </si>
  <si>
    <t>(h)</t>
  </si>
  <si>
    <t>b.) Disclose Scope 1, Scope 2, and if appropriate Scope 3 greenhouse gas (GHG) emissions, and the related risks</t>
  </si>
  <si>
    <t>c.) Describe the targets used by the company to manage climate-related risks and opportunities and performance against targets</t>
  </si>
  <si>
    <t>(g)</t>
  </si>
  <si>
    <t>Principle Adverse Impact (PAI) Statement</t>
  </si>
  <si>
    <t>Category</t>
  </si>
  <si>
    <t>PAI Category</t>
  </si>
  <si>
    <t>JM KPI</t>
  </si>
  <si>
    <t>GHG emissions</t>
  </si>
  <si>
    <t>Total Scope 1 GHG emissions</t>
  </si>
  <si>
    <t>Formula in regulation is clear so issuers should use this as a reference
Providing at company level and framework level for green bonds is useful</t>
  </si>
  <si>
    <t>Total Scope 2 GHG emissions (market-based)</t>
  </si>
  <si>
    <t>Total Scope 3 GHG emissions</t>
  </si>
  <si>
    <t>Total GHG emissions (sum of scope 1,2 and 3)</t>
  </si>
  <si>
    <t>Carbon footprint</t>
  </si>
  <si>
    <t>This has a slightly lower coverage in the data sets available from providers
Issuers could provide clear data points to help with this calculation (e.g. enterprise value)</t>
  </si>
  <si>
    <t>GHG intensity</t>
  </si>
  <si>
    <t>Scope 1+2+3 GHG intensity per £ million of revenue</t>
  </si>
  <si>
    <t xml:space="preserve">Company revenue is normally easily accesible but providng in a centralised place is helpful (and ensuring scope is the same as for the emissions referenced) </t>
  </si>
  <si>
    <t xml:space="preserve">Exposure to companies active in the fossil fuel sector </t>
  </si>
  <si>
    <t xml:space="preserve">% revenues from customers active in the fossil fuel sector </t>
  </si>
  <si>
    <t>‘companies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t>
  </si>
  <si>
    <t xml:space="preserve">Investor has their own interpretation of what is considered a fossil fuel company. Mainly they want to consider those with direct links to fossil fuel companies. E.g. for a chemical company they would want to look at the client base of the company and see what the products are being used for. Essentially, for now, its a case by case assessment. </t>
  </si>
  <si>
    <t>Share of non-renewable energy consumption and production</t>
  </si>
  <si>
    <t>% non renewable energy consumption compared to total energy consumption</t>
  </si>
  <si>
    <t>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to above</t>
  </si>
  <si>
    <t>They currently only look at this metric for producers (not consumption of companies that don’t produce energy). Most companies do provide data on energy mix though so they may include energy consumers also at some point</t>
  </si>
  <si>
    <t xml:space="preserve">Energy consumption intensity per high impact climate sector </t>
  </si>
  <si>
    <t>Total energy consumption in GWh</t>
  </si>
  <si>
    <t>energy consumption intensity’ means the ratio of energy consumption per unit of activity, output or any other metric of the investee company to the total energy consumption of that investee company
‘high impact climate sectors’ means the sectors listed in Sections A to H and Section L of Annex I to Regulation (EC) No 1893/2006 of the European Parliament and of the Council</t>
  </si>
  <si>
    <t>For companies involved in multiple activities, it would be good if companies could also provide split reporting by activity (as they need to report on each different sector).</t>
  </si>
  <si>
    <t>Activities negatively affecting biodiversity sensitive areas</t>
  </si>
  <si>
    <t>Operations located in or near to biodiversity-sensitive areas where activities of those investee companies negatively affect those areas</t>
  </si>
  <si>
    <r>
      <t xml:space="preserve">‘biodiversity-sensitive areas’ means Natura 2000 network of protected areas, UNESCO World Heritage sites and Key Biodiversity Areas (‘KBAs’), as well as other protected areas, as referred to in </t>
    </r>
    <r>
      <rPr>
        <sz val="10"/>
        <color rgb="FFFF0000"/>
        <rFont val="Verdana"/>
        <family val="2"/>
      </rPr>
      <t>Appendix D of Annex II to Commission Delegated Regulation (EU) 2021/2139</t>
    </r>
  </si>
  <si>
    <t>Companies could state whether they have sites / operations near biodoversity sensitive areas or whether operations affect these areas. For now the data isnt there so they look at biodiversity controversies</t>
  </si>
  <si>
    <t>Contact us | Johnson Matthey</t>
  </si>
  <si>
    <t>Emissions to water</t>
  </si>
  <si>
    <t>Tonnes of emissions of prioritiy substances to water (as defined in Article 2(30) of Directive 2000/60/EC of the European Parliament and and direct emissions of nitrates, phosphates and pesticides)</t>
  </si>
  <si>
    <t>Emissions to water means direct emissions of priority substances as defined in Article 2(30) of the Water Framework Directive 2000/60/EC of the European Parliament and of the Council (as amended by directive 2013/39/EU )and direct emissions of nitrates, phosphates and pesticides to water.</t>
  </si>
  <si>
    <t>This information is often not there, even for water companies. Sometimes they look at leakage rate or controversies as a substitute.</t>
  </si>
  <si>
    <t>From the available analysis, the following quantities of priority substances are calculated as being discharged by JM directly to water courses
nickel = 0.0013 tonnes; cadmium =  4e-5 tonnes; lead 1.4e-4 tonnes; mercury =  7e-6 tonnes; nitrates = 0.17 tonnes</t>
  </si>
  <si>
    <t>Hazardous waste and radioactive waste ratio</t>
  </si>
  <si>
    <t>Tonnes of hazardous waste and radioactive waste generated</t>
  </si>
  <si>
    <t>‘hazardous waste’ means hazardous waste as defined in Article 3(2) of Directive 2008/98/EC of the European Parliament and of the Council; ‘radioactive waste’ means radioactive waste as defined in Article 3(7) of Council Directive 2011/70/Euratom</t>
  </si>
  <si>
    <t>Can look at controversies as a substitute. Again helpful if companies can explicitely state if this isnt relevant</t>
  </si>
  <si>
    <t>Social and employee matters</t>
  </si>
  <si>
    <t>Violations of UN Global Compact principles and Organisation for Economic Cooperation and Development (OECD) Guidelines for Multinational Enterprises</t>
  </si>
  <si>
    <t>Formal violations of UNGC is difficult to assess. If data providers put an issuer on the UNGC watchlist (e.g. Sustainalytics) they will assess case by case. Otherwise they consider that signatories arent violating the UNGC</t>
  </si>
  <si>
    <t xml:space="preserve">Not on UNGC watchlist </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</si>
  <si>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</si>
  <si>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handling mechanisms to address violations of the UNGC principles or OECD Guidelines for Multinational Enterprises</t>
  </si>
  <si>
    <t xml:space="preserve">If an issuer is on the UNGC website then they presume that the policies etc are in place. 
Re OECD Guidelines for Multinational Enterprises there isnt an official list - so they rely on issues directly mentioning this </t>
  </si>
  <si>
    <t>See our UN Global Compact Company information</t>
  </si>
  <si>
    <t>We are a member of UNGC and have processes and compliance mechanisms to monitor compliance with UN Global Compact principles and OECD Guidelines for Multinational Enterprises</t>
  </si>
  <si>
    <t>Unadjusted gender pay gap</t>
  </si>
  <si>
    <t>Average unadjusted gender pay gap</t>
  </si>
  <si>
    <t>This is one of the hardest bits of data to find but it should be relatively easy for issuers to publish</t>
  </si>
  <si>
    <t>We issue a gender pay gap report in accordance with UK law. In 2024 our UK gender pay gap was 4.0% which puts us ahead of the national average of 13.1%</t>
  </si>
  <si>
    <t>Johnson Matthey Gender Pay Gap Report 2024</t>
  </si>
  <si>
    <t>Board gender diversity</t>
  </si>
  <si>
    <t>Average ratio of female to male board members in investee companies, expressed as a percentage of all board members</t>
  </si>
  <si>
    <t>Can get the data from data providers (e.g. in MSCI reports) or direct from issuer. Usually they can find this info but putting as part of a dediated PAI table would relly help (data provider info is often inaccurate / out of date)</t>
  </si>
  <si>
    <t>44% females</t>
  </si>
  <si>
    <t>Exposure to controversial weapons (anti-personnel mines, cluster munitions, chemical weapons and biological weapons)</t>
  </si>
  <si>
    <t>% revenues involved in the manufacture or selling of controversial weapons</t>
  </si>
  <si>
    <t>Can be checked at a company level but it is still helpful for companies to state for certainty (e.g. some chemical companies have been linked to chemical weapons for example)</t>
  </si>
  <si>
    <t>Streamlined Energy and Carbon Reporting (SECR)</t>
  </si>
  <si>
    <t>In line with the requirements set out in the UK Government’s guidance on SECR, the table below represents Johnson Matthey’s energy use and associated GHG emissions from electricity and fuel in the UK (1st April 2024 through to 31st March 2025), calculated with reference to the Greenhouse Gas Protocol. 
The scope of this data includes 8 manufacturing sites and 8 non-manufacturing sites based in the UK. In 2024/25, the UK accounted for 47% of our global total Scope 1 and 2 emissions as well as 29% of our global energy use.</t>
  </si>
  <si>
    <t>Key:</t>
  </si>
  <si>
    <t>ROW = Rest of World</t>
  </si>
  <si>
    <t>Scope 1 and 2 greenhouse gas (GHG) emissions</t>
  </si>
  <si>
    <t>Units of Measure</t>
  </si>
  <si>
    <t>2024/25</t>
  </si>
  <si>
    <t>2023/24</t>
  </si>
  <si>
    <t>2022/23</t>
  </si>
  <si>
    <t>2021/22</t>
  </si>
  <si>
    <t>2020/21</t>
  </si>
  <si>
    <t>2019/20</t>
  </si>
  <si>
    <t>% change latest year vs previous year
 (global)</t>
  </si>
  <si>
    <t>Global</t>
  </si>
  <si>
    <t>UK</t>
  </si>
  <si>
    <t>ROW</t>
  </si>
  <si>
    <r>
      <t>tonnes CO</t>
    </r>
    <r>
      <rPr>
        <vertAlign val="subscript"/>
        <sz val="12"/>
        <rFont val="Verdana"/>
        <family val="2"/>
      </rPr>
      <t>2</t>
    </r>
    <r>
      <rPr>
        <sz val="12"/>
        <rFont val="Verdana"/>
        <family val="2"/>
      </rPr>
      <t>e</t>
    </r>
  </si>
  <si>
    <t>Total Scope 2 GHG emissions (location-based)</t>
  </si>
  <si>
    <t>Total Scope 1 and 2 GHG emission (market-based)</t>
  </si>
  <si>
    <r>
      <t>tonnes CO</t>
    </r>
    <r>
      <rPr>
        <b/>
        <vertAlign val="subscript"/>
        <sz val="12"/>
        <rFont val="Verdana"/>
        <family val="2"/>
      </rPr>
      <t>2</t>
    </r>
    <r>
      <rPr>
        <b/>
        <sz val="12"/>
        <rFont val="Verdana"/>
        <family val="2"/>
      </rPr>
      <t>e</t>
    </r>
  </si>
  <si>
    <t>Total Scope 1 and 2 GHG emission (location-based)</t>
  </si>
  <si>
    <t>Total Scope 1 and 2 carbon intensity (market-based)</t>
  </si>
  <si>
    <r>
      <t>tonnes CO</t>
    </r>
    <r>
      <rPr>
        <b/>
        <vertAlign val="subscript"/>
        <sz val="11"/>
        <rFont val="Verdana"/>
        <family val="2"/>
      </rPr>
      <t>2</t>
    </r>
    <r>
      <rPr>
        <b/>
        <sz val="11"/>
        <rFont val="Verdana"/>
        <family val="2"/>
      </rPr>
      <t>e/tonne sales</t>
    </r>
  </si>
  <si>
    <t xml:space="preserve">Energy consumption and efficiency </t>
  </si>
  <si>
    <t>Total energy consumption</t>
  </si>
  <si>
    <t>MWh</t>
  </si>
  <si>
    <t>Total energy efficiency</t>
  </si>
  <si>
    <t>MWh/tonne</t>
  </si>
  <si>
    <t>Five-year performance table</t>
  </si>
  <si>
    <t>Externally assured selected information by ERM CVS</t>
  </si>
  <si>
    <t>Metric name</t>
  </si>
  <si>
    <t>Unit of Measure</t>
  </si>
  <si>
    <t>2024/25 total figure</t>
  </si>
  <si>
    <t>2023/24 total figure</t>
  </si>
  <si>
    <r>
      <t>tonnes CO</t>
    </r>
    <r>
      <rPr>
        <vertAlign val="subscript"/>
        <sz val="12"/>
        <color theme="1"/>
        <rFont val="Verdana"/>
        <family val="2"/>
      </rPr>
      <t>2</t>
    </r>
    <r>
      <rPr>
        <sz val="12"/>
        <color theme="1"/>
        <rFont val="Verdana"/>
        <family val="2"/>
      </rPr>
      <t>e</t>
    </r>
  </si>
  <si>
    <t>Total Scope 1 and 2 GHG emissions (market-based)</t>
  </si>
  <si>
    <r>
      <t>tonnes CO</t>
    </r>
    <r>
      <rPr>
        <vertAlign val="subscript"/>
        <sz val="12"/>
        <color theme="1"/>
        <rFont val="Verdana"/>
        <family val="2"/>
      </rPr>
      <t>2</t>
    </r>
    <r>
      <rPr>
        <sz val="12"/>
        <color theme="1"/>
        <rFont val="Verdana"/>
        <family val="2"/>
      </rPr>
      <t>e/tonne sales</t>
    </r>
  </si>
  <si>
    <t>Year on year change in Scope 1 and 2 carbon intensity</t>
  </si>
  <si>
    <t>%</t>
  </si>
  <si>
    <t>Total non-renewable energy consumption</t>
  </si>
  <si>
    <t>kWh</t>
  </si>
  <si>
    <t>Total renewable energy purchased or generated</t>
  </si>
  <si>
    <t>Certified renewable electricity consumption</t>
  </si>
  <si>
    <t>Total Scope 3 (Category 1) Purchased Goods and Services GHG emissions</t>
  </si>
  <si>
    <t>Total Scope 3 (Category 3) Fuel and Energy-related GHG emissions</t>
  </si>
  <si>
    <t>Total freshwater withdrawal (all sources)</t>
  </si>
  <si>
    <r>
      <t>m</t>
    </r>
    <r>
      <rPr>
        <vertAlign val="superscript"/>
        <sz val="12"/>
        <color theme="1"/>
        <rFont val="Verdana"/>
        <family val="2"/>
      </rPr>
      <t>3</t>
    </r>
  </si>
  <si>
    <t>Total water discharged back to original source</t>
  </si>
  <si>
    <t>Net freshwater consumption</t>
  </si>
  <si>
    <r>
      <t>000's m</t>
    </r>
    <r>
      <rPr>
        <vertAlign val="superscript"/>
        <sz val="12"/>
        <color theme="1"/>
        <rFont val="Verdana"/>
        <family val="2"/>
      </rPr>
      <t>3</t>
    </r>
  </si>
  <si>
    <t>Freshwater consumed in regions of high or extremely high baseline water stress</t>
  </si>
  <si>
    <t>Average direct Chemical Oxygen Demand of wastewater (COD)</t>
  </si>
  <si>
    <t>mg/L</t>
  </si>
  <si>
    <t>Coverage for COD reporting</t>
  </si>
  <si>
    <t>Total waste recycled/reused</t>
  </si>
  <si>
    <t>tonnes</t>
  </si>
  <si>
    <t>Total waste sent off site to landfill</t>
  </si>
  <si>
    <t>Total waste sent off site for incineration with energy recovery</t>
  </si>
  <si>
    <t>Total waste sent off site to incineration or treatment without energy recovery</t>
  </si>
  <si>
    <t>Total waste sent off site</t>
  </si>
  <si>
    <t>Total hazardous waste recycled/reused</t>
  </si>
  <si>
    <t>Total Hazardous waste sent off site to landfill</t>
  </si>
  <si>
    <t>Total Hazardous waste sent offsite for incineration with energy recovery</t>
  </si>
  <si>
    <t>Total Hazardous waste sent offsite for incineration or treatment without energy recovery</t>
  </si>
  <si>
    <t>Total hazardous waste sent off site for treatment</t>
  </si>
  <si>
    <t>Total solid waste disposed off site</t>
  </si>
  <si>
    <t>Total solid waste generated for treatment off site</t>
  </si>
  <si>
    <t>Total solid waste sent off site to be reused / recycled</t>
  </si>
  <si>
    <t>Total waste sent for recovery at a JM refinery</t>
  </si>
  <si>
    <t>Nitrogen oxides (NOx) emissions to air</t>
  </si>
  <si>
    <t>Sulphur oxides (SOx) emissions to air</t>
  </si>
  <si>
    <t>Volatile organic chemicals (VOCs) emissions to air</t>
  </si>
  <si>
    <t>Coverage for NOx reporting</t>
  </si>
  <si>
    <t>Coverage for SOx reporting</t>
  </si>
  <si>
    <t>Coverage for VOCs reporting</t>
  </si>
  <si>
    <t>Tonnes of GHGs avoided by using JM technology</t>
  </si>
  <si>
    <t>% of recycled PGMs (Platinum Group Metals) in Johnson Matthey’s manufacturing products</t>
  </si>
  <si>
    <t>Lost Time Injury Frequency Rate (LTIFR) employees</t>
  </si>
  <si>
    <t>n/million hrs</t>
  </si>
  <si>
    <t>Lost Time Injury Frequency Rate (LTIFR) contractors</t>
  </si>
  <si>
    <t xml:space="preserve">Occupational Illness Frequency Rate (OIFR)  </t>
  </si>
  <si>
    <t>Tier 1 Process Safety events rate</t>
  </si>
  <si>
    <t>Tier 1 events/1,000,000hrs</t>
  </si>
  <si>
    <t>Total Recordable Injury and Illness Rate(TRIIR) employees + contractors</t>
  </si>
  <si>
    <t>n/200,000 hrs</t>
  </si>
  <si>
    <t>ICCA Process Safety Event Severity Rate (PSESR)</t>
  </si>
  <si>
    <t>PSESR/200,000hrs</t>
  </si>
  <si>
    <t>% of female representation at all management levels</t>
  </si>
  <si>
    <t>2030 Targets</t>
  </si>
  <si>
    <t>KPI</t>
  </si>
  <si>
    <t>Units of Measurement</t>
  </si>
  <si>
    <t>Target definition</t>
  </si>
  <si>
    <t>Baseline year</t>
  </si>
  <si>
    <t>Baseline Value</t>
  </si>
  <si>
    <t>2030 target</t>
  </si>
  <si>
    <t xml:space="preserve">2030 target on baseline value </t>
  </si>
  <si>
    <t>2024/25 Performance</t>
  </si>
  <si>
    <t>2024/25 progress on baseline</t>
  </si>
  <si>
    <t>2023/24 Performance</t>
  </si>
  <si>
    <t>2023/24 progress on baseline</t>
  </si>
  <si>
    <t>2022/23 Performance</t>
  </si>
  <si>
    <t>2022/23 progress on baseline</t>
  </si>
  <si>
    <t>Avoided GHG emissions by customers when using our technologies</t>
  </si>
  <si>
    <r>
      <t>tonnes CO</t>
    </r>
    <r>
      <rPr>
        <vertAlign val="subscript"/>
        <sz val="10"/>
        <color theme="1"/>
        <rFont val="Verdana"/>
        <family val="2"/>
      </rPr>
      <t>2</t>
    </r>
    <r>
      <rPr>
        <sz val="10"/>
        <color theme="1"/>
        <rFont val="Verdana"/>
        <family val="2"/>
      </rPr>
      <t>e</t>
    </r>
  </si>
  <si>
    <t>50 million tonnes of GHG emissions avoided per year using technologies enabled by JM's products and solutions, compared to conventional offerings</t>
  </si>
  <si>
    <t>Total Scope 1 and Scope 2 GHG emissions (market-based)</t>
  </si>
  <si>
    <t>Reduction of 44% on baseline 2019/20 value by 2030</t>
  </si>
  <si>
    <t>Scope 3 GHG Purchased Goods and Services</t>
  </si>
  <si>
    <t>Reduction of 42% on baseline 2019/20 value by 2030</t>
  </si>
  <si>
    <t>% recycled PGM</t>
  </si>
  <si>
    <t>Increase recycled PGM content in JM's manufactured products to at least 75%</t>
  </si>
  <si>
    <t>Reduction of 50% on baseline 2019/20 value by 2030</t>
  </si>
  <si>
    <t>Water intensity</t>
  </si>
  <si>
    <r>
      <t>000's m</t>
    </r>
    <r>
      <rPr>
        <vertAlign val="superscript"/>
        <sz val="10"/>
        <color theme="1"/>
        <rFont val="Verdana"/>
        <family val="2"/>
      </rPr>
      <t>3</t>
    </r>
    <r>
      <rPr>
        <sz val="10"/>
        <color theme="1"/>
        <rFont val="Verdana"/>
        <family val="2"/>
      </rPr>
      <t xml:space="preserve"> / £</t>
    </r>
  </si>
  <si>
    <t>Reduction of 30% on baseline 2019/20 value of 100%</t>
  </si>
  <si>
    <t>TRIIR employees and contractors</t>
  </si>
  <si>
    <t>n/200,000hrs</t>
  </si>
  <si>
    <t>Achieve a Total Recordable Injury and Illness Rate for employees and contractors below 0.25</t>
  </si>
  <si>
    <t>Reduce our ICCA process safety severity rate to 0.4</t>
  </si>
  <si>
    <t>Employee Engagement</t>
  </si>
  <si>
    <t>Score of min 8 by 2030</t>
  </si>
  <si>
    <t xml:space="preserve">Female representation </t>
  </si>
  <si>
    <t>Achieve more than 40% of female representation across all management level</t>
  </si>
  <si>
    <t>Our products and services are aligned with four of the UN SDGs where we believe we can make the biggest positive contributions.</t>
  </si>
  <si>
    <t>Sales from products contributing to priority UN SDGs</t>
  </si>
  <si>
    <t>SDG 3 - Good health and well-being</t>
  </si>
  <si>
    <t>SDG 7 - Affordable and clean energy</t>
  </si>
  <si>
    <t>SDG 12 - Responsible consumption and production</t>
  </si>
  <si>
    <t>SDG 13 - Climate action</t>
  </si>
  <si>
    <t>Unassigned</t>
  </si>
  <si>
    <t>R&amp;D spend contributing to priority UN SDGs</t>
  </si>
  <si>
    <t>Greenhouse gas (GHG) emissions</t>
  </si>
  <si>
    <t>Performance against prior year</t>
  </si>
  <si>
    <t>Performance against 2019/20 baseline</t>
  </si>
  <si>
    <t xml:space="preserve">Scope 3 GHG emissions by category </t>
  </si>
  <si>
    <t>Total Scope 3 (Category 1) Purchased goods and services GHG emissions</t>
  </si>
  <si>
    <r>
      <t>tonnes CO</t>
    </r>
    <r>
      <rPr>
        <vertAlign val="subscript"/>
        <sz val="12"/>
        <color rgb="FF000000"/>
        <rFont val="Verdana"/>
        <family val="2"/>
      </rPr>
      <t>2</t>
    </r>
    <r>
      <rPr>
        <sz val="12"/>
        <color rgb="FF000000"/>
        <rFont val="Verdana"/>
        <family val="2"/>
      </rPr>
      <t>e</t>
    </r>
  </si>
  <si>
    <t>Total Scope 3 (Category 2) Capital goods GHG emissions</t>
  </si>
  <si>
    <t>Total Scope 3 (Category 3) Fuel and Energy-related activities GHG emissions</t>
  </si>
  <si>
    <t>Total Scope 3 (Category 4) Upstream transportation and distribution GHG emissions</t>
  </si>
  <si>
    <t>Total Scope 3 (Category 5) Waste generated in operations GHG emissions</t>
  </si>
  <si>
    <t>Total Scope 3 (Category 6) Business travel GHG emissions</t>
  </si>
  <si>
    <t>Total Scope 3 (Category 7) Employee commuting GHG emissions</t>
  </si>
  <si>
    <t>Total Scope 3 (Category 8) Upstream leased assets GHG emissions</t>
  </si>
  <si>
    <t>Total Scope 3 (Category 9) Downstream transportation and distribution GHG emissions</t>
  </si>
  <si>
    <t>Total Scope 3 (Category 10) Processing of sold products GHG emissions</t>
  </si>
  <si>
    <t>Total Scope 3 (Category 11) Use of sold products GHG emissions</t>
  </si>
  <si>
    <t>Total Scope 3 (Category 12)  End of life treatment of sold products GHG emissions</t>
  </si>
  <si>
    <t>Total Scope 3 (Category 13) Downstream leased assets GHG emissions</t>
  </si>
  <si>
    <t>Total Scope 3 (Category 14) Franchises GHG emissions</t>
  </si>
  <si>
    <t>Total Scope 3 (Category 15) Investments GHG emissions</t>
  </si>
  <si>
    <t>Total Scope 3 Upstream GHG Emissions</t>
  </si>
  <si>
    <t>Total Scope 3 Downstream GHG Emissions</t>
  </si>
  <si>
    <t>Total Scope 3 (all categories) GHG emissions</t>
  </si>
  <si>
    <r>
      <t>tonnes CO</t>
    </r>
    <r>
      <rPr>
        <b/>
        <vertAlign val="subscript"/>
        <sz val="12"/>
        <color rgb="FF000000"/>
        <rFont val="Verdana"/>
        <family val="2"/>
      </rPr>
      <t>2</t>
    </r>
    <r>
      <rPr>
        <b/>
        <sz val="12"/>
        <color rgb="FF000000"/>
        <rFont val="Verdana"/>
        <family val="2"/>
      </rPr>
      <t>e</t>
    </r>
  </si>
  <si>
    <t>Total GHG emissions and intensity</t>
  </si>
  <si>
    <r>
      <t>tonnes CO</t>
    </r>
    <r>
      <rPr>
        <vertAlign val="subscript"/>
        <sz val="11"/>
        <color rgb="FF000000"/>
        <rFont val="Verdana"/>
        <family val="2"/>
      </rPr>
      <t>2</t>
    </r>
    <r>
      <rPr>
        <sz val="11"/>
        <color rgb="FF000000"/>
        <rFont val="Verdana"/>
        <family val="2"/>
      </rPr>
      <t>e</t>
    </r>
  </si>
  <si>
    <t>Total (Scope 1 + 2 + 3) GHG emissions</t>
  </si>
  <si>
    <t>Total (Scope 1 + 2 + 3) GHG intensity per tonne product sold</t>
  </si>
  <si>
    <r>
      <t>tonnes CO</t>
    </r>
    <r>
      <rPr>
        <vertAlign val="subscript"/>
        <sz val="12"/>
        <rFont val="Verdana"/>
        <family val="2"/>
      </rPr>
      <t>2</t>
    </r>
    <r>
      <rPr>
        <sz val="12"/>
        <rFont val="Verdana"/>
        <family val="2"/>
      </rPr>
      <t>e/tonne product</t>
    </r>
  </si>
  <si>
    <t>Total (Scope 1 + 2 + 3) GHG intensity per £M revenue</t>
  </si>
  <si>
    <r>
      <t>tonnes CO</t>
    </r>
    <r>
      <rPr>
        <vertAlign val="subscript"/>
        <sz val="12"/>
        <rFont val="Verdana"/>
        <family val="2"/>
      </rPr>
      <t>2</t>
    </r>
    <r>
      <rPr>
        <sz val="12"/>
        <rFont val="Verdana"/>
        <family val="2"/>
      </rPr>
      <t>e/£M revenue</t>
    </r>
  </si>
  <si>
    <t>Avoided GHG emissions</t>
  </si>
  <si>
    <t>2020/21
(baseline year)</t>
  </si>
  <si>
    <t>Total Avoided GHG emissions from customer applications of our technologies</t>
  </si>
  <si>
    <t>Energy Use</t>
  </si>
  <si>
    <t>(%)</t>
  </si>
  <si>
    <t>Certified renewable energy consumption</t>
  </si>
  <si>
    <t>Categorisation  of energy sources (KPIs)</t>
  </si>
  <si>
    <t>1. Total energy consumption</t>
  </si>
  <si>
    <t>GJ</t>
  </si>
  <si>
    <t>2. Total Electricity consumption</t>
  </si>
  <si>
    <t>3. Total Natural gas consumption</t>
  </si>
  <si>
    <t>4. Total non-renewable energy consumption</t>
  </si>
  <si>
    <t>a) Non-renewable fuels purchased and consumed</t>
  </si>
  <si>
    <t>b) Non-renewable electricity purchased</t>
  </si>
  <si>
    <t>c) Steam/heating/cooling and other energy (non-renewable) purchased</t>
  </si>
  <si>
    <t>d) Non-renewable energy from the fuel used or mileage travelled by JM controlled vehicles on company business</t>
  </si>
  <si>
    <t>n/a</t>
  </si>
  <si>
    <t>5. Total renewable energy purchased or generated</t>
  </si>
  <si>
    <t>a) renewable electricity purchased or generated</t>
  </si>
  <si>
    <t>b) renewable fuels and steam purchased or generated</t>
  </si>
  <si>
    <t>Environmental KPIs</t>
  </si>
  <si>
    <t xml:space="preserve">Water withdrawal by source </t>
  </si>
  <si>
    <t>Total municipal water supplies</t>
  </si>
  <si>
    <r>
      <t>m</t>
    </r>
    <r>
      <rPr>
        <vertAlign val="superscript"/>
        <sz val="11"/>
        <color theme="1"/>
        <rFont val="Verdana"/>
        <family val="2"/>
      </rPr>
      <t>3</t>
    </r>
  </si>
  <si>
    <t>Fresh surface water</t>
  </si>
  <si>
    <t>Fresh groundwater</t>
  </si>
  <si>
    <t>Rainwater harvested and stored</t>
  </si>
  <si>
    <r>
      <t>m</t>
    </r>
    <r>
      <rPr>
        <b/>
        <vertAlign val="superscript"/>
        <sz val="11"/>
        <color theme="1"/>
        <rFont val="Verdana"/>
        <family val="2"/>
      </rPr>
      <t>3</t>
    </r>
  </si>
  <si>
    <t>Water discharge by destination</t>
  </si>
  <si>
    <t>Total water returned to the source of extraction at similar or higher quality as raw water extracted</t>
  </si>
  <si>
    <t>Total which goes to municipal treatment</t>
  </si>
  <si>
    <t>Total wastewater discharged</t>
  </si>
  <si>
    <r>
      <t>m</t>
    </r>
    <r>
      <rPr>
        <b/>
        <vertAlign val="superscript"/>
        <sz val="11"/>
        <color rgb="FF000000"/>
        <rFont val="Verdana"/>
        <family val="2"/>
      </rPr>
      <t>3</t>
    </r>
  </si>
  <si>
    <t>Average COD of wastewater discharge</t>
  </si>
  <si>
    <t>Water consumption</t>
  </si>
  <si>
    <r>
      <t>000's m</t>
    </r>
    <r>
      <rPr>
        <b/>
        <vertAlign val="superscript"/>
        <sz val="11"/>
        <color theme="1"/>
        <rFont val="Verdana"/>
        <family val="2"/>
      </rPr>
      <t>3</t>
    </r>
  </si>
  <si>
    <r>
      <t>000's m</t>
    </r>
    <r>
      <rPr>
        <b/>
        <vertAlign val="superscript"/>
        <sz val="11"/>
        <rFont val="Verdana"/>
        <family val="2"/>
      </rPr>
      <t>3</t>
    </r>
  </si>
  <si>
    <t>% freshwater consumed in regions of high or extremely high baseline water stress</t>
  </si>
  <si>
    <t>Net freshwater consumption intensity</t>
  </si>
  <si>
    <t>Types of waste produced and sent off site for treatment by a third party</t>
  </si>
  <si>
    <t>Liquid hazardous waste</t>
  </si>
  <si>
    <t>Solid hazardous waste</t>
  </si>
  <si>
    <t>Liquid non-hazardous waste</t>
  </si>
  <si>
    <t>Solid non-hazardous waste</t>
  </si>
  <si>
    <t>Methods of waste treatment applied by our third party providers</t>
  </si>
  <si>
    <t>Total waste reused</t>
  </si>
  <si>
    <t>Total waste recycled</t>
  </si>
  <si>
    <t>Waste directed to off site disposal</t>
  </si>
  <si>
    <t>Non-hazardous waste disposed through incineration with energy recovery</t>
  </si>
  <si>
    <t>Non-hazardous waste disposed through incineration or treatment without energy recovery</t>
  </si>
  <si>
    <t>Non-hazardous waste disposed to landfill</t>
  </si>
  <si>
    <t>Total non-hazardous waste disposed</t>
  </si>
  <si>
    <t>Hazardous waste disposed through incineration with energy recovery</t>
  </si>
  <si>
    <t>Hazardous waste disposed through incineration without energy recovery</t>
  </si>
  <si>
    <t>Hazardous waste disposed to landfill</t>
  </si>
  <si>
    <t>Total hazardous waste disposed</t>
  </si>
  <si>
    <t xml:space="preserve">Total waste disposed </t>
  </si>
  <si>
    <t>Total waste disposed off site to landfill</t>
  </si>
  <si>
    <t>Waste diverted from off site disposal</t>
  </si>
  <si>
    <t>Non-hazardous waste reused</t>
  </si>
  <si>
    <t>Hazardous waste reused</t>
  </si>
  <si>
    <t>Non-hazardous waste recycled</t>
  </si>
  <si>
    <t>Hazardous waste recycled</t>
  </si>
  <si>
    <t>Total waste recycled or reused</t>
  </si>
  <si>
    <t xml:space="preserve">Non-hazardous waste recycled and reused  </t>
  </si>
  <si>
    <t xml:space="preserve">Hazardous waste recycled and reused  </t>
  </si>
  <si>
    <t xml:space="preserve">Total waste recycled and reused </t>
  </si>
  <si>
    <t>Solid waste disposed off site</t>
  </si>
  <si>
    <t>Total solid waste sent off site to be reused</t>
  </si>
  <si>
    <t>Total solid waste sent off site to be recycled</t>
  </si>
  <si>
    <t>Emissions to air</t>
  </si>
  <si>
    <r>
      <t>Nitrogen oxides (NO</t>
    </r>
    <r>
      <rPr>
        <vertAlign val="subscript"/>
        <sz val="12"/>
        <rFont val="Verdana"/>
        <family val="2"/>
      </rPr>
      <t>x</t>
    </r>
    <r>
      <rPr>
        <sz val="12"/>
        <rFont val="Verdana"/>
        <family val="2"/>
      </rPr>
      <t>) emissions to air</t>
    </r>
  </si>
  <si>
    <r>
      <t>Sulphur oxides (SO</t>
    </r>
    <r>
      <rPr>
        <vertAlign val="subscript"/>
        <sz val="12"/>
        <rFont val="Verdana"/>
        <family val="2"/>
      </rPr>
      <t>x</t>
    </r>
    <r>
      <rPr>
        <sz val="12"/>
        <rFont val="Verdana"/>
        <family val="2"/>
      </rPr>
      <t>) emissions to air</t>
    </r>
  </si>
  <si>
    <r>
      <t>Coverage for NO</t>
    </r>
    <r>
      <rPr>
        <vertAlign val="subscript"/>
        <sz val="12"/>
        <rFont val="Verdana"/>
        <family val="2"/>
      </rPr>
      <t>x</t>
    </r>
    <r>
      <rPr>
        <sz val="12"/>
        <rFont val="Verdana"/>
        <family val="2"/>
      </rPr>
      <t xml:space="preserve"> reporting</t>
    </r>
  </si>
  <si>
    <r>
      <t>Coverage for SO</t>
    </r>
    <r>
      <rPr>
        <vertAlign val="subscript"/>
        <sz val="12"/>
        <rFont val="Verdana"/>
        <family val="2"/>
      </rPr>
      <t>x</t>
    </r>
    <r>
      <rPr>
        <sz val="12"/>
        <rFont val="Verdana"/>
        <family val="2"/>
      </rPr>
      <t xml:space="preserve"> reporting</t>
    </r>
  </si>
  <si>
    <t>Total products sold</t>
  </si>
  <si>
    <t>Tonnes of product sold</t>
  </si>
  <si>
    <t>tonnes of product sold</t>
  </si>
  <si>
    <t xml:space="preserve">Revenue </t>
  </si>
  <si>
    <t>£M</t>
  </si>
  <si>
    <t>Compliance with environmental laws and regulations</t>
  </si>
  <si>
    <t>#</t>
  </si>
  <si>
    <t>Total monetary value of significant fines</t>
  </si>
  <si>
    <t>£</t>
  </si>
  <si>
    <t>Environmental Certification</t>
  </si>
  <si>
    <t>Number of sites with ISO 14001 certification</t>
  </si>
  <si>
    <t>Work with Tony Malone</t>
  </si>
  <si>
    <r>
      <t>We are a global leader in sustainable technologies. Through inspiring science and continued innovation, we are catalysing the net zero transition for millions of people every day. Our skills and technology are more important today as businesses and communities adapt and rise to the challenges of climate change. But sustainability isn’t just about our portfolio of technologies. It’s also about our own operations, how we work together and hold ourselves accountable.
For more information on our methodology, please see our Basis of Reporting on pages</t>
    </r>
    <r>
      <rPr>
        <sz val="12"/>
        <color rgb="FFFF0000"/>
        <rFont val="Verdana"/>
        <family val="2"/>
      </rPr>
      <t xml:space="preserve"> XXX-XXX</t>
    </r>
    <r>
      <rPr>
        <sz val="12"/>
        <color rgb="FF0000CC"/>
        <rFont val="Verdana"/>
        <family val="2"/>
      </rPr>
      <t xml:space="preserve"> of our Annual Report and Accounts 
</t>
    </r>
    <r>
      <rPr>
        <b/>
        <sz val="12"/>
        <color rgb="FF0000CC"/>
        <rFont val="Verdana"/>
        <family val="2"/>
      </rPr>
      <t>Data Scope</t>
    </r>
    <r>
      <rPr>
        <sz val="12"/>
        <color rgb="FF0000CC"/>
        <rFont val="Verdana"/>
        <family val="2"/>
      </rPr>
      <t xml:space="preserve">: These numbers reflect all JM usage and emissions as recorded during the financial years as stated. All data from sites that were sold is included. For some sites that were disposed there is a partial years entry to reflect the usage / emissions that occurred under JM ownership of the site.  
</t>
    </r>
    <r>
      <rPr>
        <b/>
        <sz val="12"/>
        <color rgb="FF0000CC"/>
        <rFont val="Verdana"/>
        <family val="2"/>
      </rPr>
      <t xml:space="preserve">Restatement comment: </t>
    </r>
    <r>
      <rPr>
        <sz val="12"/>
        <color rgb="FF0000CC"/>
        <rFont val="Verdana"/>
        <family val="2"/>
      </rPr>
      <t>Following a review of the methodologies for calculating process CO</t>
    </r>
    <r>
      <rPr>
        <vertAlign val="subscript"/>
        <sz val="12"/>
        <color rgb="FF0000CC"/>
        <rFont val="Verdana"/>
        <family val="2"/>
      </rPr>
      <t>2</t>
    </r>
    <r>
      <rPr>
        <sz val="12"/>
        <color rgb="FF0000CC"/>
        <rFont val="Verdana"/>
        <family val="2"/>
      </rPr>
      <t xml:space="preserve"> emissions in our Clean Air business and a review of the N</t>
    </r>
    <r>
      <rPr>
        <vertAlign val="subscript"/>
        <sz val="12"/>
        <color rgb="FF0000CC"/>
        <rFont val="Verdana"/>
        <family val="2"/>
      </rPr>
      <t>2</t>
    </r>
    <r>
      <rPr>
        <sz val="12"/>
        <color rgb="FF0000CC"/>
        <rFont val="Verdana"/>
        <family val="2"/>
      </rPr>
      <t xml:space="preserve">0 emissions calculations in our Catalyst Technologies business the values have been restated for all years from base year (2019/20). Energy totals have also been restated from previously reported values due to correction of an error in reporting at two of our UK sites. </t>
    </r>
  </si>
  <si>
    <t>Definition / calculation methodology</t>
  </si>
  <si>
    <t>UK Only</t>
  </si>
  <si>
    <t>Global
(excl UK)</t>
  </si>
  <si>
    <r>
      <t>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t>
    </r>
    <r>
      <rPr>
        <vertAlign val="subscript"/>
        <sz val="11"/>
        <rFont val="Verdana"/>
        <family val="2"/>
      </rPr>
      <t>2</t>
    </r>
    <r>
      <rPr>
        <sz val="11"/>
        <rFont val="Verdana"/>
        <family val="2"/>
      </rPr>
      <t xml:space="preserve"> or CO</t>
    </r>
    <r>
      <rPr>
        <vertAlign val="subscript"/>
        <sz val="11"/>
        <rFont val="Verdana"/>
        <family val="2"/>
      </rPr>
      <t>2</t>
    </r>
    <r>
      <rPr>
        <sz val="11"/>
        <rFont val="Verdana"/>
        <family val="2"/>
      </rPr>
      <t xml:space="preserve"> equivalents that we directly emit. The GHG that we consider are those mentioned in the Kyoto Protocol and cover CH</t>
    </r>
    <r>
      <rPr>
        <vertAlign val="subscript"/>
        <sz val="11"/>
        <rFont val="Verdana"/>
        <family val="2"/>
      </rPr>
      <t>4</t>
    </r>
    <r>
      <rPr>
        <sz val="11"/>
        <rFont val="Verdana"/>
        <family val="2"/>
      </rPr>
      <t>, N</t>
    </r>
    <r>
      <rPr>
        <vertAlign val="subscript"/>
        <sz val="11"/>
        <rFont val="Verdana"/>
        <family val="2"/>
      </rPr>
      <t>2</t>
    </r>
    <r>
      <rPr>
        <sz val="11"/>
        <rFont val="Verdana"/>
        <family val="2"/>
      </rPr>
      <t>O and refrigerant gases in addition to CO</t>
    </r>
    <r>
      <rPr>
        <vertAlign val="subscript"/>
        <sz val="11"/>
        <rFont val="Verdana"/>
        <family val="2"/>
      </rPr>
      <t>2</t>
    </r>
    <r>
      <rPr>
        <sz val="11"/>
        <rFont val="Verdana"/>
        <family val="2"/>
      </rPr>
      <t xml:space="preserve">.  Scope 1 emissions also include emissions from fuel used in JM owned vehicles.
Scope 1 emissions from fuel use are calculated by applying calorific values and emission factors sourced from DEFRA </t>
    </r>
  </si>
  <si>
    <r>
      <t>tonnes CO</t>
    </r>
    <r>
      <rPr>
        <vertAlign val="subscript"/>
        <sz val="11"/>
        <rFont val="Verdana"/>
        <family val="2"/>
      </rPr>
      <t>2</t>
    </r>
    <r>
      <rPr>
        <sz val="11"/>
        <rFont val="Verdana"/>
        <family val="2"/>
      </rPr>
      <t>e</t>
    </r>
  </si>
  <si>
    <t>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</si>
  <si>
    <t xml:space="preserve">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</si>
  <si>
    <t>This is our operational GHG footprint using the scope 1 emissions and the market based scope 2 emissions as stated above.</t>
  </si>
  <si>
    <r>
      <t>tonnes CO</t>
    </r>
    <r>
      <rPr>
        <b/>
        <vertAlign val="subscript"/>
        <sz val="11"/>
        <rFont val="Verdana"/>
        <family val="2"/>
      </rPr>
      <t>2</t>
    </r>
    <r>
      <rPr>
        <b/>
        <sz val="11"/>
        <rFont val="Verdana"/>
        <family val="2"/>
      </rPr>
      <t>e</t>
    </r>
  </si>
  <si>
    <t>This is our operational GHG footprint using the scope 1 emissions and the location based scope 2 emissions as stated above.</t>
  </si>
  <si>
    <t xml:space="preserve">This is the total scope 1 GHG emissions and  Scope 2 GHG emissions based on the market values factored against the weight of product sold. </t>
  </si>
  <si>
    <r>
      <t>tonnes CO</t>
    </r>
    <r>
      <rPr>
        <b/>
        <vertAlign val="subscript"/>
        <sz val="11"/>
        <rFont val="Verdana"/>
        <family val="2"/>
      </rPr>
      <t>2</t>
    </r>
    <r>
      <rPr>
        <b/>
        <sz val="11"/>
        <rFont val="Verdana"/>
        <family val="2"/>
      </rPr>
      <t>e/tonnes sales</t>
    </r>
  </si>
  <si>
    <t>Definition/calculation methodology</t>
  </si>
  <si>
    <t>Where mass of purchased goods was available, this was used in combination with GHG intensity factors obtained either from suppliers or EcoInvent. For the remaining goods and for purchased services a financial allocation (EEIO model) was used</t>
  </si>
  <si>
    <t>Financial allocation (EEIO model) using geographical breakdown of data shown in Accounting note 12 “Property, plant &amp; equipment” on page 174</t>
  </si>
  <si>
    <t>Defra’s GHG reporting conversion factors 2022 were used to calculate well-to-tank GHG emissions from fuel usage, transmission and distribution losses from purchased electricity, and well-to-tank and transmission and distribution losses of energy from steam</t>
  </si>
  <si>
    <t>Emissions data was provided by our suppliers where available. Otherwise, a financial allocation was made based on spend and intensity factors from the EEIO mode</t>
  </si>
  <si>
    <t>Where GHG footprints were available from waste service providers they were used, otherwise Defra’s GHG reporting conversion factors 2022 were used according to mass of waste disposal by destination see page 46</t>
  </si>
  <si>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</si>
  <si>
    <t>Data is obtained by employee survey of miles travelled per week by modes of transport. Defra’s GHG reporting conversion factors 2022 are used to calculate the GHG intensity of each transport type</t>
  </si>
  <si>
    <t>Financial allocation (EEIO model) using floor space and geographical location</t>
  </si>
  <si>
    <t>Where JM takes responsibility for the downstream distribution of goods, it was included in the upstream category calculation. Where our customers takes responsibility, no data is available</t>
  </si>
  <si>
    <t>No quantitative data available, but not expected to be material based on our knowledge of how our customers use our products</t>
  </si>
  <si>
    <t>We have removed Use of sold products from our footprint by agreement with SBTi, as it determined that the emissions we reported in this category were ‘indirect’ and should not, therefore, be included.</t>
  </si>
  <si>
    <t>Many of JM’s products are returned to the company for recovery of the precious metals and thus end of life treatment is included in our Scope 1 and Scope 2 footprint. JM does not have visibility of other end of life treatments</t>
  </si>
  <si>
    <t>Included in Upstream leased assets category</t>
  </si>
  <si>
    <t>JM does not have any franchises</t>
  </si>
  <si>
    <t>GHG footprints from our Pensions trustee providers were used, where available, and scaled to represent JM's global employee count. Financial allocation (EEIO model) using geographical breakdown of investment revenues from each entity</t>
  </si>
  <si>
    <t xml:space="preserve">Total </t>
  </si>
  <si>
    <r>
      <t>tonnes CO</t>
    </r>
    <r>
      <rPr>
        <b/>
        <vertAlign val="subscript"/>
        <sz val="11"/>
        <color rgb="FF000000"/>
        <rFont val="Verdana"/>
        <family val="2"/>
      </rPr>
      <t>2</t>
    </r>
    <r>
      <rPr>
        <b/>
        <sz val="11"/>
        <color rgb="FF000000"/>
        <rFont val="Verdana"/>
        <family val="2"/>
      </rPr>
      <t>e</t>
    </r>
  </si>
  <si>
    <t>Total GHG emissions</t>
  </si>
  <si>
    <t>Purchased Goods and Services</t>
  </si>
  <si>
    <t>All other Scope 3 categories</t>
  </si>
  <si>
    <t>Total</t>
  </si>
  <si>
    <t>This is fresh water that is supplied to site via mains pipework.</t>
  </si>
  <si>
    <t>This is water that is extracted from fresh surface water</t>
  </si>
  <si>
    <t xml:space="preserve">Water in soil beneath the soil surface, usually under conditions where the pressure in the water is greater than the atmospheric pressure, and the soil voids are substantially filled with the water. </t>
  </si>
  <si>
    <t xml:space="preserve">Total water withdrawal </t>
  </si>
  <si>
    <t xml:space="preserve">This is the total fresh mains water, water extracted from the surface of the earth and water extracted from beneath the ground. </t>
  </si>
  <si>
    <t>Water discharge</t>
  </si>
  <si>
    <t>Wastewater returned to the source of extraction at similar or higher quality as raw water extracted</t>
  </si>
  <si>
    <t>This is wastewater that is returned to its original source and is of equal or higher quality than the water that was originally extracted. In JM we only consider water returned to surface or ground water for this indicator.</t>
  </si>
  <si>
    <t>Net Fresh Water consumption</t>
  </si>
  <si>
    <t>This indicator equates the net fresh waterusage indicator as per the DJSI reporting criteria. This equates to the fresh water takn into site from mains, surface and groundwater which is adjusted for any water that is returned to fresh surface or groundwater.</t>
  </si>
  <si>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</si>
  <si>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t>Average COD of waste water discharge</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</si>
  <si>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treatement that is returned to the groundwater source from which it was originally extracted.</t>
  </si>
  <si>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</si>
  <si>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 waste water discharge covered by COD data</t>
  </si>
  <si>
    <t>This represents the amount of wastewater at JM where COD is routinely measured.</t>
  </si>
  <si>
    <t>Total waste generated and sent off site</t>
  </si>
  <si>
    <t>Hazardous waste is material deemed hazardous under the terms of the Basel Convention Annex I, II, III, 179 and VIII.  A solid waste is any item that is transported in a skip or similar container that cannot be poured</t>
  </si>
  <si>
    <t>Hazardous waste is material deemed hazardous under the terms of the Basel Convention Annex I, II, III, 179 and VIII.  A liquid waste is any item that can be poured and is transported in IBC, tanker or sealed container</t>
  </si>
  <si>
    <t>Non Hazardous waste is material that is not deemed hazardous under the terms of the Basel Convention Annex I, II, III, 179 and VIII.  A solid waste is any item that is transported in a skip or similar container that cannot be poured</t>
  </si>
  <si>
    <t>Non Hazardous waste is material not deemed hazardous under the terms of the Basel Convention Annex I, II, III, 179 and VIII.  A liquid waste is any item that can be poured and is transported in IBC, tanker or sealed container</t>
  </si>
  <si>
    <t>Total hazardous waste sent off site</t>
  </si>
  <si>
    <t>Waste is recorded under various classifications across JM as either hazardous or non hazardous. The total waste represents all the waste that is generated by JM operations and that is sent outside of JM for treatment or disposal.</t>
  </si>
  <si>
    <t xml:space="preserve"> The waste is disposed of through incineration were energy is recovered and used to generate heat locally or energy that is used locally or exported to an energy grid. Non Hazardous waste is material that is not deemed hazardous under the terms of the Basel Convention Annex I, II, III, 179 and VIII.</t>
  </si>
  <si>
    <t>The waste that is sent off site to be incinerated or treated in any other way before final disposai.  Non Hazardous waste is material that is not deemed hazardous under the terms of the Basel Convention Annex I, II, III, 179 and VIII.</t>
  </si>
  <si>
    <t>The waste is disposed of by burial in a landfill site. Non Hazardous waste is material that is not deemed hazardous under the terms of the Basel Convention Annex I, II, III, 179 and VIII.</t>
  </si>
  <si>
    <r>
      <t>Total non-hazardous waste disposed</t>
    </r>
    <r>
      <rPr>
        <b/>
        <vertAlign val="superscript"/>
        <sz val="11"/>
        <rFont val="Verdana"/>
        <family val="2"/>
      </rPr>
      <t>7</t>
    </r>
  </si>
  <si>
    <t xml:space="preserve">This is the total non hazardous waste that is disposed of by the methods mentioned above. </t>
  </si>
  <si>
    <t xml:space="preserve"> The waste is disposed of through incineration were energy is recovered and used to generate heat locally or energy that is used locally or exported to an energy grid. Hazardous waste is material that is deemed hazardous under the terms of the Basel Convention Annex I, II, III, 179 and VIII.</t>
  </si>
  <si>
    <t>Hazardous waste disposed through incineration or treatment without energy recovery</t>
  </si>
  <si>
    <t>The waste that is sent off site to be incinerated or treated in any other way before final disposai.  Hazardous waste is material that is deemed hazardous under the terms of the Basel Convention Annex I, II, III, 179 and VIII.</t>
  </si>
  <si>
    <t>The waste is disposed of by burial in a landfill site. Hazardous waste is material that is deemed hazardous under the terms of the Basel Convention Annex I, II, III, 179 and VIII.</t>
  </si>
  <si>
    <t xml:space="preserve">This is the total hazardous waste that is disposed of by the methods mentioned above. </t>
  </si>
  <si>
    <t>This is the total waste that is disposed of by incinerations with energy recovery, incineration or treatment prior to disposal or sent to landfill.</t>
  </si>
  <si>
    <t>Total waste disposed to landfill</t>
  </si>
  <si>
    <t>This is the total waste that is disposed of by burying at landfill.</t>
  </si>
  <si>
    <t>Non-hazardous waste  reused</t>
  </si>
  <si>
    <t>Non-hazardous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Non Hazardous waste is material not deemed hazardous under the terms of the Basel Convention Annex I, II, III, 179 and VIII.</t>
  </si>
  <si>
    <t>Hazardous waste  reused</t>
  </si>
  <si>
    <t>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Hazardous waste is material deemed hazardous under the terms of the Basel Convention Annex I, II, III, 179 and VIII.</t>
  </si>
  <si>
    <t>Non-hazardous waste that is sent off site to be recycled. A waste stream can be reported as  "recycled" if  material can be recovered and then used again in place of virgin raw materials. Non Hazardous waste is material not deemed hazardous under the terms of the Basel Convention Annex I, II, III, 179 and VIII.</t>
  </si>
  <si>
    <t>Hazardous waste that is sent off site to be recycled. A waste stream can be reported as  "recycled" if  material can be recovered and then used again in place of virgin raw materials. Hazardous waste is material deemed hazardous under the terms of the Basel Convention Annex I, II, III, 179 and VIII.</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</si>
  <si>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</si>
  <si>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t xml:space="preserve">Non-hazardous waste recycled or Re-used  </t>
  </si>
  <si>
    <t>Expressed as a percentage of the total waste sent offsite for disposal by JM.</t>
  </si>
  <si>
    <t xml:space="preserve">Hazardous waste recycled or Re-used </t>
  </si>
  <si>
    <t xml:space="preserve">Total waste recycled or reused </t>
  </si>
  <si>
    <t>Total solid waste generated</t>
  </si>
  <si>
    <t>This represents the total solid waste (hazardous and non hazardous that JM generates and that requires treatment or disposal outside of JM.</t>
  </si>
  <si>
    <t>Total solid waste reused</t>
  </si>
  <si>
    <t>This represents the total solid waste (hazardous + non hazardous) that is sent to reuse outside of JM</t>
  </si>
  <si>
    <t>Total solid waste recycled</t>
  </si>
  <si>
    <t>This represents the total solid waste (hazardous + non hazardous that is sent to recycling outside JM</t>
  </si>
  <si>
    <t>Total solid waste disposed</t>
  </si>
  <si>
    <t>This represents the total solid waste (hazardous + non hazardous) that is disposed of outside JM</t>
  </si>
  <si>
    <t>Emissions to air %age coverage</t>
  </si>
  <si>
    <r>
      <t>Nitrogen oxides (NO</t>
    </r>
    <r>
      <rPr>
        <vertAlign val="subscript"/>
        <sz val="11"/>
        <rFont val="Verdana"/>
        <family val="2"/>
      </rPr>
      <t>x</t>
    </r>
    <r>
      <rPr>
        <sz val="11"/>
        <rFont val="Verdana"/>
        <family val="2"/>
      </rPr>
      <t>) emissions to air</t>
    </r>
  </si>
  <si>
    <r>
      <t>This is the generation of nitric oxides either through high temperature combustion processes or by the use of concentrated nitric acid in production processes. Including Nitric Oxide (NO), Nitrogen Dioxide (NO</t>
    </r>
    <r>
      <rPr>
        <vertAlign val="subscript"/>
        <sz val="11"/>
        <rFont val="Verdana"/>
        <family val="2"/>
      </rPr>
      <t>2</t>
    </r>
    <r>
      <rPr>
        <sz val="11"/>
        <rFont val="Verdana"/>
        <family val="2"/>
      </rPr>
      <t>) Dinitrogen Dioxide (N</t>
    </r>
    <r>
      <rPr>
        <vertAlign val="subscript"/>
        <sz val="11"/>
        <rFont val="Verdana"/>
        <family val="2"/>
      </rPr>
      <t>2</t>
    </r>
    <r>
      <rPr>
        <sz val="11"/>
        <rFont val="Verdana"/>
        <family val="2"/>
      </rPr>
      <t>O</t>
    </r>
    <r>
      <rPr>
        <vertAlign val="subscript"/>
        <sz val="11"/>
        <rFont val="Verdana"/>
        <family val="2"/>
      </rPr>
      <t>2</t>
    </r>
    <r>
      <rPr>
        <sz val="11"/>
        <rFont val="Verdana"/>
        <family val="2"/>
      </rPr>
      <t>) and Dinitrogen Trioxide (N</t>
    </r>
    <r>
      <rPr>
        <vertAlign val="subscript"/>
        <sz val="11"/>
        <rFont val="Verdana"/>
        <family val="2"/>
      </rPr>
      <t>2</t>
    </r>
    <r>
      <rPr>
        <sz val="11"/>
        <rFont val="Verdana"/>
        <family val="2"/>
      </rPr>
      <t>O</t>
    </r>
    <r>
      <rPr>
        <vertAlign val="subscript"/>
        <sz val="11"/>
        <rFont val="Verdana"/>
        <family val="2"/>
      </rPr>
      <t>3</t>
    </r>
    <r>
      <rPr>
        <sz val="11"/>
        <rFont val="Verdana"/>
        <family val="2"/>
      </rPr>
      <t xml:space="preserve">). </t>
    </r>
  </si>
  <si>
    <r>
      <t>Sulphur oxides (SO</t>
    </r>
    <r>
      <rPr>
        <vertAlign val="subscript"/>
        <sz val="11"/>
        <rFont val="Verdana"/>
        <family val="2"/>
      </rPr>
      <t>x</t>
    </r>
    <r>
      <rPr>
        <sz val="11"/>
        <rFont val="Verdana"/>
        <family val="2"/>
      </rPr>
      <t>) emissions to air</t>
    </r>
  </si>
  <si>
    <r>
      <t>Usually generated from high temperature combustion involving contaminants in the fuel source. Sulphur Dioxide (SO</t>
    </r>
    <r>
      <rPr>
        <vertAlign val="subscript"/>
        <sz val="11"/>
        <rFont val="Verdana"/>
        <family val="2"/>
      </rPr>
      <t>2</t>
    </r>
    <r>
      <rPr>
        <sz val="11"/>
        <rFont val="Verdana"/>
        <family val="2"/>
      </rPr>
      <t>) is one of a group of gases called sulphur oxides (SO</t>
    </r>
    <r>
      <rPr>
        <vertAlign val="subscript"/>
        <sz val="11"/>
        <rFont val="Verdana"/>
        <family val="2"/>
      </rPr>
      <t>x</t>
    </r>
    <r>
      <rPr>
        <sz val="11"/>
        <rFont val="Verdana"/>
        <family val="2"/>
      </rPr>
      <t>). The other gases in the group are much less common in the atmosphere  e.g. SO</t>
    </r>
    <r>
      <rPr>
        <vertAlign val="subscript"/>
        <sz val="11"/>
        <rFont val="Verdana"/>
        <family val="2"/>
      </rPr>
      <t>3</t>
    </r>
    <r>
      <rPr>
        <sz val="11"/>
        <rFont val="Verdana"/>
        <family val="2"/>
      </rPr>
      <t xml:space="preserve"> and SO (Sulphur Trioxide and Sulphur Monoxide).</t>
    </r>
  </si>
  <si>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</si>
  <si>
    <r>
      <t>Coverage for NO</t>
    </r>
    <r>
      <rPr>
        <vertAlign val="subscript"/>
        <sz val="11"/>
        <rFont val="Verdana"/>
        <family val="2"/>
      </rPr>
      <t>x</t>
    </r>
    <r>
      <rPr>
        <sz val="11"/>
        <rFont val="Verdana"/>
        <family val="2"/>
      </rPr>
      <t xml:space="preserve"> reporting</t>
    </r>
  </si>
  <si>
    <r>
      <t>This represents the percentage of JM operational sites reporting NO</t>
    </r>
    <r>
      <rPr>
        <vertAlign val="subscript"/>
        <sz val="11"/>
        <rFont val="Verdana"/>
        <family val="2"/>
      </rPr>
      <t>x</t>
    </r>
    <r>
      <rPr>
        <sz val="11"/>
        <rFont val="Verdana"/>
        <family val="2"/>
      </rPr>
      <t xml:space="preserve"> values.</t>
    </r>
  </si>
  <si>
    <r>
      <t>Coverage for SO</t>
    </r>
    <r>
      <rPr>
        <vertAlign val="subscript"/>
        <sz val="11"/>
        <rFont val="Verdana"/>
        <family val="2"/>
      </rPr>
      <t>x</t>
    </r>
    <r>
      <rPr>
        <sz val="11"/>
        <rFont val="Verdana"/>
        <family val="2"/>
      </rPr>
      <t xml:space="preserve"> reporting</t>
    </r>
  </si>
  <si>
    <r>
      <t>This represents the percentage of JM operational sites reporting SO</t>
    </r>
    <r>
      <rPr>
        <vertAlign val="subscript"/>
        <sz val="11"/>
        <rFont val="Verdana"/>
        <family val="2"/>
      </rPr>
      <t>x</t>
    </r>
    <r>
      <rPr>
        <sz val="11"/>
        <rFont val="Verdana"/>
        <family val="2"/>
      </rPr>
      <t xml:space="preserve"> values.</t>
    </r>
  </si>
  <si>
    <t>This represents the percentage of JM operational sites reporting VOCs values.</t>
  </si>
  <si>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</si>
  <si>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energy used by the business divided by amount of materials sold to customers.</t>
  </si>
  <si>
    <t>Energy indicators (KPIs)</t>
  </si>
  <si>
    <t>Total
FY2022/23</t>
  </si>
  <si>
    <t>Total
FY2021/22</t>
  </si>
  <si>
    <t>Total*
FY2020/21</t>
  </si>
  <si>
    <t>Total
FY2019/20</t>
  </si>
  <si>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</si>
  <si>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GJ)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</si>
  <si>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GJ)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</si>
  <si>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</si>
  <si>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</si>
  <si>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This is the total of non renewable electrical energy (expressed as GJ) purchased from a grid that is consumed for site operations. Values are taken from supplier invoices that cover the time period in question.</t>
  </si>
  <si>
    <t>This is the steam energy (expressed as GJ)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</si>
  <si>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 xml:space="preserve">This is the energy used from either the direct fuel used or mileage traveled by JM vehicles or JM employees in road vehicles when on company business. </t>
  </si>
  <si>
    <t>This is the total amount of renewable energy (expressed as GJ) supplied to site or generated on site for use in our operations. The energy is certified renewable or is purchased as a renewable supply.</t>
  </si>
  <si>
    <t>This is the total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</si>
  <si>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</si>
  <si>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</si>
  <si>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</si>
  <si>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of non renewable electrical energy (expressed as kWh) purchased from a grid that is consumed for site operations. Values are taken from supplier invoices that cover the time period in question.</t>
  </si>
  <si>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</si>
  <si>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This is the total amount of renewable electricity supplied to site or generated on site as a percentage of the total electricity used by JM. The total amount includes non renewable electricity generated by JM on our own sites as well as all electricit supplied to JM through  grid or direct connection.</t>
  </si>
  <si>
    <t>Definition / Calculation methodology</t>
  </si>
  <si>
    <t>Significant fines during the year</t>
  </si>
  <si>
    <t>Workers</t>
  </si>
  <si>
    <r>
      <rPr>
        <b/>
        <sz val="12"/>
        <color rgb="FF000000"/>
        <rFont val="Verdana"/>
        <family val="2"/>
      </rPr>
      <t>Total as at 31</t>
    </r>
    <r>
      <rPr>
        <b/>
        <vertAlign val="superscript"/>
        <sz val="12"/>
        <color rgb="FF000000"/>
        <rFont val="Verdana"/>
        <family val="2"/>
      </rPr>
      <t>st</t>
    </r>
    <r>
      <rPr>
        <b/>
        <sz val="12"/>
        <color rgb="FF000000"/>
        <rFont val="Verdana"/>
        <family val="2"/>
      </rPr>
      <t xml:space="preserve"> March 2025</t>
    </r>
  </si>
  <si>
    <t>Employees</t>
  </si>
  <si>
    <t xml:space="preserve">Full time </t>
  </si>
  <si>
    <t>Part time</t>
  </si>
  <si>
    <t>Contractors</t>
  </si>
  <si>
    <t>Agency staff</t>
  </si>
  <si>
    <t>Employee Headcount by gender and region</t>
  </si>
  <si>
    <t>Percentage of female representation
2024/25</t>
  </si>
  <si>
    <t>Gender</t>
  </si>
  <si>
    <t>Female</t>
  </si>
  <si>
    <t>Male</t>
  </si>
  <si>
    <t>Not disclosed</t>
  </si>
  <si>
    <t>m</t>
  </si>
  <si>
    <t>Permanent employees</t>
  </si>
  <si>
    <t xml:space="preserve">UK </t>
  </si>
  <si>
    <t>Rest of Europe</t>
  </si>
  <si>
    <t>North America</t>
  </si>
  <si>
    <t>Asia</t>
  </si>
  <si>
    <t>Rest of World</t>
  </si>
  <si>
    <t>Globally</t>
  </si>
  <si>
    <t>Temporary employees</t>
  </si>
  <si>
    <t>Europe</t>
  </si>
  <si>
    <t>China</t>
  </si>
  <si>
    <t>Rest of Asia</t>
  </si>
  <si>
    <t>Total number of employees</t>
  </si>
  <si>
    <t>All employees</t>
  </si>
  <si>
    <t>Board</t>
  </si>
  <si>
    <t>Group leadership team (GLT)</t>
  </si>
  <si>
    <t>Subsidiary Directors</t>
  </si>
  <si>
    <t>Senior managers</t>
  </si>
  <si>
    <r>
      <t xml:space="preserve">All management levels 
</t>
    </r>
    <r>
      <rPr>
        <sz val="12"/>
        <color theme="4"/>
        <rFont val="Verdana"/>
        <family val="2"/>
      </rPr>
      <t>Our target of &gt;40% female representation across all management levels by 2030</t>
    </r>
  </si>
  <si>
    <t>New recruits</t>
  </si>
  <si>
    <t>Employee Headcount by age</t>
  </si>
  <si>
    <t>Age</t>
  </si>
  <si>
    <t>Board members between 40-49 years of age</t>
  </si>
  <si>
    <t>-</t>
  </si>
  <si>
    <t>Board members between 50-59 years of age</t>
  </si>
  <si>
    <t>Board members between 60-65 years of age</t>
  </si>
  <si>
    <t>Board members age 65 plus</t>
  </si>
  <si>
    <t>Total Board members</t>
  </si>
  <si>
    <t>Employees under 30 years of age</t>
  </si>
  <si>
    <t>Employees between 30-45 years of age</t>
  </si>
  <si>
    <t>Employees between 46-60 years of age</t>
  </si>
  <si>
    <t>Employees over 60 years of age</t>
  </si>
  <si>
    <t>Total number of employees with age disclosed</t>
  </si>
  <si>
    <t>Employees with Undisclosed age</t>
  </si>
  <si>
    <t>Senior Management Headcount by ethnicity</t>
  </si>
  <si>
    <t>Number</t>
  </si>
  <si>
    <t>Percentage</t>
  </si>
  <si>
    <t>White British or other White (including minority-white groups)</t>
  </si>
  <si>
    <t>Mixed/Multiple Ethnic Groups</t>
  </si>
  <si>
    <t>Asian/Asian British</t>
  </si>
  <si>
    <t>Black/African/ Caribbean/Black British</t>
  </si>
  <si>
    <t>Other ethnic group, including Arab</t>
  </si>
  <si>
    <t>Not specified/ prefer not to say</t>
  </si>
  <si>
    <t>Board Members at a Glance</t>
  </si>
  <si>
    <t>Roles</t>
  </si>
  <si>
    <t>Chair</t>
  </si>
  <si>
    <t>Executive</t>
  </si>
  <si>
    <t>Non-Executive</t>
  </si>
  <si>
    <t>Chair and Non-Executive Directors' Tenure</t>
  </si>
  <si>
    <t>0-3 years</t>
  </si>
  <si>
    <t>4-6 years</t>
  </si>
  <si>
    <t>7-9 years</t>
  </si>
  <si>
    <t>Nationality</t>
  </si>
  <si>
    <t>British</t>
  </si>
  <si>
    <t>Irish</t>
  </si>
  <si>
    <t>German</t>
  </si>
  <si>
    <t>US Citizen</t>
  </si>
  <si>
    <t>Ethnicity</t>
  </si>
  <si>
    <t>Employee Turnover</t>
  </si>
  <si>
    <t>Voluntary permanent employee leavers</t>
  </si>
  <si>
    <t>Voluntary Redundancy permanent leavers**</t>
  </si>
  <si>
    <t>Involuntary permanent employee leavers</t>
  </si>
  <si>
    <t>Involuntary Redundancy permanent leavers**</t>
  </si>
  <si>
    <t>Voluntary permanent employee leavers turnover rate</t>
  </si>
  <si>
    <t>Involuntary permanent employee leavers turnover rate*</t>
  </si>
  <si>
    <t>Total permanent employee leavers turnover rate*</t>
  </si>
  <si>
    <t>*includes businesses divested during the year</t>
  </si>
  <si>
    <t>**Relates to JMGS transformation</t>
  </si>
  <si>
    <t>Union representation</t>
  </si>
  <si>
    <t>Total average number of employees</t>
  </si>
  <si>
    <t>Average number of employees represented</t>
  </si>
  <si>
    <t>% represented</t>
  </si>
  <si>
    <t>Workforce globally</t>
  </si>
  <si>
    <t>Number of employees represented</t>
  </si>
  <si>
    <t>Internal Promotion</t>
  </si>
  <si>
    <t>% promoted</t>
  </si>
  <si>
    <t>Parental Leave</t>
  </si>
  <si>
    <t>Total number of employees that took parental leave</t>
  </si>
  <si>
    <t>Total number of employees that returned to work in the reporting period after parental leave ended</t>
  </si>
  <si>
    <t>Total number of employees that returned to work after parental leave ended that were still employed 12 months after their return to work</t>
  </si>
  <si>
    <t>Return to work and retention rates of employees that took parental leave</t>
  </si>
  <si>
    <t>Living Wage</t>
  </si>
  <si>
    <t>Percentage of direct employees covered by a living wage benchmarking analysis</t>
  </si>
  <si>
    <t>Performance and career development reviews</t>
  </si>
  <si>
    <t>Permanent Employees</t>
  </si>
  <si>
    <t>Temporary Employees</t>
  </si>
  <si>
    <t>All Employees</t>
  </si>
  <si>
    <t>Training</t>
  </si>
  <si>
    <t>Employee average learning hours</t>
  </si>
  <si>
    <t xml:space="preserve">Employee average learning hours (non-mandated training) </t>
  </si>
  <si>
    <t>Graduates on the graduate programme</t>
  </si>
  <si>
    <t>Participants in Business Skills Programme</t>
  </si>
  <si>
    <t>Users on Percipio (Licenses consumed)</t>
  </si>
  <si>
    <t>Training on our policies (mandated)</t>
  </si>
  <si>
    <t># employees assigned</t>
  </si>
  <si>
    <t>% employee completed</t>
  </si>
  <si>
    <t>Anti Bribery and Corruption Course</t>
  </si>
  <si>
    <t>Competition Law Training Course</t>
  </si>
  <si>
    <t>Human Rights Training Course</t>
  </si>
  <si>
    <t>Diversity, Belonging and Inclusion Training?</t>
  </si>
  <si>
    <t>Lifesaving Policy training</t>
  </si>
  <si>
    <t>Cybersecurity Training Course</t>
  </si>
  <si>
    <t xml:space="preserve">Employee engagement </t>
  </si>
  <si>
    <t>Participation rate</t>
  </si>
  <si>
    <t>No survey</t>
  </si>
  <si>
    <t>Employee Engagement Score using Korn Ferry</t>
  </si>
  <si>
    <t>Employee Engagement Score using Workday Peakon</t>
  </si>
  <si>
    <t>Latest Pulse survey</t>
  </si>
  <si>
    <t>Chief Executive Officer single figure</t>
  </si>
  <si>
    <t>£3,051,191</t>
  </si>
  <si>
    <t>£2,589,900</t>
  </si>
  <si>
    <t>£2,646,222</t>
  </si>
  <si>
    <t>£1,672,000</t>
  </si>
  <si>
    <t>£2,532,000</t>
  </si>
  <si>
    <t>£1,462,000</t>
  </si>
  <si>
    <t>Upper quartile</t>
  </si>
  <si>
    <t>27:1</t>
  </si>
  <si>
    <t>30:1</t>
  </si>
  <si>
    <t>20:1</t>
  </si>
  <si>
    <t>35:1</t>
  </si>
  <si>
    <t>22:1</t>
  </si>
  <si>
    <t>Median</t>
  </si>
  <si>
    <t>38:1</t>
  </si>
  <si>
    <t>42:1</t>
  </si>
  <si>
    <t>28:1</t>
  </si>
  <si>
    <t>45:1</t>
  </si>
  <si>
    <t>Lower quartile</t>
  </si>
  <si>
    <t>49:1</t>
  </si>
  <si>
    <t>53:1</t>
  </si>
  <si>
    <t>57:1</t>
  </si>
  <si>
    <t>36:1</t>
  </si>
  <si>
    <t>34:1</t>
  </si>
  <si>
    <t>32:1</t>
  </si>
  <si>
    <t>37:1</t>
  </si>
  <si>
    <t>26:1</t>
  </si>
  <si>
    <t>39:1</t>
  </si>
  <si>
    <t>47:1</t>
  </si>
  <si>
    <t>50:1</t>
  </si>
  <si>
    <t>29:1</t>
  </si>
  <si>
    <t>58:1</t>
  </si>
  <si>
    <t>60:1</t>
  </si>
  <si>
    <t>41:1</t>
  </si>
  <si>
    <t>63:1</t>
  </si>
  <si>
    <t>Total pay for individuals</t>
  </si>
  <si>
    <t>£89,167</t>
  </si>
  <si>
    <t>£80,832</t>
  </si>
  <si>
    <t>£72,086</t>
  </si>
  <si>
    <t>£65,453</t>
  </si>
  <si>
    <t>£65,325</t>
  </si>
  <si>
    <t>£66,873</t>
  </si>
  <si>
    <t>£65,339</t>
  </si>
  <si>
    <t>£61,082</t>
  </si>
  <si>
    <t>£54,458</t>
  </si>
  <si>
    <t>£49,618</t>
  </si>
  <si>
    <t>£51,039</t>
  </si>
  <si>
    <t>£50,771</t>
  </si>
  <si>
    <t>£52,948</t>
  </si>
  <si>
    <t>£49,161</t>
  </si>
  <si>
    <t>£44,108</t>
  </si>
  <si>
    <t>£40,301</t>
  </si>
  <si>
    <t>£40,377</t>
  </si>
  <si>
    <t>£40,029</t>
  </si>
  <si>
    <r>
      <rPr>
        <b/>
        <sz val="20"/>
        <color theme="7"/>
        <rFont val="Verdana"/>
        <family val="2"/>
      </rPr>
      <t xml:space="preserve">People </t>
    </r>
    <r>
      <rPr>
        <b/>
        <sz val="20"/>
        <color rgb="FF0000CC"/>
        <rFont val="Verdana"/>
        <family val="2"/>
      </rPr>
      <t xml:space="preserve">
Health and Safety</t>
    </r>
  </si>
  <si>
    <t>Health and Safety KPI</t>
  </si>
  <si>
    <t>Annual OSHA severity rate</t>
  </si>
  <si>
    <t>days lost * 200,000 / annual worked hrs</t>
  </si>
  <si>
    <t>no data available</t>
  </si>
  <si>
    <t>No data available</t>
  </si>
  <si>
    <t>Total recordable injury and illness rate (TRIIR)</t>
  </si>
  <si>
    <t>Total number of lost time accidents (LTA's)</t>
  </si>
  <si>
    <t>(absolute number)</t>
  </si>
  <si>
    <t>Lost Time Injury Frequency Rate (LTIFR)</t>
  </si>
  <si>
    <t>Lost Time Injury and Illness Rate (LTIIR)</t>
  </si>
  <si>
    <t>Occupational Illness Frequency Rate (OIFR)</t>
  </si>
  <si>
    <t>Notes:</t>
  </si>
  <si>
    <t>LTIFR employees</t>
  </si>
  <si>
    <t>Lost time injury frequency rate, includes permanent and temporary employees</t>
  </si>
  <si>
    <t>LTIFR contractors</t>
  </si>
  <si>
    <t>Lost time injury frequency rate, includes contractors</t>
  </si>
  <si>
    <t>LTIIR employees</t>
  </si>
  <si>
    <t>Lost time injury and illness rate, includes permanent and temporary employees</t>
  </si>
  <si>
    <t>LTIIR contractors</t>
  </si>
  <si>
    <t>Lost time injury and illness rate, includes contractors</t>
  </si>
  <si>
    <t>2018/19</t>
  </si>
  <si>
    <t>Progress towards 2030 target</t>
  </si>
  <si>
    <t>Lost Time Injury and Illness Rate (LTIIR) 
employees + contractors</t>
  </si>
  <si>
    <t xml:space="preserve">Permanent and temporary employees - LTIIR </t>
  </si>
  <si>
    <t xml:space="preserve">Contractors - LTIIR </t>
  </si>
  <si>
    <t>Total Recordable Injury and Illness Rate (TRIIR)
employees + contractors</t>
  </si>
  <si>
    <t>Total Recordable Injury and Illness
employees + contractors</t>
  </si>
  <si>
    <t xml:space="preserve">Permanent and temporary employees - TRIIR </t>
  </si>
  <si>
    <t xml:space="preserve">Contractors - TRIIR </t>
  </si>
  <si>
    <t>ICCA - Process Safety Event Severity Rate (PSESR)</t>
  </si>
  <si>
    <t>Tier 1 Process Safety events</t>
  </si>
  <si>
    <t>Tier 1 events</t>
  </si>
  <si>
    <t>Hours worked</t>
  </si>
  <si>
    <t>million hrs</t>
  </si>
  <si>
    <t>Number of employee fatalities</t>
  </si>
  <si>
    <t>Number of contractor fatalities</t>
  </si>
  <si>
    <t>Number of third party fatalities involving members of the public</t>
  </si>
  <si>
    <t>Number of transport incidents</t>
  </si>
  <si>
    <r>
      <rPr>
        <b/>
        <sz val="20"/>
        <color theme="7"/>
        <rFont val="Verdana"/>
        <family val="2"/>
      </rPr>
      <t xml:space="preserve">People </t>
    </r>
    <r>
      <rPr>
        <b/>
        <sz val="20"/>
        <color rgb="FF0000CC"/>
        <rFont val="Verdana"/>
        <family val="2"/>
      </rPr>
      <t xml:space="preserve">
</t>
    </r>
    <r>
      <rPr>
        <b/>
        <sz val="20"/>
        <color rgb="FF1E22AA"/>
        <rFont val="Verdana"/>
        <family val="2"/>
      </rPr>
      <t>Ethics and Compliance</t>
    </r>
  </si>
  <si>
    <t>Speak Up reports 2024/25</t>
  </si>
  <si>
    <t>Speak Up reports 2023/24</t>
  </si>
  <si>
    <t>Speak Up reports 2022/23</t>
  </si>
  <si>
    <t>Speak Up reports 2021/22</t>
  </si>
  <si>
    <t>Speak Up reports 2020/21</t>
  </si>
  <si>
    <t>Speak Up reports 2019/20</t>
  </si>
  <si>
    <t>Concern/allegation*</t>
  </si>
  <si>
    <t>Number of cases</t>
  </si>
  <si>
    <t>Concern/allegation</t>
  </si>
  <si>
    <t>Bribery and corruption</t>
  </si>
  <si>
    <t>Conflict of Interest</t>
  </si>
  <si>
    <t>Conflict of interest</t>
  </si>
  <si>
    <t xml:space="preserve">Business and financial reporting </t>
  </si>
  <si>
    <t>Discrimination, Harrassments, Bullying and Retaliation</t>
  </si>
  <si>
    <t>Discrimination, including harassment and retaliation</t>
  </si>
  <si>
    <t>Competition / anti-trust</t>
  </si>
  <si>
    <t>Computer, email and internet use</t>
  </si>
  <si>
    <t>Employee Rights</t>
  </si>
  <si>
    <t>Employee rights</t>
  </si>
  <si>
    <t>Confidential information and intellectual property</t>
  </si>
  <si>
    <t>Competition/Anti-Trust</t>
  </si>
  <si>
    <t>Enquiry</t>
  </si>
  <si>
    <t>Environmental Protection, Product Stewardship or Health and Safety</t>
  </si>
  <si>
    <t>Environmental protection, product stewardship or health and safety</t>
  </si>
  <si>
    <t>Discrimination including harassment and retaliation</t>
  </si>
  <si>
    <t>Disclosure or Misappropriation of Confidential Information</t>
  </si>
  <si>
    <t>Financial crime</t>
  </si>
  <si>
    <t>Violence, Threats or Security</t>
  </si>
  <si>
    <t>Insider trading, financial reporting and other securities violations</t>
  </si>
  <si>
    <t>Other or general enquiry</t>
  </si>
  <si>
    <t>Other</t>
  </si>
  <si>
    <t>Theft or Misuse of Assets</t>
  </si>
  <si>
    <t>Theft or misuse of assets</t>
  </si>
  <si>
    <t>Insider trading</t>
  </si>
  <si>
    <t>Fraud, money laundering and embezzlement</t>
  </si>
  <si>
    <t>Fraud</t>
  </si>
  <si>
    <t>Trade and export controls</t>
  </si>
  <si>
    <t>Misconduct or inappropriate behaviour</t>
  </si>
  <si>
    <t>Protection of Privacy and Personal Data, and Security of Network and Information Systems</t>
  </si>
  <si>
    <t>Protection of Privacy &amp; Personal Data, Network Security</t>
  </si>
  <si>
    <t>Policy Violation</t>
  </si>
  <si>
    <t>Retaliation</t>
  </si>
  <si>
    <t>Physical assets</t>
  </si>
  <si>
    <t>Substance abuse</t>
  </si>
  <si>
    <t>Theft</t>
  </si>
  <si>
    <t>Violence or threats</t>
  </si>
  <si>
    <t>Recommendations following closed investigated reports in 2024/25</t>
  </si>
  <si>
    <t>Recommendations following closed investigated reports in 2023/24</t>
  </si>
  <si>
    <t>Recommendations following closed investigated reports in 2022/23</t>
  </si>
  <si>
    <t>Please note there could be more than one recommendation per report, or some cases none</t>
  </si>
  <si>
    <t>Separation with employee</t>
  </si>
  <si>
    <t>Verbal or written warning</t>
  </si>
  <si>
    <t>Coaching or training</t>
  </si>
  <si>
    <t>Coaching / training</t>
  </si>
  <si>
    <t>Communications</t>
  </si>
  <si>
    <t>Communication</t>
  </si>
  <si>
    <t>Internal review of processes</t>
  </si>
  <si>
    <t>Update or create new standards/controls</t>
  </si>
  <si>
    <t>Update / create new standards / controls</t>
  </si>
  <si>
    <t>Senior leader or senior management actions</t>
  </si>
  <si>
    <t>Senior leadership or management actions</t>
  </si>
  <si>
    <t>Remedy for the reporter or victim</t>
  </si>
  <si>
    <t>Remedy for the reporter</t>
  </si>
  <si>
    <t>No recommendation</t>
  </si>
  <si>
    <r>
      <rPr>
        <b/>
        <sz val="20"/>
        <color theme="7"/>
        <rFont val="Verdana"/>
        <family val="2"/>
      </rPr>
      <t xml:space="preserve">People </t>
    </r>
    <r>
      <rPr>
        <b/>
        <sz val="20"/>
        <color rgb="FF0000CC"/>
        <rFont val="Verdana"/>
        <family val="2"/>
      </rPr>
      <t xml:space="preserve">
</t>
    </r>
    <r>
      <rPr>
        <b/>
        <sz val="20"/>
        <color rgb="FF1E22AA"/>
        <rFont val="Verdana"/>
        <family val="2"/>
      </rPr>
      <t>Community Investment</t>
    </r>
  </si>
  <si>
    <t>Community investment summary</t>
  </si>
  <si>
    <t xml:space="preserve">Definition </t>
  </si>
  <si>
    <t>Units of measurement</t>
  </si>
  <si>
    <t>Direct expenditure</t>
  </si>
  <si>
    <t>Through monetary donations</t>
  </si>
  <si>
    <t>£'000</t>
  </si>
  <si>
    <t>Indirect expenditure</t>
  </si>
  <si>
    <t>Through volunteering days</t>
  </si>
  <si>
    <t>Volunteering Days</t>
  </si>
  <si>
    <t>Days of corporate volunteering</t>
  </si>
  <si>
    <t># of days</t>
  </si>
  <si>
    <t>Supplier screening using EcoVadis IQ</t>
  </si>
  <si>
    <t>Suppliers for 
2024/25</t>
  </si>
  <si>
    <t>Suppliers for
2023/24</t>
  </si>
  <si>
    <t>Total number of suppliers assessed</t>
  </si>
  <si>
    <t>Total % of procurement spend with assessed suppliers</t>
  </si>
  <si>
    <t>--</t>
  </si>
  <si>
    <r>
      <rPr>
        <sz val="12"/>
        <color rgb="FF000000"/>
        <rFont val="Verdana"/>
        <family val="2"/>
      </rPr>
      <t xml:space="preserve">Total number of suppliers rated </t>
    </r>
    <r>
      <rPr>
        <b/>
        <sz val="12"/>
        <color rgb="FF000000"/>
        <rFont val="Verdana"/>
        <family val="2"/>
      </rPr>
      <t>High Overall Risk</t>
    </r>
  </si>
  <si>
    <r>
      <rPr>
        <sz val="12"/>
        <color rgb="FF000000"/>
        <rFont val="Verdana"/>
        <family val="2"/>
      </rPr>
      <t xml:space="preserve">Total % of procurement spend with suppliers rated </t>
    </r>
    <r>
      <rPr>
        <b/>
        <sz val="12"/>
        <color rgb="FF000000"/>
        <rFont val="Verdana"/>
        <family val="2"/>
      </rPr>
      <t>High Overall Risk</t>
    </r>
  </si>
  <si>
    <r>
      <rPr>
        <sz val="12"/>
        <color rgb="FF000000"/>
        <rFont val="Verdana"/>
        <family val="2"/>
      </rPr>
      <t xml:space="preserve">Total number of suppliers with a </t>
    </r>
    <r>
      <rPr>
        <b/>
        <sz val="12"/>
        <color rgb="FF000000"/>
        <rFont val="Verdana"/>
        <family val="2"/>
      </rPr>
      <t>Very High Overall Risk</t>
    </r>
  </si>
  <si>
    <t>Total number of suppliers from the previous year with a risk mitigation action plan</t>
  </si>
  <si>
    <t>Total % of suppliers from the previous year with high or very high risk for Labour &amp; Human Rights with a risk mitigation action plan</t>
  </si>
  <si>
    <t>Total procurement spend (%) 2024/25</t>
  </si>
  <si>
    <t>Total procurement spend (%) 2023/24</t>
  </si>
  <si>
    <t>Total procurement spend (%) 2022/23</t>
  </si>
  <si>
    <t>Total procurement spend (%) 2021/22</t>
  </si>
  <si>
    <t>Suppliers with a valid EcoVadis medal</t>
  </si>
  <si>
    <t>Suppliers with a valid EcoVadis rating below medal achieving score</t>
  </si>
  <si>
    <t>Suppliers without a valid EcoVadis rating, have declined to share their rating or we have not yet requested it</t>
  </si>
  <si>
    <t>Supplier screening for conflict minerals - cobalt, tin, tungsten, tantalum, and gold (3TGs)</t>
  </si>
  <si>
    <t>Total number of suppliers assessed for 3TGs (CMRT)</t>
  </si>
  <si>
    <t>Total number of conformant 3TG suppliers (&gt;75% supply chain coverage)</t>
  </si>
  <si>
    <t>Total number of non-conformant 3TG suppliers with sufficient risk mitigation policies*</t>
  </si>
  <si>
    <t>% of JM 3TG supply chain represented by Conflict Mineral Supplier Screening</t>
  </si>
  <si>
    <t>&gt;90%</t>
  </si>
  <si>
    <t>Total number of suppliers assessed for cobalt (EMRT)</t>
  </si>
  <si>
    <t>Total number of conformant cobalt suppliers (&gt;75% supply chain coverage)</t>
  </si>
  <si>
    <t>Total number of non-conformant cobalt suppliers with sufficient risk mitigation policies*</t>
  </si>
  <si>
    <t>% of JM cobalt supply chain represented by Conflict Mineral Supplier Screening</t>
  </si>
  <si>
    <r>
      <rPr>
        <b/>
        <sz val="20"/>
        <color theme="7"/>
        <rFont val="Verdana"/>
        <family val="2"/>
      </rPr>
      <t>People</t>
    </r>
    <r>
      <rPr>
        <b/>
        <sz val="20"/>
        <color rgb="FF0000CC"/>
        <rFont val="Verdana"/>
        <family val="2"/>
      </rPr>
      <t xml:space="preserve">
</t>
    </r>
    <r>
      <rPr>
        <b/>
        <sz val="20"/>
        <color rgb="FF1E22AA"/>
        <rFont val="Verdana"/>
        <family val="2"/>
      </rPr>
      <t>Product Stewardship</t>
    </r>
  </si>
  <si>
    <t>The nature of the complex chemistry in our products and manufacturing processes means that we sometimes have to use chemicals that are potentially hazardous due to their physico-chemical, toxicological and ecotoxicological properties. JM’s product stewardship processes, and our commitment to Responsible Care®, a global initiative of the chemical industry, are central to ensuring our products should not pose any risk to humans or the environment when used responsibly and as intended. In addition, we continuously work to identify opportunities to further improve the safety and sustainability of our product portfolio through, for example, evaluating if more hazardous components can be substituted with safer technically equivalent chemistries. 
We maintain a database of environmental, health, safety and regulatory data for all of our substances and products. This underpins our programmes to maintain compliance with applicable global chemicals regulations (e.g. TSCA in the United States, REACH and REACH-like regulations in the EU, UK, Turkey, South Korea and China) as well as the provision of hazard communication to our customers in the form of safety data sheets in the required language(s). In the event of an incident with a JM product, a 24-hour global emergency response telephone service is in place to provide safety information in the local language. We continue to comply with all applicable health and safety, labelling and marketing regulations, and voluntary codes.</t>
  </si>
  <si>
    <t>GRI 416-1</t>
  </si>
  <si>
    <t xml:space="preserve">Percentage of significant product and service categories for which health and safety impacts are assessed for improvement. </t>
  </si>
  <si>
    <r>
      <t xml:space="preserve">Note: </t>
    </r>
    <r>
      <rPr>
        <sz val="10"/>
        <color theme="1"/>
        <rFont val="Verdana"/>
        <family val="2"/>
      </rPr>
      <t>Data reflects evaluation of product and service categories, predominantly in R&amp;D; Manufacturing and production; Disposal, reuse, or recycling phases of the life cycle.</t>
    </r>
  </si>
  <si>
    <t>GRI 416-2</t>
  </si>
  <si>
    <t>Incidents of non-compliance concerning the health and safety impacts of products and services</t>
  </si>
  <si>
    <r>
      <t xml:space="preserve">Note: </t>
    </r>
    <r>
      <rPr>
        <sz val="10"/>
        <color theme="1"/>
        <rFont val="Verdana"/>
        <family val="2"/>
      </rPr>
      <t>None of the twelve Speak Ups in the Ethics and Compliance tab under 'Environmental Protection, Product Stewardship or Health and Safety' related to Disclosure 416-2</t>
    </r>
  </si>
  <si>
    <t>GRI 417-1b</t>
  </si>
  <si>
    <t xml:space="preserve">Percentage of significant product and service categories covered by and assessed for compliance with procedures for product and service information labelling. </t>
  </si>
  <si>
    <t>GRI 417-2</t>
  </si>
  <si>
    <t>Incidents of non-compliance concerning product and service information and labeling</t>
  </si>
  <si>
    <r>
      <t xml:space="preserve">Note: 
</t>
    </r>
    <r>
      <rPr>
        <sz val="10"/>
        <color theme="1"/>
        <rFont val="Verdana"/>
        <family val="2"/>
      </rPr>
      <t>None of the twelve Speak Ups in the Ethics and Compliance tab under 'Environmental Protection, Product Stewardship or Health and Safety' related to Disclosure 417-2</t>
    </r>
  </si>
  <si>
    <t>SASB (RT-CH-410c.1)</t>
  </si>
  <si>
    <t>Biocatalyst &amp; chiral products</t>
  </si>
  <si>
    <t>% of sales</t>
  </si>
  <si>
    <t>&lt;0.1</t>
  </si>
  <si>
    <r>
      <rPr>
        <b/>
        <sz val="10"/>
        <color theme="1"/>
        <rFont val="Verdana"/>
        <family val="2"/>
      </rPr>
      <t xml:space="preserve">Notes:
</t>
    </r>
    <r>
      <rPr>
        <sz val="10"/>
        <color theme="1"/>
        <rFont val="Verdana"/>
        <family val="2"/>
      </rPr>
      <t>JM does not supply products that contain GMOs. 
The biocatalyst and chiral alcohol products we manufacture do not contain live organisms at the point of supply to our customers. Manufacture of these products requires the use of genetically modified organisms.</t>
    </r>
  </si>
  <si>
    <t>Basis of Reporting</t>
  </si>
  <si>
    <t>Calculation Methodology</t>
  </si>
  <si>
    <t>This is our operational GHG footprint using the Scope 1 emissions and the market based Scope 2 emissions as stated above.</t>
  </si>
  <si>
    <t>DEFRA’s GHG reporting conversion factors 2024 were used to calculate well-to-tank GHG emissions from fuel usage, transmission and distribution losses from purchased electricity, and well-to-tank and transmission and distribution losses of energy from steam.</t>
  </si>
  <si>
    <t>Emissions data was provided by our suppliers where available. Otherwise, a financial allocation was made based on spend and intensity factors from the EEIO model.</t>
  </si>
  <si>
    <t>Where GHG footprints were available from waste service providers they were used, otherwise DEFRA’s GHG reporting conversion factors 2024 were used according to mass of waste disposal by destination</t>
  </si>
  <si>
    <t>Footprints for business travel for air, rail and hotel was obtained from our business travel service providers, where possible. For all other travel-related items, distance was preferentially used in combination with DEFRA’s GHG reporting conversion factors 2024. Otherwise, a financial allocation was made  based on expenses and intensity factors from the EEIO model. Accounting is by date of financial transaction report</t>
  </si>
  <si>
    <t>Data is obtained through an annual employee survey of distance travelled per week by modes of transport. DEFRA’s GHG reporting conversion factors 2024 are used to calculate the GHG intensity of each transport type</t>
  </si>
  <si>
    <t>Where possible, calculations have been made using the mass or number of products sold and attributing an emissions conversion associated with a catalyst activation step by downstream customers for products requiring this. For Clean Air products, an emission factor associated with welding/canning was used.</t>
  </si>
  <si>
    <t>Given no visibility of the end-of-life treatment/use of JM products, the mass of sold products has been mapped against an emission factor associated with the recycling of PGMs to retain the precious metals, with remainder mass associated with GHG emissions for landfill activities.</t>
  </si>
  <si>
    <t>JM does not have any franchises.</t>
  </si>
  <si>
    <t>GHG intensity factors from our Pensions trustee providers were used and applied to pension-related financials. Due to missing data JM’s from joint ventures’ emissions, historical JM data for the divested business was used as a substitute.</t>
  </si>
  <si>
    <t>This is wastewater that is returned to its original source and is of equal or higher quality than the water that was originally extracted. In JM we only consider water returned to fresh surface water (lakes, rivers etc) or fresh ground water for this indicator.</t>
  </si>
  <si>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</si>
  <si>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</si>
  <si>
    <t>Our methodology for calculating avoided GHG emissions was developed in-house and independently verified by EcoActTM for all product families contributing towards our target to ensure it complies with industry best practice. EcoAct concluded that our approach complied with recognised public guidelines and considered our calculations to be both fairly stated and representative of a balanced view of our contribution in enabling avoided emissions through relevant technologies. EcoAct also determined that our calculations follow industry best practice for measurement. Their full statement is available on request. For each qualifying JM technology solution, we first determine its functional unit. The functional unit is used to determine the boundary of the analysis, to ensure that the scope of the calculation covers the relevant life-cycle stages leading to the avoided emissions. Performance comparisons for our technology solution scenario are then made against identified reference scenarios, which represent current day, conventional technologies dominant in the market, which our emerging technologies are seeking to improve upon.</t>
  </si>
  <si>
    <t>This is a measurement of all % recycled platinum group metals in our manufactured goods on a mass basis. We include use of five PGMs – platinum, palladium, rhodium, ruthenium and iridium in our target. This is defined as the weighted global average of all PGM sponge used to manufacture goods in our plants over the course of the reporting year and includes metal that is both sourced and funded by JM and metal sourced and funded by our customers. We define primary metal as metal from a mine or originating outside of the refining loop. This is measured by recording the amount of metal matching this description that has been used in product manufacturing over the given time-period.We define secondary or recycled metal as platinum-group metal-bearing material that has come from an end use (including post-consumer product scrap and waste materials) and has not come to JM in the form of ingot, concentrate or matte directly from a mining process. This makes up the balance of metal that has been used in product manufacturing over the given time-period. Refining “intake” figures are based on estimated assays, based on the scrap etc that is sent in from customers and sampled, prior to the Refining process. The assay amounts are finalised throughout the year, and adjustments are periodically made to the reporting figures to account for any differences between the original estimated numbers vs. the final numbers.</t>
  </si>
  <si>
    <t>Lost Time Case</t>
  </si>
  <si>
    <t>Lost Time Case is a work-related injury or illness case that requires an employee to spend one or more full days away from work other than the day of injury or illness</t>
  </si>
  <si>
    <t>A Tier 1 Process Safety Event (T-1 PSE) is a loss of primary containment (LOPC) with the greatest consequence as defined by American Petroleum Institute recommended practice (RP) 754</t>
  </si>
  <si>
    <t>Total recordable injury and illness rate (TRIIR) is defined as the number of recordable cases per 200,000 hours worked in a rolling year and includes cases affecting both our employees and contractors.
A recordable case (as defined under the US Occupational Safety and Health Administration (OSHA) Regulations) is defined as a work related accident or illness that results in one or more of the following: absence of more than one day; medical treatment beyond first aid; death; loss of consciousness and restricted work or transfer to another job.</t>
  </si>
  <si>
    <t>The process safety event severity rate (PSESR) is measured according to the methodology approved by International Council of Chemical Associations (ICCA). The metric first requires a determination that the event is to be included in the process safety event severity rate (PSESR) calculation and then determining the severity using the severity table. In determining this rate, 1 point is assigned for each Level 4 incident attribute, 3 points for each Level 3 attribute, 9 points for each Level 2 attribute, and 27 points for each Level 1 attribute. The PSESR is recorded as a 12 month rolling number. Total worker hours include employees, temporary employees and contractors. Theoretically, a process safety event could be assigned a minimum of 1 point (i.e. the incident meets the attributes of a Level 4 incident in only one category) or a maximum of 135 points (i.e. the incident meets the attributes of a Level 1 incident in each of the five categories).</t>
  </si>
  <si>
    <t>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All management levels refers to all employees whether they are a people manager or not, at a minimum compensation grade</t>
  </si>
  <si>
    <r>
      <t xml:space="preserve">For more information on our methodology, please see our Basis of Reporting on pages 222-227 of our 2022/23 Annual Report and Accounts 
</t>
    </r>
    <r>
      <rPr>
        <b/>
        <sz val="12"/>
        <color theme="3"/>
        <rFont val="Verdana"/>
        <family val="2"/>
      </rPr>
      <t>Rebaseline statement: JM has updated the baseline data to take account of all businesses sold in the period from 1</t>
    </r>
    <r>
      <rPr>
        <b/>
        <vertAlign val="superscript"/>
        <sz val="12"/>
        <color theme="3"/>
        <rFont val="Verdana"/>
        <family val="2"/>
      </rPr>
      <t>st</t>
    </r>
    <r>
      <rPr>
        <b/>
        <sz val="12"/>
        <color theme="3"/>
        <rFont val="Verdana"/>
        <family val="2"/>
      </rPr>
      <t xml:space="preserve"> April 2019 through to 31</t>
    </r>
    <r>
      <rPr>
        <b/>
        <vertAlign val="superscript"/>
        <sz val="12"/>
        <color theme="3"/>
        <rFont val="Verdana"/>
        <family val="2"/>
      </rPr>
      <t>st</t>
    </r>
    <r>
      <rPr>
        <b/>
        <sz val="12"/>
        <color theme="3"/>
        <rFont val="Verdana"/>
        <family val="2"/>
      </rPr>
      <t xml:space="preserve"> March 2023. Data from the sold businesses have been removed from the rebaselined data set. Where JM has ceased operations voluntarily and sites have been closed then this data remains in the rebaselined data.</t>
    </r>
  </si>
  <si>
    <t>This is our operational GHG footprint using the Scope 1 emissions and the location based Scope 2 emissions as stated above.</t>
  </si>
  <si>
    <t xml:space="preserve">Pie chart data </t>
  </si>
  <si>
    <t>Scope 1</t>
  </si>
  <si>
    <t>Scope 2</t>
  </si>
  <si>
    <t>Scope 3 - Purchased goods and services</t>
  </si>
  <si>
    <t>Scope 3- All other categories</t>
  </si>
  <si>
    <t xml:space="preserve">Global
Weight of product sold. </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</si>
  <si>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</si>
  <si>
    <t xml:space="preserve">This represents all hazardous waste that is generated and then sent offsite for treatment. Hazardous waste is material deemed hazardous under the terms of the Basel Convention Annex I, II, III, 179 and VIII.  </t>
  </si>
  <si>
    <t>Types of off site waste treatment</t>
  </si>
  <si>
    <t>Reuse</t>
  </si>
  <si>
    <r>
      <t>Total non-hazardous waste disposed</t>
    </r>
    <r>
      <rPr>
        <b/>
        <vertAlign val="superscript"/>
        <sz val="11"/>
        <color theme="3"/>
        <rFont val="Verdana"/>
        <family val="2"/>
      </rPr>
      <t>7</t>
    </r>
  </si>
  <si>
    <t>recycling</t>
  </si>
  <si>
    <t>off site incineration with energy recovery</t>
  </si>
  <si>
    <t>Incineration or other off site treatment</t>
  </si>
  <si>
    <t>total waste disposed to landfill</t>
  </si>
  <si>
    <t>total waste sent off site</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</si>
  <si>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</si>
  <si>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r>
      <t xml:space="preserve">This is the total energy used by the business divided by </t>
    </r>
    <r>
      <rPr>
        <sz val="11"/>
        <color rgb="FFFF0000"/>
        <rFont val="Verdana"/>
        <family val="2"/>
      </rPr>
      <t>amount of materials sold to customers.</t>
    </r>
  </si>
  <si>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</si>
  <si>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</si>
  <si>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Non-renewable, grid-supplied electricity</t>
  </si>
  <si>
    <t>Certified renewable electricity from the grid</t>
  </si>
  <si>
    <t>Renewable electricity generated locally</t>
  </si>
  <si>
    <t>Natural gas used on site</t>
  </si>
  <si>
    <t>Other fossil fuels used on site</t>
  </si>
  <si>
    <t>Non-renewable steam procured</t>
  </si>
  <si>
    <t>Fuel used on public roads by JM vehicles on company business</t>
  </si>
  <si>
    <t>Total (MWh)</t>
  </si>
  <si>
    <t xml:space="preserve">The data below represents Johnson Matthey's People information as at 31st March 2023 (for 2022/23) and is reported on the basis of our Basis of Reporting 2022/23 which can be found on our website at XXXX </t>
  </si>
  <si>
    <t>Reported as "Employees"</t>
  </si>
  <si>
    <t>Definition</t>
  </si>
  <si>
    <t>Percentage of female representation
2022/22</t>
  </si>
  <si>
    <t>Performance against 2030 target</t>
  </si>
  <si>
    <t xml:space="preserve">Employee’s gender is determined based on their registered gender at birth or otherwise legally recognised gender as disclosed by the employee.  </t>
  </si>
  <si>
    <t>Continuously site based
Contract signed directly between JM and individual and paid regular salary and other benefits by JM
Work is directly supervised by JM - paid via payroll</t>
  </si>
  <si>
    <t>Continuously site based
Fixed term contract signed directly between JM and individual and paid regular salary and other benefits by JM
Work is directly supervised by JM - paid via payroll</t>
  </si>
  <si>
    <t>Excludes Non Executive Board members, Agency Staff and contingent workers</t>
  </si>
  <si>
    <t>Members of the Board</t>
  </si>
  <si>
    <t>JM's Group Leadership Team (GLT)</t>
  </si>
  <si>
    <t>Individuals appointed to the boards of JM's other legal entities, other than JMPLC</t>
  </si>
  <si>
    <t xml:space="preserve">Within JM our senior managers are defined as direct reports of the GLT. </t>
  </si>
  <si>
    <r>
      <t xml:space="preserve">All management levels 
</t>
    </r>
    <r>
      <rPr>
        <b/>
        <sz val="10"/>
        <color theme="4"/>
        <rFont val="Verdana"/>
        <family val="2"/>
      </rPr>
      <t>Our Goal of &gt;40% female representation across all management levels by 2030</t>
    </r>
  </si>
  <si>
    <t>All employees whether they are a People manager or not at a minimum pay grade</t>
  </si>
  <si>
    <r>
      <t xml:space="preserve">Excludes Board members
</t>
    </r>
    <r>
      <rPr>
        <sz val="10"/>
        <color rgb="FFFF0000"/>
        <rFont val="Verdana"/>
        <family val="2"/>
      </rPr>
      <t xml:space="preserve">
</t>
    </r>
    <r>
      <rPr>
        <sz val="10"/>
        <color theme="5"/>
        <rFont val="Verdana"/>
        <family val="2"/>
      </rPr>
      <t>2022 and 2021 categories different
employees under 30 years of age
employees aged between 30-50 
employees aged over 50</t>
    </r>
  </si>
  <si>
    <t>Employees beteween 30-45 years of age</t>
  </si>
  <si>
    <t>Age not known for 201 employees in 2022/23
Age disclosure is voluntary</t>
  </si>
  <si>
    <t>External joiners</t>
  </si>
  <si>
    <t>Resignation only</t>
  </si>
  <si>
    <t>Employee turnover rate initiated by employer (in 2022/23 there were 0 compulsory redundancies in JM)</t>
  </si>
  <si>
    <t>Involuntary permanent employee leavers excl Health</t>
  </si>
  <si>
    <t>Resignation only
Number of leavers over last 12 months divided by average headcount as at data points 1 April 2022 and 31 March 2023</t>
  </si>
  <si>
    <t>Involuntary permanent employee leavers turnover rate</t>
  </si>
  <si>
    <t>Employee turnover rate initiated by employer  (in 2022/23 there were 0 compulsory redundancies in JM)
Number of leavers over last 12 months divided by average headcount as at data points 1 April 2022 and 31 March 2023</t>
  </si>
  <si>
    <t>Involuntary permanent employee leavers turnover rate excl Health</t>
  </si>
  <si>
    <t>Total permanent employee leavers turnover Incl Health</t>
  </si>
  <si>
    <t>Voluntary and involuntary leavers
Number of leavers over last 12 months divided by average headcount as at data points 1 April 2022 and 31 March 2023</t>
  </si>
  <si>
    <t>Total permanent employee leavers turnover Excl Health</t>
  </si>
  <si>
    <t xml:space="preserve">The UK Corporate Governance Code 2018 requires companies to disclose the gender balance of senior management, which is defined in the Code as a company’s executive committee and the Company Secretary, the statistics for this are included in the GLT row above. Some individuals are included in more than one category. </t>
  </si>
  <si>
    <t>Reported as "Contractors"</t>
  </si>
  <si>
    <t xml:space="preserve">Outsourced Function </t>
  </si>
  <si>
    <t>Continuously or regularly site based
Facility management - catering, cleaning or grounds maintenance; IT and occupational health, if outsourced.
Work is supervised by contractor and monitored by JM</t>
  </si>
  <si>
    <t>Specialist Service</t>
  </si>
  <si>
    <t>One-off project or regularly based on site.
Small scale building or ground works; repairing specialistplant or equipment; low level maintenance; small scale repairs to offices or other buildings; stack monitoring.
Work is supervised by contractor and monitored by JM</t>
  </si>
  <si>
    <t>Projects</t>
  </si>
  <si>
    <t>One-off project
Construction work, capital project work, major maintenance activities.
Work is supervised by contractor and monitored by JM</t>
  </si>
  <si>
    <t>Number of contractors</t>
  </si>
  <si>
    <t>Workers who are not employees - data gathered via Workday</t>
  </si>
  <si>
    <t>A contingent worker is defined as an individual who is not on Johnson Matthey’s payroll, but performs tasks on Johnson Matthey's behalf. 
They are hired for a specific purpose and usually for a certain period of time e.g. Consultant,  Contractor, Vendor</t>
  </si>
  <si>
    <t>Key workforce stats</t>
  </si>
  <si>
    <t>Total workforce as at 31st March 2023</t>
  </si>
  <si>
    <t>Total number of employees and contractors - does not include Non Executive Board members and Agency Staff</t>
  </si>
  <si>
    <t>12 month average headcount</t>
  </si>
  <si>
    <t>12 month average headcount excl Health</t>
  </si>
  <si>
    <t>Reported as "Agency Staff"</t>
  </si>
  <si>
    <t>Continuously site based
Person employed by an agency performing tasks that would normally be expected to be undertaken by a JM employee.
Work is directly supervised by JM - paid directly via invoices</t>
  </si>
  <si>
    <t>Total average number of employees (including health)</t>
  </si>
  <si>
    <t>Average number of employees who were covered by a collective bargaining agreement and / or represented by a trade union</t>
  </si>
  <si>
    <r>
      <t>An internal promotion happens </t>
    </r>
    <r>
      <rPr>
        <sz val="10"/>
        <color rgb="FF040C28"/>
        <rFont val="Verdana"/>
        <family val="2"/>
      </rPr>
      <t>when an internal candidate is promoted to a new position — instead of the organization hiring an external candidate</t>
    </r>
    <r>
      <rPr>
        <sz val="10"/>
        <color rgb="FF202124"/>
        <rFont val="Verdana"/>
        <family val="2"/>
      </rPr>
      <t>. </t>
    </r>
  </si>
  <si>
    <t>Query with leadership?</t>
  </si>
  <si>
    <t>Parental leave definition needed</t>
  </si>
  <si>
    <t>Total number of employees that were entitled to parental leave</t>
  </si>
  <si>
    <t>many are still on parental leave so for returned to work and retention it is not possible to complete the data for them</t>
  </si>
  <si>
    <t>Workday has only been in for a year as at end of March, there is no data on employees still being employed 12 months after they returned to work.</t>
  </si>
  <si>
    <t>0%</t>
  </si>
  <si>
    <t>50%</t>
  </si>
  <si>
    <t>Employees receiving performance review = 92% in 2022/23</t>
  </si>
  <si>
    <t>Employees globally receiving regular performance and career development reviews with objectives set and signed off by managers</t>
  </si>
  <si>
    <t>Employees globally receiving regular performance and career development reviews with objectives set and signed off by managers
Note: some trade unions and collective bargaining agreements do not follow the process</t>
  </si>
  <si>
    <t>Work with Nicole Fraser</t>
  </si>
  <si>
    <t>Updated #s</t>
  </si>
  <si>
    <t>Based on employee response to yourSay survey</t>
  </si>
  <si>
    <t>Average score given by survey respondents in response to three engagement questions (engagement, loyalty, satisfaction) </t>
  </si>
  <si>
    <t>Julie Bolam</t>
  </si>
  <si>
    <t>Employee learning hours</t>
  </si>
  <si>
    <t xml:space="preserve">Average learning hours per employee
This is calculated from data gathered from 3 of our key sites. A programme to migrate learning record management to one global system is underway. </t>
  </si>
  <si>
    <t>Automatically Waived - 
employee left JM</t>
  </si>
  <si>
    <t>Completed</t>
  </si>
  <si>
    <t>Did not complete</t>
  </si>
  <si>
    <t>Total employee assigned</t>
  </si>
  <si>
    <t>Catalyst Technologies</t>
  </si>
  <si>
    <t>Clean Air</t>
  </si>
  <si>
    <t>Group</t>
  </si>
  <si>
    <t>Hydrogen Technologies</t>
  </si>
  <si>
    <t>Platinum Group Metal Services</t>
  </si>
  <si>
    <t>Value Businesses</t>
  </si>
  <si>
    <t>(blank)</t>
  </si>
  <si>
    <t>A new course for 2022/23 
The training was assigned to all JM employees at a certain level and above, plus to customer facing roles in Commercial and Procurement.</t>
  </si>
  <si>
    <t>Open</t>
  </si>
  <si>
    <t xml:space="preserve">Launched January 2022 and available to complete until 31 December 2022
Data shown here is from 1st April 2022 to 31st December 2022 </t>
  </si>
  <si>
    <t>Automatically Waived</t>
  </si>
  <si>
    <t>Code of Ethics 2022</t>
  </si>
  <si>
    <t>Includes perm employees and temp employees with contracts over 3months.</t>
  </si>
  <si>
    <t>Hazardous waste is waste that contains hazardous properties and if mismanaged has the potential to cause harm to the environment or humans.
In general, hazardous waste is material deemed hazardous under the terms of the Basel Convention Annex I, II, III, 179 and VIII. 
Reused waste is that waste that can be reused in its original or some other purpose without any modification to the waste material.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t>
  </si>
  <si>
    <t>Hazardous waste is waste that contains hazardous properties and if mismanaged has the potential to cause harm to the environment or humans.
In general, hazardous waste is material deemed hazardous under the terms of the Basel Convention Annex I, II, III, 179 and VIII. 
Landfill is considered as disposal by burying waste underground at a licensed / authorised facility external to JM.</t>
  </si>
  <si>
    <t>Hazardous waste is waste that contains hazardous properties and if mismanaged has the potential to cause harm to the environment or humans.
In general, hazardous waste is material deemed hazardous under the terms of the Basel Convention Annex I, II, III, 179 and VIII. 
This category counts waste that is sent offsite from JM to a third party facility that is licensed and authorised to incinerate waste materials. The incineration process will give rise to waste heat that is recovered for reuse as heat or to generate electricity. and is incinerated as the method of disposal</t>
  </si>
  <si>
    <t xml:space="preserve">Hazardous waste is waste that contains hazardous properties and if mismanaged has the potential to cause harm to the environment or humans.
In general, hazardous waste is material deemed hazardous under the terms of the Basel Convention Annex I, II, III, 179 and VIII.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</si>
  <si>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Hazardous waste is waste that contains hazardous properties and if mismanaged has the potential to cause harm to the environment or humans.
In general, hazardous waste is material deemed hazardous under the terms of the Basel Convention Annex I, II, III, 179 and VIII. 
This is the total waste sent from the JM site for reuse, recycling incineration with energy recovery, incineration / treatment without energy recover or landfilling. This is a sum of the above total hazardous waste indicators.</t>
  </si>
  <si>
    <t>This represents the percentage of JM operational production sites reporting NOx values.</t>
  </si>
  <si>
    <t>This represents the percentage of JM operational production sites reporting SOx values.</t>
  </si>
  <si>
    <t>This represents the percentage of JM operational production sites reporting VOCs values.</t>
  </si>
  <si>
    <t>A solid waste is any item that is transported in a skip or similar container that cannot be poured. The total solid waste is the total of all solid hazardous and non hazardous waste sent offsite by JM.</t>
  </si>
  <si>
    <t>A solid waste is any item that is transported in a skip or similar container that cannot be poured. This indicator represents the total solid waste (hazardous and non hazardous) that is sent offsite to incineration (with or without energy recovery), further treatment before disposal and landfill. This indicator considers solid waste that cannot be recovered, reused or recycled.</t>
  </si>
  <si>
    <t xml:space="preserve">A solid waste is any item that is transported in a skip or similar container that cannot be poured. This represents the total hazardous and non hazardous waste sent offsite by JM for reuse or recycling. </t>
  </si>
  <si>
    <t>ARA2024 p.43
SPD Environment tab</t>
  </si>
  <si>
    <t>To the best of our knowledge we do not have any locations in or near biodiversity sensitive areas as defined by Appendix D of Annex II to Commission Delegated Regulation (EU) 2021/2139</t>
  </si>
  <si>
    <t>1126.1 GWh covering all JM operations</t>
  </si>
  <si>
    <t xml:space="preserve">
Non-renewable energy consumption is 73% of total energy consumption</t>
  </si>
  <si>
    <t>Total Scope 1 and 2 GHG emissions (location-based)</t>
  </si>
  <si>
    <t>Supplier screening using EcoVadis ratings</t>
  </si>
  <si>
    <t>Rights of indigeeous peoples</t>
  </si>
  <si>
    <t>Labour/Management relations</t>
  </si>
  <si>
    <t>GRI 410: Security pracitces 2016</t>
  </si>
  <si>
    <t>This is our operational GHG footprint using the Scope 1 emissions and the Scope 2 market-based emissions as stated above.</t>
  </si>
  <si>
    <t>Scope 1 emissions are the direct emissions from our sites and come from a number of sources. 
Scope 1 emissions are emitted following combustion of fuels at our sites. This encompasses any fuels we consume in our operations (e.g. natural gas, LPG, Diesel etc).  
We also emit GHG directly from our processes which comprise of CO2 or CO2 equivalents.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t>
  </si>
  <si>
    <t xml:space="preserve">Scope 2 emissions are indirect emissions associated with our electricity and steam energy that we import onto site, energy that has not been generated by Johnson Matthey burning fuel, and thereby reported in the scope 1 emissions section above.  
The location-based Greenhouse Gas emission factor for grid electricity uses the carbon intensity from the location of the purchase and is sourced from the most up to date factors from eGrid (USA) DEFRA (UK) and IEA (rest of World). </t>
  </si>
  <si>
    <t xml:space="preserve">This is the total Scope 1 emissions and  Scope 2 market-based emissions, as stated above, against the weight of products sold. </t>
  </si>
  <si>
    <t>(current year - previous year)/(previous year ) 
for example  (2024/25 # - 2023/24 #)/(2023/24 #)</t>
  </si>
  <si>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</si>
  <si>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</si>
  <si>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amount of renewable energy (expressed in kWh) supplied to site or generated on site for use in our operations. The energy is certified renewable or is purchased as a renewable supply.</t>
  </si>
  <si>
    <t>Where mass of purchased goods was available, this was used in combination with GHG intensity factors obtained either from suppliers or EcoInvent. For the remaining purchased goods and services a financial allocation (EEIO model) was used.</t>
  </si>
  <si>
    <t>Financial allocation (EEIO model) using geographical breakdown of data shown in Accounting note 11 “Property, plant and equipment” on page 148 of ARA2025.</t>
  </si>
  <si>
    <t>Activity-based secondary emission factors were used on floor space and geographical data.</t>
  </si>
  <si>
    <t>Total Scope 3 GHG emissions.</t>
  </si>
  <si>
    <t>This indicator equates to the net fresh water usage indicator as per the DJSI reporting criteria. 
This equates to the fresh water taken into site from mains, surface and ground water which is adjusted for any water that is returned to fresh surface or ground water.</t>
  </si>
  <si>
    <t>Scope 2 emissions are indirect emissions associated with our electricity and steam energy that we import onto site, energy that has not been generated by Johnson Matthey burning fuel, and thereby reported in the scope 1 emissions section above.  
The market-based Greenhouse Gas emission factors for grid electricity from suppliers that the site / business unit has purposefully chosen. This is the carbon intensity of purchased electricity. These are obtained in writing direct from the supplier.</t>
  </si>
  <si>
    <r>
      <t xml:space="preserve">This is the total amount of renewable electricity supplied to site or generated on site as a percentage of the total electricity used by JM. </t>
    </r>
    <r>
      <rPr>
        <sz val="10"/>
        <rFont val="Verdana"/>
        <family val="2"/>
      </rPr>
      <t>The total amount includes non renewable electricity generated by JM on our own sites as well as all electricity supplied to JM through grid or direct connection.</t>
    </r>
  </si>
  <si>
    <t>This is the Chemical Oxygen Demand (COD) of the wastewater that JM discharges from site. COD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</si>
  <si>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Chief Executive Officer to employee pay ratio including employee bonus payable</t>
  </si>
  <si>
    <t>Chief Executive Officer to employee pay ratio excluding employee bonus payable</t>
  </si>
  <si>
    <t>This indicator equates to the net fresh water usage indicator as per the DJSI reporting criteria in areas that are rated as "high" or "extremely high" baseline water stress under the WRI Aqueduct model. 
This equates to the fresh water taken into site from mains, fresh surface water and fresh ground water. This is then adjusted for any water that is returned at the same or at higher quality to fresh surface water or fresh ground water.
The JM facility coordinates are entered into the WRI Aqueduct model and the baseline water stress is calculated. Baseline water stress measures the ratio of total water withdrawals to available renewable surface water and ground 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</si>
  <si>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t>This is the total waste that is recycled or reused. Total waste represents both liquid and solid waste. Total waste includes both hazardous and non hazardous waste.
Reused waste is waste that can be reused for its original purpose or some other purpose without any modification to the waste material.
Recycling means any operation whereby recovered waste materials are reprocessed into products, materials or substances whether for the original purpose or some other purpose. It includes the reprocessing of organic material but does not include energy recovery and the reprocessing into materials that are to be used as fuels or for backfilling operations.</t>
  </si>
  <si>
    <t>This is the total waste that is recycled  or reused. Total waste represents both liquid and solid waste. Total waste includes both hazardous and non hazardous waste.
Landfill is considered as disposal by burying waste underground at a licensed / authorised facility external to JM.</t>
  </si>
  <si>
    <t>This is the total waste that is recycled  or reused. Total waste represents both liquid and solid waste. Total waste includes both hazardous and non hazardous waste.
This category counts waste that is sent offsite from JM to a third party facility that is licensed and authorised to incinerate waste materials. The incineration process will give rise to waste heat that is recovered for reuse as heat or to generate electricity.</t>
  </si>
  <si>
    <t xml:space="preserve">This is the total waste that is recycled or reused. Total waste represents both liquid and solid waste. Total waste includes both hazardous and non hazardous waste.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</si>
  <si>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This is the total waste that is recycled or reused. Total waste represents both liquid and solid waste. Total waste includes both hazardous and non hazardous waste.
This is the total waste sent from the JM site for reuse, recycling incineration with energy recovery, incineration / treatment without energy recovery or landfilling.</t>
  </si>
  <si>
    <t>ARA p.140-141</t>
  </si>
  <si>
    <t xml:space="preserve">&lt; 4% </t>
  </si>
  <si>
    <t>In 2024/25, JM revenue that aligns with SASB products designed for use phase efficiency were £0.68 billion (with sales excluding precious metals as £3.47 billion) compared with £0.83 billion in 2023/24  (with sales excluding precious metals as £3.90 billion).</t>
  </si>
  <si>
    <t>ARA p.28
SPD Environment tab</t>
  </si>
  <si>
    <r>
      <t>1) Total energy consumed, (2) percentage grid electricity, (3) percentage renewable, (4) total self-generated energy</t>
    </r>
    <r>
      <rPr>
        <vertAlign val="superscript"/>
        <sz val="10"/>
        <rFont val="Verdana"/>
        <family val="2"/>
      </rPr>
      <t>1</t>
    </r>
  </si>
  <si>
    <t xml:space="preserve">JM currently operates in the UK and Europe where emission trading schemes (ETS) applicable to Scope 1 emissions are in place. Following recent investment to improve boiler efficiency at one of our sites, which then subsequently fell out of the UK ETS scheme, there are currently no JM sites that are obligated under the UK ETS or under the EU ETS. </t>
  </si>
  <si>
    <t>Local suppliers</t>
  </si>
  <si>
    <r>
      <t xml:space="preserve">Total % of procurement spend with suppliers rated </t>
    </r>
    <r>
      <rPr>
        <b/>
        <sz val="12"/>
        <color rgb="FF000000"/>
        <rFont val="Verdana"/>
        <family val="2"/>
      </rPr>
      <t>Very</t>
    </r>
    <r>
      <rPr>
        <sz val="12"/>
        <color rgb="FF000000"/>
        <rFont val="Verdana"/>
        <family val="2"/>
      </rPr>
      <t xml:space="preserve"> </t>
    </r>
    <r>
      <rPr>
        <b/>
        <sz val="12"/>
        <color rgb="FF000000"/>
        <rFont val="Verdana"/>
        <family val="2"/>
      </rPr>
      <t>High Overall Risk</t>
    </r>
  </si>
  <si>
    <t>Confidentiality constraints</t>
  </si>
  <si>
    <t>ARA p.128, 188-190, 191</t>
  </si>
  <si>
    <t>ARA p.128, 191, 200</t>
  </si>
  <si>
    <t>ARA p.191
SPD Home tab
SPD Health and Safety tab
SPD Environment tab</t>
  </si>
  <si>
    <t>ARA p.112-121, 196-198</t>
  </si>
  <si>
    <t>ARA p.1-7</t>
  </si>
  <si>
    <t>ARA p.56-61</t>
  </si>
  <si>
    <t>ARA p.56, 67-69</t>
  </si>
  <si>
    <t>ARA p.56, 58, 61</t>
  </si>
  <si>
    <t>ARA p.36-37, 56-61, 65-66, 82</t>
  </si>
  <si>
    <t>ARA p.36-37, 62, 80-82</t>
  </si>
  <si>
    <t>ARA p.36-37, 61, 80-82</t>
  </si>
  <si>
    <t>ARA p.53, 89, 108</t>
  </si>
  <si>
    <t>ARA p.61, 80-82
SPD Ethics and Compliance tab</t>
  </si>
  <si>
    <t>ARA p.63</t>
  </si>
  <si>
    <t>ARA p.57-59</t>
  </si>
  <si>
    <t>ARA p.83-95</t>
  </si>
  <si>
    <t>ARA p.83-106</t>
  </si>
  <si>
    <t>ARA p.83-106
SPD People Tab</t>
  </si>
  <si>
    <t>ARA p.28, 32, 52-53</t>
  </si>
  <si>
    <t>ARA p.2-3</t>
  </si>
  <si>
    <t>ARA p.52-53</t>
  </si>
  <si>
    <t>Johnson Matthey Global Speak up policy</t>
  </si>
  <si>
    <t>Johnson Matthey Global Human Rights Policy</t>
  </si>
  <si>
    <t>JM Website - Collaboration</t>
  </si>
  <si>
    <t>ARA p. 65-66</t>
  </si>
  <si>
    <t>ARA p.92, 156
SPD People tab</t>
  </si>
  <si>
    <t>ARA p.26, 192</t>
  </si>
  <si>
    <t>ARA p.26, 192
SPD Material Topics tab</t>
  </si>
  <si>
    <t>ARA p.36-42, 128-190</t>
  </si>
  <si>
    <t>ARA p.128-190</t>
  </si>
  <si>
    <t>ARA p.36-42</t>
  </si>
  <si>
    <t>Performance data covers all sites that are under the financial control of the group, including all manufacturing, research and warehousing operations of Johnson Matthey Plc and its subsidiaries. Joint ventures where we have a minority share are not included.
For the purposes of reporting, separate businesses resident at the same location are counted as separate sites. Data from 59 sites was included in this databook: 35 are manufacturing sites, 12 are R&amp;D sites and 12 are offices. Data from new facilities is included from the point at which the facility becomes owned by JM and operational.</t>
  </si>
  <si>
    <t>This Sustainability Performance Databook (SPD) outlines Johnson Matthey's key non-financial performance information and is published alongside our Annual Report to complement the business and financial information to provide stakeholders with a complete picture of our environmental, social and governance (ESG) impacts in 2024/25.
We take a strategic approach to embedding sustainability into everything we do. This approach is based on our understanding of the needs and demands of our stakeholders, combined with a focus on the topics that reflect our most significant ESG impacts.</t>
  </si>
  <si>
    <t xml:space="preserve">In 2024 we partnered with a third party to perform our first double materiality assessment. Double materiality in ESG means companies must consider both how ESG issues impact their business (financial materiality) and how their business impacts the environment and society (impact materiality). The process involved a thorough review of our sector and locations as well as gathering stakeholder opinions through interviewing our investors, customers, suppliers, leaders and subject matter experts inside and outside of JM. Our material topics were approved at the Societal Value Committee (SVC) meeting in October 2024.
</t>
  </si>
  <si>
    <t>Johnson Matthey Corporate Website - Engagement with Stakeholders</t>
  </si>
  <si>
    <t>Johnson Matthey Corporate Website - About Us</t>
  </si>
  <si>
    <t>SPD Ethics and Compliance tab</t>
  </si>
  <si>
    <t>ARA p.52 
SPD Environment tab
SPD Ethics and Compliance tab</t>
  </si>
  <si>
    <t>Johnson Matthey Corporate Website - Code of Ethics</t>
  </si>
  <si>
    <t>Johnson Matthey Corporate Website - Labour and Human Rights</t>
  </si>
  <si>
    <t>ARA p.83-85, 134, 156-157</t>
  </si>
  <si>
    <t>ARA p.143</t>
  </si>
  <si>
    <t>ARA p.26</t>
  </si>
  <si>
    <t>SPD Responsible Sourcing tab</t>
  </si>
  <si>
    <t>ARA p.26, 52-53</t>
  </si>
  <si>
    <t>ARA p.109</t>
  </si>
  <si>
    <t>ARA p.3, 14, 26-27, 30, 194</t>
  </si>
  <si>
    <t>ARA p.27, 30</t>
  </si>
  <si>
    <t>ARA p.3, 26-27, 28-29, 196-198</t>
  </si>
  <si>
    <t>ARA p.28-29
SPD Environment tab</t>
  </si>
  <si>
    <t>a. b. c.</t>
  </si>
  <si>
    <t>ARA p.26-27, 31, 194, 196-198</t>
  </si>
  <si>
    <t>ARA p.31
SPD Environment tab</t>
  </si>
  <si>
    <t>ARA p.12-13, 15-16, 26-29, 39-42, 192-193, 196-198</t>
  </si>
  <si>
    <t>ARA p.27-29, 44
SPD Environment tab</t>
  </si>
  <si>
    <t>Not applicable</t>
  </si>
  <si>
    <t>a. b. c. d.</t>
  </si>
  <si>
    <t>Johnson Matthey Nature Strategy statement</t>
  </si>
  <si>
    <t>a.</t>
  </si>
  <si>
    <t>a. b. c. d. e. f.</t>
  </si>
  <si>
    <t>ARA p.26
SPD Responsible Sourcing tab</t>
  </si>
  <si>
    <t>Johnson Matthey Corporate Website - Responsible Sourcing</t>
  </si>
  <si>
    <t>b. c. d. e.</t>
  </si>
  <si>
    <t>ARA p.26, 32-35</t>
  </si>
  <si>
    <t>Johnson Matthey Corporate Website - Rewards and Benefits</t>
  </si>
  <si>
    <t>ARA p.26, 32-35, 52</t>
  </si>
  <si>
    <t>ARA p.26-27, 32, 52, 195</t>
  </si>
  <si>
    <t>ARA p.32</t>
  </si>
  <si>
    <t>Johnson Matthey Corporate Website - Reward and Benefits</t>
  </si>
  <si>
    <t>ARA p.32, 65</t>
  </si>
  <si>
    <t>Johnson Matthey Corporate Website - People</t>
  </si>
  <si>
    <t>ARA p.32
SPD Health and Safety tab</t>
  </si>
  <si>
    <t>ARA p.26-27, 33-35, 68-69, 195</t>
  </si>
  <si>
    <t>ARA p.26-27, 33-35, 68-69, 195
SPD People tab</t>
  </si>
  <si>
    <t>ARA p.26, 92, 156-157</t>
  </si>
  <si>
    <t xml:space="preserve">
SPD People tab</t>
  </si>
  <si>
    <t>Johnson Matthey Modern Slavery Statement</t>
  </si>
  <si>
    <t>Johnson Matthey Corporate Website - Communities</t>
  </si>
  <si>
    <t>ARA p.39-42</t>
  </si>
  <si>
    <t>Johnson Matthey Corporate Website - Product Stewardship</t>
  </si>
  <si>
    <t>We do not specify if speak up cases are specifically related to customer privacy or customer loss of data</t>
  </si>
  <si>
    <t>Code of Ethics*</t>
  </si>
  <si>
    <t>Note: Training completion rates are not designed to tie in to year end hence completion rates may appear low.
*Targeted classroom training was also offered for those workers who do not have regular access to computers</t>
  </si>
  <si>
    <t>ARA p.32
SPD Health and safety tab</t>
  </si>
  <si>
    <t xml:space="preserve">We have in place Product Stewardship Standards (within the EHS management framework) covering restricted substance management (including chemicals of concern) and new product introduction. These standards require our businesses to review their existing portfolios and any new products being developed against ‘chemicals of concern’ listings and to identify opportunities to replace or reduce them in our operations and products. These requirements also cover the raw materials. JM maintains its own (limited) list of substances which we will not use or place on the market. We have not set formal targets in regards to the development of alternatives with reduced negative impact at this time.  </t>
  </si>
  <si>
    <t>ARA p.1, 188-190, 200, back cover</t>
  </si>
  <si>
    <t>ARA p.1, 7, 32-35, 146, 194-198
SPD People tab</t>
  </si>
  <si>
    <t>Please see ERM CVS' full assurance report on page 196-198 of our ARA 2025 for more details.</t>
  </si>
  <si>
    <t>ARA p.28-29, 44
SPD Environment tab</t>
  </si>
  <si>
    <t>We do not produce ozone-depleting
substances (ODS) through our operations,
however, any small leaks of refrigerant gases
are reported in our Scope 1 GHG emissions</t>
  </si>
  <si>
    <t>not disclosed as this is still work in progress</t>
  </si>
  <si>
    <t>not disclosed due to confidentiality around contracts</t>
  </si>
  <si>
    <t>Total % of procurement spend with local suppliers</t>
  </si>
  <si>
    <t>ARA p.26, 53</t>
  </si>
  <si>
    <t>ARA p.27-29</t>
  </si>
  <si>
    <t>Johnson Matthey Corporate Website - Sustainability</t>
  </si>
  <si>
    <t>ARA p.7, 27, 32
SPD Health and Safety tab</t>
  </si>
  <si>
    <t>ARA p.7, 26, 65</t>
  </si>
  <si>
    <t>ARA p.27, 31
SPD Environment tab</t>
  </si>
  <si>
    <t>ARA p.31, 41
SPD Environment tab</t>
  </si>
  <si>
    <t>ARA p.36-37</t>
  </si>
  <si>
    <t>ARA p.37-42</t>
  </si>
  <si>
    <t>ARA p.42</t>
  </si>
  <si>
    <t>ARA p.43</t>
  </si>
  <si>
    <t>ARA p.43-45</t>
  </si>
  <si>
    <t>ARA p.44
SPD Environment tab</t>
  </si>
  <si>
    <t>ARA p.57
SPD People tab</t>
  </si>
  <si>
    <t>To the best of our knowledge none of our product sales are used for/in controversial weapons</t>
  </si>
  <si>
    <t>We endeavour to create an environment where everyone who works for JM feels valued and actively encouraged to speak up about behaviour which may be unsafe, unethical or unlawful. Employees are able to speak up with their line manager, the Legal or Human Resources team or use our confidential third-party Speak Up helpline, which is available in local languages, by telephone or online. JM has a zero-tolerance approach to retaliation. 
All Speak Ups are thoroughly investigated by the Ethics &amp; Compliance team and/or independent investigators to determine whether the allegations can be proven, and any recommendations should be made. We have a zero-tolerance approach to unsafe, unethical and unlawful behaviour of any kind and will take disciplinary action, where appropriate, up to and including dismissal in the event of a breach of our Code of Ethics and associated policies. We analyse Speak Up metrics quarterly to identify key themes and significant trends and share these, together with action plans, with the Societal Value Committee and relevant senior leaders.
During FY2024/25 there were 147 Speak Ups, of which 4 related to bribery and corruption.  We do not tolerate bribery and corruption in any form, as set out in our Code of Ethics and anti-bribery and corruption policy. Even where allegations are not proven, an assessment is made to ensure the risk of bribery and corruption taking place in the future is properly mitigated. During the year no legal cases regarding bribery and corruption were brought against JM or its employees.
The data below represents our Speak Up reports.</t>
  </si>
  <si>
    <t>See our Supplier code of conduct | Johnson Matthey</t>
  </si>
  <si>
    <t xml:space="preserve">◦Emissions from Scope 3 Category 1 restated due to improvements and refinements in calculations for substrates and PGM emissions.
◦Emissions from Scope 3 Category 7 2023/24 emissions restated due to error correction.
◦Emissions from Scope 3 Category 8 restated due to improvements in methodology.
◦Emissions from Scope 3 Category 10 restated due to refinements in methodology.
◦Emissions from Scope 3 Category 12 restated due to refinements in methodology.
◦Emissions from Scope 3 Category 13 restated due to refinements in methodology.
◦Emissions from Scope 3 Category 15 restated due to improvements in methodology.
◦Upon further review of our water use at our Royston Site, a source of water that was added to our data last year was ultimately determined to be already counted. As such we have corrected the data and removed this source of double counted water from all data going back to the baseline year of 2019/20.  </t>
  </si>
  <si>
    <r>
      <t>tonnes CO</t>
    </r>
    <r>
      <rPr>
        <b/>
        <vertAlign val="subscript"/>
        <sz val="12"/>
        <rFont val="Verdana"/>
        <family val="2"/>
      </rPr>
      <t>2</t>
    </r>
    <r>
      <rPr>
        <b/>
        <sz val="12"/>
        <rFont val="Verdana"/>
        <family val="2"/>
      </rPr>
      <t>e/tonne sales</t>
    </r>
  </si>
  <si>
    <r>
      <t>tonnes CO</t>
    </r>
    <r>
      <rPr>
        <vertAlign val="subscript"/>
        <sz val="12"/>
        <rFont val="Verdana"/>
        <family val="2"/>
      </rPr>
      <t>2</t>
    </r>
    <r>
      <rPr>
        <sz val="12"/>
        <rFont val="Verdana"/>
        <family val="2"/>
      </rPr>
      <t>e/tonne sales</t>
    </r>
  </si>
  <si>
    <t xml:space="preserve">ERM Certification and Verification Services Limited (ERM CVS) were engaged to provide limited assurance of selected information. All information below has been independently assured by ERM CVS. </t>
  </si>
  <si>
    <r>
      <t xml:space="preserve">Please see ERM CVS' full assurance report on page 196-198 of our ARA 2025 and on the </t>
    </r>
    <r>
      <rPr>
        <u/>
        <sz val="11"/>
        <color theme="4"/>
        <rFont val="Calibri"/>
        <family val="2"/>
        <scheme val="minor"/>
      </rPr>
      <t>Basis of Reporting</t>
    </r>
    <r>
      <rPr>
        <sz val="11"/>
        <color theme="4"/>
        <rFont val="Calibri"/>
        <family val="2"/>
        <scheme val="minor"/>
      </rPr>
      <t xml:space="preserve"> tab for more details.</t>
    </r>
  </si>
  <si>
    <r>
      <t>Rebaseline statement: JM has updated the baseline data to take account of all businesses sold in the period from 1</t>
    </r>
    <r>
      <rPr>
        <vertAlign val="superscript"/>
        <sz val="12"/>
        <color theme="4"/>
        <rFont val="Verdana"/>
        <family val="2"/>
      </rPr>
      <t>st</t>
    </r>
    <r>
      <rPr>
        <sz val="12"/>
        <color theme="4"/>
        <rFont val="Verdana"/>
        <family val="2"/>
      </rPr>
      <t xml:space="preserve"> April 2019 through to 31</t>
    </r>
    <r>
      <rPr>
        <vertAlign val="superscript"/>
        <sz val="12"/>
        <color theme="4"/>
        <rFont val="Verdana"/>
        <family val="2"/>
      </rPr>
      <t>st</t>
    </r>
    <r>
      <rPr>
        <sz val="12"/>
        <color theme="4"/>
        <rFont val="Verdana"/>
        <family val="2"/>
      </rPr>
      <t xml:space="preserve"> March 2025. Data from the sold businesses have been removed from the rebaselined data set. Where JM has ceased operations voluntarily and sites have been closed then these data remain in the rebaselined data.</t>
    </r>
  </si>
  <si>
    <r>
      <t xml:space="preserve">For more information on our methodology, please see our Basis of Reporting on pages 191-195 of our Annual Report and Accounts 2025 and on the </t>
    </r>
    <r>
      <rPr>
        <u/>
        <sz val="11"/>
        <color theme="4"/>
        <rFont val="Verdana"/>
        <family val="2"/>
      </rPr>
      <t xml:space="preserve">Basis of Reporting </t>
    </r>
    <r>
      <rPr>
        <sz val="11"/>
        <color theme="4"/>
        <rFont val="Verdana"/>
        <family val="2"/>
      </rPr>
      <t>tab.</t>
    </r>
  </si>
  <si>
    <r>
      <t>m</t>
    </r>
    <r>
      <rPr>
        <b/>
        <vertAlign val="superscript"/>
        <sz val="12"/>
        <color theme="1"/>
        <rFont val="Verdana"/>
        <family val="2"/>
      </rPr>
      <t>3</t>
    </r>
  </si>
  <si>
    <r>
      <t>m</t>
    </r>
    <r>
      <rPr>
        <b/>
        <vertAlign val="superscript"/>
        <sz val="12"/>
        <color rgb="FF000000"/>
        <rFont val="Verdana"/>
        <family val="2"/>
      </rPr>
      <t>3</t>
    </r>
  </si>
  <si>
    <r>
      <t>000's m</t>
    </r>
    <r>
      <rPr>
        <b/>
        <vertAlign val="superscript"/>
        <sz val="12"/>
        <color theme="1"/>
        <rFont val="Verdana"/>
        <family val="2"/>
      </rPr>
      <t>3</t>
    </r>
  </si>
  <si>
    <r>
      <t>000's m</t>
    </r>
    <r>
      <rPr>
        <b/>
        <vertAlign val="superscript"/>
        <sz val="12"/>
        <rFont val="Verdana"/>
        <family val="2"/>
      </rPr>
      <t>3</t>
    </r>
  </si>
  <si>
    <r>
      <t>000's m</t>
    </r>
    <r>
      <rPr>
        <b/>
        <vertAlign val="superscript"/>
        <sz val="12"/>
        <rFont val="Verdana"/>
        <family val="2"/>
      </rPr>
      <t>3</t>
    </r>
    <r>
      <rPr>
        <b/>
        <sz val="12"/>
        <rFont val="Verdana"/>
        <family val="2"/>
      </rPr>
      <t xml:space="preserve"> / £Bn</t>
    </r>
  </si>
  <si>
    <r>
      <rPr>
        <sz val="11"/>
        <color theme="4"/>
        <rFont val="Verdana"/>
        <family val="2"/>
      </rPr>
      <t xml:space="preserve">The data below represents Johnson Matthey's People information as at 31st March 2025 (for 2024/25), unless otherwise stated, and is reported on the basis of our Basis of Reporting on page 191-195 of our Annual Report and Accounts 2025 and on the </t>
    </r>
    <r>
      <rPr>
        <u/>
        <sz val="11"/>
        <color theme="4"/>
        <rFont val="Verdana"/>
        <family val="2"/>
      </rPr>
      <t xml:space="preserve">Basis of Reporting </t>
    </r>
    <r>
      <rPr>
        <sz val="11"/>
        <color theme="4"/>
        <rFont val="Verdana"/>
        <family val="2"/>
      </rPr>
      <t>tab.</t>
    </r>
  </si>
  <si>
    <t>*To simplify identification of issues raised, consolidation has been made of some of the categories from 2021/22.</t>
  </si>
  <si>
    <t>We at Johnson Matthey believe that Community investment helps us to connect with each other and our local communities.</t>
  </si>
  <si>
    <t>In the past year, we strengthened our Responsible Sourcing programme through enhanced transparency, data-driven insights, and stakeholder engagement. We became a full member of Together for Sustainability (TfS), meeting all member requirements and aligning with industry-leading expectations. We continued to roll out our refreshed Supplier Code of Conduct, sharing it with all new suppliers and our highest-spend existing partners. Using EcoVadis and its EV-IQ module, we now have visibility into the sustainability performance of more than 500 suppliers and potential ESG risk for over 7,000 suppliers. As a result, valid EcoVadis medal coverage increased to 44%. We also mapped the emissions reduction plans of suppliers accounting for 78% of our FY24 Scope 3 Category 1 emissions (excluding PGMs) and established an FY26 target for primary emissions factor coverage. In parallel, we completed a supply chain-wide Conflict Minerals Reporting Template (CMRT) and Extended Minerals Reporting Template (EMRT) assessment, evaluating 29 suppliers for the sourcing of cobalt and tin, tungsten, tantalum, and gold (3TGs). Going forward, we will continue working to ensure that all suppliers with high risk rating for human rights meet our human rights standards and demonstrate continuous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</si>
</sst>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43" formatCode="_-* #,##0.00_-;\-* #,##0.00_-;_-* &quot;-&quot;??_-;_-@_-"/>
    <numFmt numFmtId="164" formatCode="0.0%"/>
    <numFmt numFmtId="165" formatCode="#,##0.0"/>
    <numFmt numFmtId="166" formatCode="_-* #,##0_-;\-* #,##0_-;_-* &quot;-&quot;??_-;_-@_-"/>
    <numFmt numFmtId="167" formatCode="#,##0_ ;\-#,##0\ "/>
    <numFmt numFmtId="168" formatCode="_-* #,##0.0_-;\-* #,##0.0_-;_-* &quot;-&quot;??_-;_-@_-"/>
    <numFmt numFmtId="169" formatCode="_-* #,##0.00_-;\-* #,##0.00_-;_-* &quot;-&quot;??_-;_-@"/>
    <numFmt numFmtId="170" formatCode="_-* #,##0_-;\-* #,##0_-;_-* &quot;-&quot;??_-;_-@"/>
    <numFmt numFmtId="171" formatCode="0.0"/>
    <numFmt numFmtId="172" formatCode="0E+00"/>
    <numFmt numFmtId="173" formatCode="_(* #,##0.0_);_(* \(#,##0.0\);_(* &quot;-&quot;??_);_(@_)"/>
    <numFmt numFmtId="174" formatCode="0.000%"/>
    <numFmt numFmtId="175" formatCode="0.0000%"/>
    <numFmt numFmtId="176" formatCode="_-* #,##0.000_-;\-* #,##0.000_-;_-* &quot;-&quot;??_-;_-@_-"/>
    <numFmt numFmtId="177" formatCode="0.000"/>
    <numFmt numFmtId="178" formatCode="0.0000000000000%"/>
    <numFmt numFmtId="179" formatCode="_-* #,##0.0_-;\-* #,##0.0_-;_-* &quot;-&quot;?_-;_-@_-"/>
  </numFmts>
  <fonts count="194" x14ac:knownFonts="1">
    <font>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7"/>
      <color theme="1"/>
      <name val="Arial"/>
      <family val="2"/>
    </font>
    <font>
      <sz val="7"/>
      <color theme="0"/>
      <name val="Arial"/>
      <family val="2"/>
    </font>
    <font>
      <sz val="11"/>
      <color rgb="FFFF0000"/>
      <name val="Verdana"/>
      <family val="2"/>
    </font>
    <font>
      <sz val="11"/>
      <name val="Verdana"/>
      <family val="2"/>
    </font>
    <font>
      <sz val="11"/>
      <color theme="1"/>
      <name val="Verdana"/>
      <family val="2"/>
    </font>
    <font>
      <sz val="28"/>
      <color rgb="FF002060"/>
      <name val="Verdana"/>
      <family val="2"/>
    </font>
    <font>
      <b/>
      <sz val="11"/>
      <name val="Verdana"/>
      <family val="2"/>
    </font>
    <font>
      <sz val="10"/>
      <color rgb="FFFF0000"/>
      <name val="Verdana"/>
      <family val="2"/>
    </font>
    <font>
      <sz val="10"/>
      <name val="Verdana"/>
      <family val="2"/>
    </font>
    <font>
      <sz val="10"/>
      <color theme="1"/>
      <name val="Verdana"/>
      <family val="2"/>
    </font>
    <font>
      <b/>
      <sz val="10"/>
      <name val="Verdana"/>
      <family val="2"/>
    </font>
    <font>
      <b/>
      <sz val="28"/>
      <color rgb="FF0000CC"/>
      <name val="Verdana"/>
      <family val="2"/>
    </font>
    <font>
      <b/>
      <sz val="11"/>
      <color theme="0"/>
      <name val="Verdana"/>
      <family val="2"/>
    </font>
    <font>
      <b/>
      <sz val="11"/>
      <color rgb="FF002855"/>
      <name val="Verdana"/>
      <family val="2"/>
    </font>
    <font>
      <sz val="11"/>
      <color rgb="FF002855"/>
      <name val="Verdana"/>
      <family val="2"/>
    </font>
    <font>
      <b/>
      <sz val="10"/>
      <color rgb="FFFFFFFF"/>
      <name val="Verdana"/>
      <family val="2"/>
    </font>
    <font>
      <b/>
      <sz val="11"/>
      <color rgb="FFFFFFFF"/>
      <name val="Verdana"/>
      <family val="2"/>
    </font>
    <font>
      <b/>
      <sz val="11"/>
      <color theme="1"/>
      <name val="Verdana"/>
      <family val="2"/>
    </font>
    <font>
      <sz val="11"/>
      <color rgb="FF000000"/>
      <name val="Verdana"/>
      <family val="2"/>
    </font>
    <font>
      <b/>
      <sz val="11"/>
      <color rgb="FFFF0000"/>
      <name val="Verdana"/>
      <family val="2"/>
    </font>
    <font>
      <sz val="12"/>
      <color rgb="FFFF0000"/>
      <name val="Verdana"/>
      <family val="2"/>
    </font>
    <font>
      <sz val="11"/>
      <color theme="0"/>
      <name val="Verdana"/>
      <family val="2"/>
    </font>
    <font>
      <vertAlign val="superscript"/>
      <sz val="11"/>
      <color theme="1"/>
      <name val="Verdana"/>
      <family val="2"/>
    </font>
    <font>
      <sz val="8"/>
      <color theme="1"/>
      <name val="Verdana"/>
      <family val="2"/>
    </font>
    <font>
      <b/>
      <sz val="8"/>
      <color theme="1"/>
      <name val="Verdana"/>
      <family val="2"/>
    </font>
    <font>
      <b/>
      <sz val="11"/>
      <color rgb="FF000000"/>
      <name val="Verdana"/>
      <family val="2"/>
    </font>
    <font>
      <sz val="7"/>
      <color rgb="FF4A4D4E"/>
      <name val="Verdana"/>
      <family val="2"/>
    </font>
    <font>
      <sz val="9"/>
      <color theme="1"/>
      <name val="Verdana"/>
      <family val="2"/>
    </font>
    <font>
      <b/>
      <sz val="9"/>
      <color theme="1"/>
      <name val="Verdana"/>
      <family val="2"/>
    </font>
    <font>
      <sz val="7"/>
      <color theme="1"/>
      <name val="Verdana"/>
      <family val="2"/>
    </font>
    <font>
      <sz val="12"/>
      <color rgb="FFE60000"/>
      <name val="Verdana"/>
      <family val="2"/>
    </font>
    <font>
      <sz val="9.5"/>
      <color rgb="FF4A4D4E"/>
      <name val="Verdana"/>
      <family val="2"/>
    </font>
    <font>
      <b/>
      <sz val="16"/>
      <color rgb="FFE60000"/>
      <name val="Verdana"/>
      <family val="2"/>
    </font>
    <font>
      <sz val="12"/>
      <color rgb="FF0000CC"/>
      <name val="Verdana"/>
      <family val="2"/>
    </font>
    <font>
      <sz val="9.5"/>
      <color rgb="FFFF0000"/>
      <name val="Verdana"/>
      <family val="2"/>
    </font>
    <font>
      <b/>
      <sz val="9.5"/>
      <color rgb="FFE60000"/>
      <name val="Verdana"/>
      <family val="2"/>
    </font>
    <font>
      <b/>
      <sz val="20"/>
      <color rgb="FFFFFFFF"/>
      <name val="Verdana"/>
      <family val="2"/>
    </font>
    <font>
      <b/>
      <sz val="9.5"/>
      <color rgb="FFFFFFFF"/>
      <name val="Verdana"/>
      <family val="2"/>
    </font>
    <font>
      <b/>
      <sz val="9.5"/>
      <color theme="0"/>
      <name val="Verdana"/>
      <family val="2"/>
    </font>
    <font>
      <sz val="9.5"/>
      <color theme="0"/>
      <name val="Verdana"/>
      <family val="2"/>
    </font>
    <font>
      <b/>
      <sz val="9.5"/>
      <color rgb="FF0000CC"/>
      <name val="Verdana"/>
      <family val="2"/>
    </font>
    <font>
      <b/>
      <sz val="9.5"/>
      <color rgb="FF4A4D4E"/>
      <name val="Verdana"/>
      <family val="2"/>
    </font>
    <font>
      <b/>
      <sz val="11"/>
      <color rgb="FF0000CC"/>
      <name val="Verdana"/>
      <family val="2"/>
    </font>
    <font>
      <sz val="9.5"/>
      <name val="Verdana"/>
      <family val="2"/>
    </font>
    <font>
      <vertAlign val="subscript"/>
      <sz val="11"/>
      <name val="Verdana"/>
      <family val="2"/>
    </font>
    <font>
      <b/>
      <sz val="9.5"/>
      <color rgb="FF000000"/>
      <name val="Verdana"/>
      <family val="2"/>
    </font>
    <font>
      <b/>
      <sz val="20"/>
      <color theme="0"/>
      <name val="Verdana"/>
      <family val="2"/>
    </font>
    <font>
      <b/>
      <vertAlign val="superscript"/>
      <sz val="11"/>
      <color theme="1"/>
      <name val="Verdana"/>
      <family val="2"/>
    </font>
    <font>
      <b/>
      <sz val="11"/>
      <color theme="3"/>
      <name val="Verdana"/>
      <family val="2"/>
    </font>
    <font>
      <b/>
      <vertAlign val="superscript"/>
      <sz val="11"/>
      <color theme="3"/>
      <name val="Verdana"/>
      <family val="2"/>
    </font>
    <font>
      <sz val="11"/>
      <color theme="9" tint="-0.249977111117893"/>
      <name val="Verdana"/>
      <family val="2"/>
    </font>
    <font>
      <b/>
      <vertAlign val="superscript"/>
      <sz val="11"/>
      <name val="Verdana"/>
      <family val="2"/>
    </font>
    <font>
      <sz val="8"/>
      <color rgb="FFFF0000"/>
      <name val="Verdana"/>
      <family val="2"/>
    </font>
    <font>
      <b/>
      <sz val="18"/>
      <color theme="0"/>
      <name val="Verdana"/>
      <family val="2"/>
    </font>
    <font>
      <b/>
      <sz val="14"/>
      <color theme="0"/>
      <name val="Verdana"/>
      <family val="2"/>
    </font>
    <font>
      <b/>
      <sz val="18"/>
      <color rgb="FF0000CC"/>
      <name val="Verdana"/>
      <family val="2"/>
    </font>
    <font>
      <b/>
      <sz val="20"/>
      <color rgb="FF0000CC"/>
      <name val="Verdana"/>
      <family val="2"/>
    </font>
    <font>
      <b/>
      <sz val="28"/>
      <color rgb="FFFF0000"/>
      <name val="Verdana"/>
      <family val="2"/>
    </font>
    <font>
      <sz val="9"/>
      <name val="Verdana"/>
      <family val="2"/>
    </font>
    <font>
      <b/>
      <sz val="12"/>
      <color theme="0"/>
      <name val="Verdana"/>
      <family val="2"/>
    </font>
    <font>
      <b/>
      <sz val="10"/>
      <color rgb="FF000000"/>
      <name val="Verdana"/>
      <family val="2"/>
    </font>
    <font>
      <sz val="10"/>
      <color rgb="FF000000"/>
      <name val="Verdana"/>
      <family val="2"/>
    </font>
    <font>
      <b/>
      <sz val="10"/>
      <color theme="1"/>
      <name val="Verdana"/>
      <family val="2"/>
    </font>
    <font>
      <b/>
      <sz val="12"/>
      <color rgb="FF0000CC"/>
      <name val="Verdana"/>
      <family val="2"/>
    </font>
    <font>
      <sz val="7"/>
      <name val="Verdana"/>
      <family val="2"/>
    </font>
    <font>
      <vertAlign val="subscript"/>
      <sz val="11"/>
      <color rgb="FF000000"/>
      <name val="Verdana"/>
      <family val="2"/>
    </font>
    <font>
      <b/>
      <vertAlign val="superscript"/>
      <sz val="11"/>
      <color rgb="FF000000"/>
      <name val="Verdana"/>
      <family val="2"/>
    </font>
    <font>
      <sz val="11"/>
      <color rgb="FF000000"/>
      <name val="Calibri"/>
      <family val="2"/>
      <scheme val="minor"/>
    </font>
    <font>
      <b/>
      <sz val="14"/>
      <color theme="1"/>
      <name val="Verdana"/>
      <family val="2"/>
    </font>
    <font>
      <sz val="11"/>
      <color theme="1"/>
      <name val="Verdana"/>
      <family val="2"/>
    </font>
    <font>
      <b/>
      <vertAlign val="subscript"/>
      <sz val="11"/>
      <name val="Verdana"/>
      <family val="2"/>
    </font>
    <font>
      <sz val="9"/>
      <color rgb="FF4A4D4E"/>
      <name val="Verdana"/>
      <family val="2"/>
    </font>
    <font>
      <b/>
      <sz val="11"/>
      <color theme="1"/>
      <name val="Calibri"/>
      <family val="2"/>
      <scheme val="minor"/>
    </font>
    <font>
      <sz val="16"/>
      <color rgb="FF4A4D4E"/>
      <name val="Verdana"/>
      <family val="2"/>
    </font>
    <font>
      <b/>
      <sz val="11"/>
      <color rgb="FF000000"/>
      <name val="Calibri"/>
      <family val="2"/>
      <scheme val="minor"/>
    </font>
    <font>
      <b/>
      <vertAlign val="subscript"/>
      <sz val="11"/>
      <color rgb="FF000000"/>
      <name val="Verdana"/>
      <family val="2"/>
    </font>
    <font>
      <b/>
      <sz val="14"/>
      <name val="Verdana"/>
      <family val="2"/>
    </font>
    <font>
      <sz val="11"/>
      <color theme="3"/>
      <name val="Verdana"/>
      <family val="2"/>
    </font>
    <font>
      <sz val="9.5"/>
      <color theme="3"/>
      <name val="Verdana"/>
      <family val="2"/>
    </font>
    <font>
      <b/>
      <sz val="14"/>
      <color theme="3"/>
      <name val="Verdana"/>
      <family val="2"/>
    </font>
    <font>
      <b/>
      <sz val="14"/>
      <color rgb="FF0000CC"/>
      <name val="Verdana"/>
      <family val="2"/>
    </font>
    <font>
      <b/>
      <sz val="16"/>
      <color theme="3"/>
      <name val="Verdana"/>
      <family val="2"/>
    </font>
    <font>
      <sz val="12"/>
      <color theme="3"/>
      <name val="Verdana"/>
      <family val="2"/>
    </font>
    <font>
      <b/>
      <sz val="12"/>
      <color theme="3"/>
      <name val="Verdana"/>
      <family val="2"/>
    </font>
    <font>
      <b/>
      <sz val="20"/>
      <color theme="7"/>
      <name val="Verdana"/>
      <family val="2"/>
    </font>
    <font>
      <b/>
      <sz val="20"/>
      <color theme="6" tint="-0.249977111117893"/>
      <name val="Verdana"/>
      <family val="2"/>
    </font>
    <font>
      <b/>
      <sz val="9.5"/>
      <color theme="3"/>
      <name val="Verdana"/>
      <family val="2"/>
    </font>
    <font>
      <b/>
      <sz val="10"/>
      <color theme="4"/>
      <name val="Verdana"/>
      <family val="2"/>
    </font>
    <font>
      <sz val="10"/>
      <color theme="5"/>
      <name val="Verdana"/>
      <family val="2"/>
    </font>
    <font>
      <sz val="11"/>
      <color rgb="FFFF0000"/>
      <name val="Calibri"/>
      <family val="2"/>
    </font>
    <font>
      <b/>
      <sz val="11"/>
      <color rgb="FFFF0000"/>
      <name val="Calibri"/>
      <family val="2"/>
    </font>
    <font>
      <vertAlign val="subscript"/>
      <sz val="12"/>
      <color rgb="FF0000CC"/>
      <name val="Verdana"/>
      <family val="2"/>
    </font>
    <font>
      <sz val="11"/>
      <color theme="8"/>
      <name val="Verdana"/>
      <family val="2"/>
    </font>
    <font>
      <sz val="11"/>
      <color rgb="FFFFFFFF"/>
      <name val="Verdana"/>
      <family val="2"/>
    </font>
    <font>
      <sz val="10"/>
      <color rgb="FF040C28"/>
      <name val="Verdana"/>
      <family val="2"/>
    </font>
    <font>
      <sz val="10"/>
      <color rgb="FF202124"/>
      <name val="Verdana"/>
      <family val="2"/>
    </font>
    <font>
      <sz val="9"/>
      <color indexed="81"/>
      <name val="Tahoma"/>
      <family val="2"/>
    </font>
    <font>
      <b/>
      <vertAlign val="superscript"/>
      <sz val="12"/>
      <color theme="3"/>
      <name val="Verdana"/>
      <family val="2"/>
    </font>
    <font>
      <b/>
      <sz val="10"/>
      <color rgb="FF0000CC"/>
      <name val="Verdana"/>
      <family val="2"/>
    </font>
    <font>
      <sz val="10"/>
      <color rgb="FF002855"/>
      <name val="Verdana"/>
      <family val="2"/>
    </font>
    <font>
      <b/>
      <sz val="10"/>
      <color theme="0"/>
      <name val="Verdana"/>
      <family val="2"/>
    </font>
    <font>
      <sz val="10"/>
      <color theme="0"/>
      <name val="Verdana"/>
      <family val="2"/>
    </font>
    <font>
      <vertAlign val="subscript"/>
      <sz val="10"/>
      <color theme="1"/>
      <name val="Verdana"/>
      <family val="2"/>
    </font>
    <font>
      <vertAlign val="superscript"/>
      <sz val="10"/>
      <color theme="1"/>
      <name val="Verdana"/>
      <family val="2"/>
    </font>
    <font>
      <sz val="10"/>
      <color theme="3"/>
      <name val="Verdana"/>
      <family val="2"/>
    </font>
    <font>
      <sz val="10"/>
      <color rgb="FF4A4D4E"/>
      <name val="Verdana"/>
      <family val="2"/>
    </font>
    <font>
      <sz val="11"/>
      <color rgb="FF4A4D4E"/>
      <name val="Verdana"/>
      <family val="2"/>
    </font>
    <font>
      <sz val="10"/>
      <color rgb="FF002060"/>
      <name val="Verdana"/>
      <family val="2"/>
    </font>
    <font>
      <sz val="10"/>
      <color rgb="FF0000CC"/>
      <name val="Verdana"/>
      <family val="2"/>
    </font>
    <font>
      <b/>
      <sz val="10"/>
      <color rgb="FF002855"/>
      <name val="Verdana"/>
      <family val="2"/>
    </font>
    <font>
      <sz val="12"/>
      <color theme="1"/>
      <name val="Verdana"/>
      <family val="2"/>
    </font>
    <font>
      <sz val="12"/>
      <name val="Verdana"/>
      <family val="2"/>
    </font>
    <font>
      <sz val="16"/>
      <color theme="1"/>
      <name val="Verdana"/>
      <family val="2"/>
    </font>
    <font>
      <b/>
      <sz val="12"/>
      <color theme="1"/>
      <name val="Verdana"/>
      <family val="2"/>
    </font>
    <font>
      <sz val="12"/>
      <color rgb="FF000000"/>
      <name val="Verdana"/>
      <family val="2"/>
    </font>
    <font>
      <b/>
      <sz val="12"/>
      <color rgb="FF000000"/>
      <name val="Verdana"/>
      <family val="2"/>
    </font>
    <font>
      <b/>
      <sz val="12"/>
      <name val="Verdana"/>
      <family val="2"/>
    </font>
    <font>
      <b/>
      <sz val="9"/>
      <color indexed="81"/>
      <name val="Tahoma"/>
      <family val="2"/>
    </font>
    <font>
      <sz val="10"/>
      <color indexed="81"/>
      <name val="Verdana"/>
      <family val="2"/>
    </font>
    <font>
      <b/>
      <sz val="10"/>
      <color indexed="81"/>
      <name val="Verdana"/>
      <family val="2"/>
    </font>
    <font>
      <vertAlign val="subscript"/>
      <sz val="12"/>
      <name val="Verdana"/>
      <family val="2"/>
    </font>
    <font>
      <b/>
      <vertAlign val="subscript"/>
      <sz val="12"/>
      <name val="Verdana"/>
      <family val="2"/>
    </font>
    <font>
      <vertAlign val="subscript"/>
      <sz val="12"/>
      <color rgb="FF000000"/>
      <name val="Verdana"/>
      <family val="2"/>
    </font>
    <font>
      <b/>
      <vertAlign val="subscript"/>
      <sz val="12"/>
      <color rgb="FF000000"/>
      <name val="Verdana"/>
      <family val="2"/>
    </font>
    <font>
      <sz val="12"/>
      <color theme="4"/>
      <name val="Verdana"/>
      <family val="2"/>
    </font>
    <font>
      <sz val="10"/>
      <color indexed="81"/>
      <name val="Tahoma"/>
      <family val="2"/>
    </font>
    <font>
      <sz val="14"/>
      <color theme="1"/>
      <name val="Verdana"/>
      <family val="2"/>
    </font>
    <font>
      <b/>
      <sz val="14"/>
      <color rgb="FF002855"/>
      <name val="Verdana"/>
      <family val="2"/>
    </font>
    <font>
      <b/>
      <sz val="14"/>
      <color rgb="FFFFFFFF"/>
      <name val="Verdana"/>
      <family val="2"/>
    </font>
    <font>
      <b/>
      <sz val="12"/>
      <color rgb="FFFFFFFF"/>
      <name val="Verdana"/>
      <family val="2"/>
    </font>
    <font>
      <b/>
      <sz val="16"/>
      <color rgb="FFFFFFFF"/>
      <name val="Verdana"/>
      <family val="2"/>
    </font>
    <font>
      <b/>
      <sz val="16"/>
      <color theme="0"/>
      <name val="Verdana"/>
      <family val="2"/>
    </font>
    <font>
      <vertAlign val="superscript"/>
      <sz val="12"/>
      <color theme="1"/>
      <name val="Verdana"/>
      <family val="2"/>
    </font>
    <font>
      <vertAlign val="subscript"/>
      <sz val="12"/>
      <color theme="1"/>
      <name val="Verdana"/>
      <family val="2"/>
    </font>
    <font>
      <i/>
      <sz val="10"/>
      <color theme="1"/>
      <name val="Verdana"/>
      <family val="2"/>
    </font>
    <font>
      <b/>
      <i/>
      <sz val="11"/>
      <color theme="1"/>
      <name val="Verdana"/>
      <family val="2"/>
    </font>
    <font>
      <i/>
      <sz val="12"/>
      <name val="Verdana"/>
      <family val="2"/>
    </font>
    <font>
      <b/>
      <i/>
      <sz val="12"/>
      <color theme="1"/>
      <name val="Verdana"/>
      <family val="2"/>
    </font>
    <font>
      <b/>
      <i/>
      <sz val="12"/>
      <color rgb="FF00305C"/>
      <name val="Verdana"/>
      <family val="2"/>
    </font>
    <font>
      <b/>
      <sz val="12"/>
      <color theme="6" tint="-0.499984740745262"/>
      <name val="Verdana"/>
      <family val="2"/>
    </font>
    <font>
      <b/>
      <sz val="12"/>
      <color theme="7" tint="-0.249977111117893"/>
      <name val="Verdana"/>
      <family val="2"/>
    </font>
    <font>
      <sz val="11"/>
      <color rgb="FF1E22AA"/>
      <name val="Calibri"/>
      <family val="2"/>
      <scheme val="minor"/>
    </font>
    <font>
      <b/>
      <sz val="20"/>
      <color rgb="FF1E22AA"/>
      <name val="Verdana"/>
      <family val="2"/>
    </font>
    <font>
      <u/>
      <sz val="11"/>
      <color rgb="FF1E22AA"/>
      <name val="Verdana"/>
      <family val="2"/>
    </font>
    <font>
      <sz val="11"/>
      <color rgb="FF1E22AA"/>
      <name val="Verdana"/>
      <family val="2"/>
    </font>
    <font>
      <b/>
      <sz val="11"/>
      <color rgb="FF1E22AA"/>
      <name val="Verdana"/>
      <family val="2"/>
    </font>
    <font>
      <b/>
      <sz val="12"/>
      <color rgb="FF1E22AA"/>
      <name val="Verdana"/>
      <family val="2"/>
    </font>
    <font>
      <sz val="12"/>
      <color rgb="FF1E22AA"/>
      <name val="Verdana"/>
      <family val="2"/>
    </font>
    <font>
      <b/>
      <sz val="10"/>
      <color rgb="FF1E22AA"/>
      <name val="Verdana"/>
      <family val="2"/>
    </font>
    <font>
      <b/>
      <sz val="14"/>
      <color rgb="FF1E22AA"/>
      <name val="Verdana"/>
      <family val="2"/>
    </font>
    <font>
      <sz val="12"/>
      <color theme="0"/>
      <name val="Verdana"/>
      <family val="2"/>
    </font>
    <font>
      <u/>
      <sz val="11"/>
      <name val="Calibri"/>
      <family val="2"/>
      <scheme val="minor"/>
    </font>
    <font>
      <vertAlign val="superscript"/>
      <sz val="12"/>
      <name val="Verdana"/>
      <family val="2"/>
    </font>
    <font>
      <sz val="11"/>
      <color theme="1"/>
      <name val="Verdana"/>
      <family val="2"/>
    </font>
    <font>
      <b/>
      <sz val="12"/>
      <color theme="4"/>
      <name val="Verdana"/>
      <family val="2"/>
    </font>
    <font>
      <sz val="11"/>
      <color theme="4"/>
      <name val="Verdana"/>
      <family val="2"/>
    </font>
    <font>
      <sz val="10"/>
      <color theme="4"/>
      <name val="Verdana"/>
      <family val="2"/>
    </font>
    <font>
      <vertAlign val="superscript"/>
      <sz val="10"/>
      <name val="Verdana"/>
      <family val="2"/>
    </font>
    <font>
      <u/>
      <sz val="10"/>
      <color theme="3"/>
      <name val="Verdana"/>
      <family val="2"/>
    </font>
    <font>
      <b/>
      <vertAlign val="superscript"/>
      <sz val="12"/>
      <color rgb="FF000000"/>
      <name val="Verdana"/>
      <family val="2"/>
    </font>
    <font>
      <sz val="11"/>
      <color theme="1"/>
      <name val="Verdana"/>
      <family val="2"/>
    </font>
    <font>
      <b/>
      <sz val="11"/>
      <color theme="1"/>
      <name val="Verdana"/>
      <family val="2"/>
    </font>
    <font>
      <i/>
      <sz val="10"/>
      <name val="Verdana"/>
      <family val="2"/>
    </font>
    <font>
      <b/>
      <sz val="10"/>
      <color theme="3"/>
      <name val="Verdana"/>
      <family val="2"/>
    </font>
    <font>
      <sz val="12"/>
      <color indexed="81"/>
      <name val="Verdana"/>
      <family val="2"/>
    </font>
    <font>
      <b/>
      <sz val="12"/>
      <color indexed="81"/>
      <name val="Verdana"/>
      <family val="2"/>
    </font>
    <font>
      <u/>
      <sz val="11"/>
      <color theme="4"/>
      <name val="Calibri"/>
      <family val="2"/>
      <scheme val="minor"/>
    </font>
    <font>
      <sz val="11.5"/>
      <color theme="1"/>
      <name val="Verdana"/>
      <family val="2"/>
    </font>
    <font>
      <sz val="11"/>
      <color theme="1"/>
      <name val="Verdana"/>
      <family val="2"/>
    </font>
    <font>
      <sz val="11"/>
      <color indexed="81"/>
      <name val="Verdana"/>
      <family val="2"/>
    </font>
    <font>
      <sz val="11"/>
      <color rgb="FFFF0000"/>
      <name val="Calibri"/>
      <family val="2"/>
      <scheme val="minor"/>
    </font>
    <font>
      <b/>
      <sz val="10"/>
      <color theme="1"/>
      <name val="Verdana"/>
      <family val="2"/>
    </font>
    <font>
      <b/>
      <sz val="12"/>
      <color theme="1"/>
      <name val="Verdana"/>
      <family val="2"/>
    </font>
    <font>
      <b/>
      <sz val="14"/>
      <name val="Verdana"/>
      <family val="2"/>
    </font>
    <font>
      <sz val="10"/>
      <color rgb="FF1E22AA"/>
      <name val="Verdana"/>
      <family val="2"/>
    </font>
    <font>
      <sz val="10"/>
      <color rgb="FF00B050"/>
      <name val="Verdana"/>
      <family val="2"/>
    </font>
    <font>
      <sz val="11"/>
      <color theme="10"/>
      <name val="Verdana"/>
      <family val="2"/>
    </font>
    <font>
      <u/>
      <sz val="10"/>
      <name val="Verdana"/>
      <family val="2"/>
    </font>
    <font>
      <sz val="9"/>
      <color rgb="FFFF0000"/>
      <name val="Verdana"/>
      <family val="2"/>
    </font>
    <font>
      <sz val="11.5"/>
      <name val="Verdana"/>
      <family val="2"/>
    </font>
    <font>
      <sz val="11"/>
      <name val="Calibri"/>
      <family val="2"/>
      <scheme val="minor"/>
    </font>
    <font>
      <b/>
      <sz val="12"/>
      <color rgb="FF002855"/>
      <name val="Verdana"/>
      <family val="2"/>
    </font>
    <font>
      <sz val="12"/>
      <color rgb="FF002855"/>
      <name val="Verdana"/>
      <family val="2"/>
    </font>
    <font>
      <sz val="11"/>
      <color theme="10"/>
      <name val="Calibri"/>
      <family val="2"/>
      <scheme val="minor"/>
    </font>
    <font>
      <sz val="11"/>
      <color theme="4"/>
      <name val="Calibri"/>
      <family val="2"/>
      <scheme val="minor"/>
    </font>
    <font>
      <u/>
      <sz val="11"/>
      <color theme="4"/>
      <name val="Verdana"/>
      <family val="2"/>
    </font>
    <font>
      <vertAlign val="superscript"/>
      <sz val="12"/>
      <color theme="4"/>
      <name val="Verdana"/>
      <family val="2"/>
    </font>
    <font>
      <b/>
      <vertAlign val="superscript"/>
      <sz val="12"/>
      <color theme="1"/>
      <name val="Verdana"/>
      <family val="2"/>
    </font>
    <font>
      <b/>
      <vertAlign val="superscript"/>
      <sz val="12"/>
      <name val="Verdana"/>
      <family val="2"/>
    </font>
    <font>
      <b/>
      <sz val="14"/>
      <color theme="4"/>
      <name val="Verdana"/>
      <family val="2"/>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00CC"/>
        <bgColor rgb="FF000000"/>
      </patternFill>
    </fill>
    <fill>
      <patternFill patternType="solid">
        <fgColor theme="0"/>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rgb="FF000000"/>
      </patternFill>
    </fill>
    <fill>
      <patternFill patternType="solid">
        <fgColor rgb="FF0000CC"/>
        <bgColor indexed="64"/>
      </patternFill>
    </fill>
    <fill>
      <patternFill patternType="solid">
        <fgColor rgb="FFD9E2EE"/>
        <bgColor indexed="64"/>
      </patternFill>
    </fill>
    <fill>
      <patternFill patternType="solid">
        <fgColor rgb="FF4F74AE"/>
        <bgColor indexed="64"/>
      </patternFill>
    </fill>
    <fill>
      <patternFill patternType="solid">
        <fgColor rgb="FF9DB3D3"/>
        <bgColor indexed="64"/>
      </patternFill>
    </fill>
    <fill>
      <patternFill patternType="solid">
        <fgColor rgb="FFE3E4E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9.9978637043366805E-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rgb="FFFFC000"/>
        <bgColor rgb="FF000000"/>
      </patternFill>
    </fill>
    <fill>
      <patternFill patternType="solid">
        <fgColor rgb="FF92D050"/>
        <bgColor indexed="64"/>
      </patternFill>
    </fill>
    <fill>
      <patternFill patternType="solid">
        <fgColor theme="2" tint="0.79998168889431442"/>
        <bgColor indexed="64"/>
      </patternFill>
    </fill>
    <fill>
      <patternFill patternType="solid">
        <fgColor theme="6"/>
        <bgColor indexed="64"/>
      </patternFill>
    </fill>
    <fill>
      <patternFill patternType="solid">
        <fgColor theme="7" tint="0.79998168889431442"/>
        <bgColor indexed="64"/>
      </patternFill>
    </fill>
    <fill>
      <patternFill patternType="solid">
        <fgColor theme="4"/>
        <bgColor indexed="64"/>
      </patternFill>
    </fill>
    <fill>
      <patternFill patternType="solid">
        <fgColor rgb="FF1E22AA"/>
        <bgColor indexed="64"/>
      </patternFill>
    </fill>
    <fill>
      <patternFill patternType="solid">
        <fgColor rgb="FF00ACE9"/>
        <bgColor indexed="64"/>
      </patternFill>
    </fill>
    <fill>
      <patternFill patternType="solid">
        <fgColor rgb="FF1E22AA"/>
        <bgColor rgb="FF000000"/>
      </patternFill>
    </fill>
    <fill>
      <patternFill patternType="solid">
        <fgColor theme="9"/>
        <bgColor rgb="FF000000"/>
      </patternFill>
    </fill>
    <fill>
      <patternFill patternType="solid">
        <fgColor rgb="FFE3E3E3"/>
        <bgColor rgb="FF000000"/>
      </patternFill>
    </fill>
    <fill>
      <patternFill patternType="solid">
        <fgColor theme="9"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rgb="FFF2F2F2"/>
        <bgColor rgb="FF000000"/>
      </patternFill>
    </fill>
    <fill>
      <patternFill patternType="darkUp">
        <fgColor theme="0" tint="-0.34998626667073579"/>
        <bgColor theme="0" tint="-4.9989318521683403E-2"/>
      </patternFill>
    </fill>
  </fills>
  <borders count="74">
    <border>
      <left/>
      <right/>
      <top/>
      <bottom/>
      <diagonal/>
    </border>
    <border>
      <left/>
      <right/>
      <top style="hair">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hair">
        <color auto="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style="thin">
        <color theme="9" tint="-0.499984740745262"/>
      </top>
      <bottom/>
      <diagonal/>
    </border>
    <border>
      <left style="thin">
        <color indexed="64"/>
      </left>
      <right style="thin">
        <color indexed="64"/>
      </right>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indexed="64"/>
      </left>
      <right style="thin">
        <color indexed="64"/>
      </right>
      <top style="thin">
        <color indexed="64"/>
      </top>
      <bottom/>
      <diagonal/>
    </border>
    <border>
      <left/>
      <right/>
      <top style="thin">
        <color theme="9" tint="-0.499984740745262"/>
      </top>
      <bottom/>
      <diagonal/>
    </border>
    <border>
      <left/>
      <right/>
      <top/>
      <bottom style="thin">
        <color indexed="64"/>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2"/>
      </left>
      <right style="thin">
        <color theme="2"/>
      </right>
      <top style="thin">
        <color indexed="64"/>
      </top>
      <bottom style="thin">
        <color indexed="64"/>
      </bottom>
      <diagonal/>
    </border>
    <border>
      <left style="thin">
        <color theme="9" tint="-0.249977111117893"/>
      </left>
      <right style="thin">
        <color theme="9" tint="-0.249977111117893"/>
      </right>
      <top style="thin">
        <color indexed="64"/>
      </top>
      <bottom/>
      <diagonal/>
    </border>
    <border>
      <left style="thin">
        <color theme="9" tint="-0.249977111117893"/>
      </left>
      <right/>
      <top style="thin">
        <color indexed="64"/>
      </top>
      <bottom style="thin">
        <color theme="9" tint="-0.249977111117893"/>
      </bottom>
      <diagonal/>
    </border>
    <border>
      <left style="thin">
        <color theme="9" tint="-0.249977111117893"/>
      </left>
      <right/>
      <top style="thin">
        <color indexed="64"/>
      </top>
      <bottom/>
      <diagonal/>
    </border>
    <border>
      <left/>
      <right/>
      <top style="thin">
        <color theme="2" tint="0.79998168889431442"/>
      </top>
      <bottom/>
      <diagonal/>
    </border>
    <border>
      <left/>
      <right style="thin">
        <color theme="2" tint="0.79998168889431442"/>
      </right>
      <top style="thin">
        <color theme="2" tint="0.79998168889431442"/>
      </top>
      <bottom/>
      <diagonal/>
    </border>
    <border>
      <left/>
      <right style="thin">
        <color theme="2" tint="0.79998168889431442"/>
      </right>
      <top/>
      <bottom/>
      <diagonal/>
    </border>
    <border>
      <left/>
      <right/>
      <top/>
      <bottom style="thin">
        <color theme="2" tint="0.79998168889431442"/>
      </bottom>
      <diagonal/>
    </border>
    <border>
      <left/>
      <right style="thin">
        <color theme="2" tint="0.79998168889431442"/>
      </right>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diagonal/>
    </border>
    <border>
      <left style="thin">
        <color theme="2" tint="0.79998168889431442"/>
      </left>
      <right/>
      <top/>
      <bottom/>
      <diagonal/>
    </border>
    <border>
      <left style="thin">
        <color theme="2" tint="0.79998168889431442"/>
      </left>
      <right/>
      <top/>
      <bottom style="thin">
        <color theme="2" tint="0.79998168889431442"/>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style="thin">
        <color theme="9" tint="-0.249977111117893"/>
      </left>
      <right/>
      <top/>
      <bottom style="thin">
        <color theme="9" tint="-0.249977111117893"/>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9" tint="-0.249977111117893"/>
      </left>
      <right style="thin">
        <color theme="9"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style="thin">
        <color theme="0" tint="-0.249977111117893"/>
      </right>
      <top/>
      <bottom style="thin">
        <color theme="9" tint="-0.249977111117893"/>
      </bottom>
      <diagonal/>
    </border>
    <border>
      <left/>
      <right/>
      <top/>
      <bottom style="thin">
        <color theme="9" tint="-0.249977111117893"/>
      </bottom>
      <diagonal/>
    </border>
  </borders>
  <cellStyleXfs count="7">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0" borderId="4" applyNumberFormat="0" applyFill="0" applyProtection="0">
      <alignment horizontal="left" vertical="center" wrapText="1"/>
    </xf>
    <xf numFmtId="0" fontId="5" fillId="9" borderId="0" applyNumberFormat="0" applyProtection="0">
      <alignment horizontal="right" wrapText="1"/>
    </xf>
  </cellStyleXfs>
  <cellXfs count="1748">
    <xf numFmtId="0" fontId="0" fillId="0" borderId="0" xfId="0"/>
    <xf numFmtId="0" fontId="0" fillId="2" borderId="0" xfId="0" applyFill="1"/>
    <xf numFmtId="0" fontId="8" fillId="2" borderId="0" xfId="0" applyFont="1" applyFill="1"/>
    <xf numFmtId="0" fontId="13" fillId="2" borderId="0" xfId="0" applyFont="1" applyFill="1"/>
    <xf numFmtId="0" fontId="15" fillId="5" borderId="0" xfId="0" applyFont="1" applyFill="1" applyAlignment="1">
      <alignment vertical="center"/>
    </xf>
    <xf numFmtId="0" fontId="18" fillId="2" borderId="0" xfId="0" applyFont="1" applyFill="1" applyAlignment="1">
      <alignment horizontal="left" vertical="center"/>
    </xf>
    <xf numFmtId="0" fontId="6" fillId="2" borderId="0" xfId="0" applyFont="1" applyFill="1"/>
    <xf numFmtId="0" fontId="8" fillId="0" borderId="0" xfId="0" applyFont="1"/>
    <xf numFmtId="0" fontId="16" fillId="2" borderId="0" xfId="0" applyFont="1" applyFill="1" applyAlignment="1">
      <alignment horizontal="left" vertical="center"/>
    </xf>
    <xf numFmtId="0" fontId="8" fillId="2" borderId="0" xfId="0" applyFont="1" applyFill="1" applyAlignment="1">
      <alignment wrapText="1"/>
    </xf>
    <xf numFmtId="0" fontId="23" fillId="3" borderId="0" xfId="0" applyFont="1" applyFill="1" applyAlignment="1">
      <alignment wrapText="1"/>
    </xf>
    <xf numFmtId="0" fontId="30" fillId="5" borderId="0" xfId="0" applyFont="1" applyFill="1"/>
    <xf numFmtId="0" fontId="33" fillId="2" borderId="0" xfId="0" applyFont="1" applyFill="1" applyAlignment="1">
      <alignment horizontal="left" vertical="center" indent="1"/>
    </xf>
    <xf numFmtId="0" fontId="34" fillId="5" borderId="0" xfId="0" applyFont="1" applyFill="1" applyAlignment="1">
      <alignment vertical="top" wrapText="1"/>
    </xf>
    <xf numFmtId="0" fontId="35" fillId="5" borderId="0" xfId="0" applyFont="1" applyFill="1" applyAlignment="1">
      <alignment vertical="top" wrapText="1"/>
    </xf>
    <xf numFmtId="0" fontId="36" fillId="5" borderId="0" xfId="0" applyFont="1" applyFill="1" applyAlignment="1">
      <alignment vertical="top"/>
    </xf>
    <xf numFmtId="0" fontId="34" fillId="5" borderId="0" xfId="0" applyFont="1" applyFill="1" applyAlignment="1">
      <alignment horizontal="left" vertical="top" wrapText="1"/>
    </xf>
    <xf numFmtId="0" fontId="39" fillId="5" borderId="0" xfId="0" applyFont="1" applyFill="1" applyAlignment="1">
      <alignment vertical="center"/>
    </xf>
    <xf numFmtId="0" fontId="12" fillId="5" borderId="0" xfId="0" applyFont="1" applyFill="1" applyAlignment="1">
      <alignment vertical="center"/>
    </xf>
    <xf numFmtId="0" fontId="22" fillId="0" borderId="0" xfId="0" applyFont="1"/>
    <xf numFmtId="0" fontId="40" fillId="6" borderId="0" xfId="0" applyFont="1" applyFill="1" applyAlignment="1">
      <alignment horizontal="left"/>
    </xf>
    <xf numFmtId="0" fontId="41" fillId="6" borderId="0" xfId="0" applyFont="1" applyFill="1" applyAlignment="1">
      <alignment horizontal="left"/>
    </xf>
    <xf numFmtId="0" fontId="42" fillId="6" borderId="0" xfId="0" applyFont="1" applyFill="1" applyAlignment="1">
      <alignment horizontal="right"/>
    </xf>
    <xf numFmtId="0" fontId="43" fillId="6" borderId="0" xfId="0" applyFont="1" applyFill="1"/>
    <xf numFmtId="0" fontId="44" fillId="7" borderId="0" xfId="0" applyFont="1" applyFill="1"/>
    <xf numFmtId="0" fontId="45" fillId="7" borderId="0" xfId="0" applyFont="1" applyFill="1" applyAlignment="1">
      <alignment horizontal="right"/>
    </xf>
    <xf numFmtId="0" fontId="35" fillId="7" borderId="0" xfId="0" applyFont="1" applyFill="1" applyAlignment="1">
      <alignment horizontal="right"/>
    </xf>
    <xf numFmtId="0" fontId="35" fillId="7" borderId="0" xfId="0" applyFont="1" applyFill="1" applyAlignment="1">
      <alignment vertical="top" wrapText="1"/>
    </xf>
    <xf numFmtId="0" fontId="47" fillId="5" borderId="0" xfId="0" applyFont="1" applyFill="1" applyAlignment="1">
      <alignment horizontal="center" wrapText="1"/>
    </xf>
    <xf numFmtId="164" fontId="47" fillId="5" borderId="0" xfId="3" applyNumberFormat="1" applyFont="1" applyFill="1" applyAlignment="1">
      <alignment horizontal="center" vertical="center" wrapText="1"/>
    </xf>
    <xf numFmtId="0" fontId="35" fillId="2" borderId="0" xfId="0" applyFont="1" applyFill="1"/>
    <xf numFmtId="0" fontId="45" fillId="2" borderId="0" xfId="0" applyFont="1" applyFill="1" applyAlignment="1">
      <alignment horizontal="right"/>
    </xf>
    <xf numFmtId="0" fontId="35" fillId="2" borderId="0" xfId="0" applyFont="1" applyFill="1" applyAlignment="1">
      <alignment horizontal="right"/>
    </xf>
    <xf numFmtId="0" fontId="35" fillId="5" borderId="0" xfId="0" applyFont="1" applyFill="1" applyAlignment="1">
      <alignment horizontal="right"/>
    </xf>
    <xf numFmtId="164" fontId="35" fillId="5" borderId="0" xfId="3" applyNumberFormat="1" applyFont="1" applyFill="1" applyAlignment="1">
      <alignment horizontal="center" vertical="center" wrapText="1"/>
    </xf>
    <xf numFmtId="0" fontId="38" fillId="5" borderId="0" xfId="0" applyFont="1" applyFill="1" applyAlignment="1">
      <alignment horizontal="center" wrapText="1"/>
    </xf>
    <xf numFmtId="0" fontId="35" fillId="5" borderId="0" xfId="0" applyFont="1" applyFill="1" applyAlignment="1">
      <alignment horizontal="left"/>
    </xf>
    <xf numFmtId="0" fontId="38" fillId="5" borderId="0" xfId="0" applyFont="1" applyFill="1" applyAlignment="1">
      <alignment horizontal="right"/>
    </xf>
    <xf numFmtId="0" fontId="49" fillId="5" borderId="0" xfId="0" applyFont="1" applyFill="1" applyAlignment="1">
      <alignment horizontal="right"/>
    </xf>
    <xf numFmtId="0" fontId="27" fillId="2" borderId="0" xfId="0" applyFont="1" applyFill="1" applyAlignment="1">
      <alignment horizontal="left" vertical="center" indent="1"/>
    </xf>
    <xf numFmtId="0" fontId="45" fillId="5" borderId="0" xfId="0" applyFont="1" applyFill="1" applyAlignment="1">
      <alignment horizontal="right"/>
    </xf>
    <xf numFmtId="0" fontId="50" fillId="6" borderId="0" xfId="0" applyFont="1" applyFill="1" applyAlignment="1">
      <alignment horizontal="left"/>
    </xf>
    <xf numFmtId="0" fontId="8" fillId="2" borderId="1" xfId="0" applyFont="1" applyFill="1" applyBorder="1"/>
    <xf numFmtId="0" fontId="7" fillId="2" borderId="1" xfId="0" applyFont="1" applyFill="1" applyBorder="1"/>
    <xf numFmtId="0" fontId="10" fillId="2" borderId="1" xfId="2" applyNumberFormat="1" applyFont="1" applyFill="1" applyBorder="1" applyAlignment="1">
      <alignment horizontal="right"/>
    </xf>
    <xf numFmtId="0" fontId="10" fillId="2" borderId="1" xfId="0" applyFont="1" applyFill="1" applyBorder="1" applyAlignment="1">
      <alignment horizontal="right"/>
    </xf>
    <xf numFmtId="164" fontId="8" fillId="2" borderId="0" xfId="3" applyNumberFormat="1" applyFont="1" applyFill="1"/>
    <xf numFmtId="0" fontId="52" fillId="2" borderId="0" xfId="0" applyFont="1" applyFill="1"/>
    <xf numFmtId="0" fontId="10" fillId="2" borderId="0" xfId="0" applyFont="1" applyFill="1"/>
    <xf numFmtId="171" fontId="8" fillId="2" borderId="0" xfId="0" applyNumberFormat="1" applyFont="1" applyFill="1"/>
    <xf numFmtId="0" fontId="54" fillId="2" borderId="0" xfId="0" applyFont="1" applyFill="1"/>
    <xf numFmtId="168" fontId="10" fillId="2" borderId="0" xfId="2" applyNumberFormat="1" applyFont="1" applyFill="1" applyAlignment="1">
      <alignment horizontal="right"/>
    </xf>
    <xf numFmtId="0" fontId="7" fillId="2" borderId="0" xfId="0" applyFont="1" applyFill="1"/>
    <xf numFmtId="164" fontId="47" fillId="5" borderId="0" xfId="0" applyNumberFormat="1" applyFont="1" applyFill="1" applyAlignment="1">
      <alignment horizontal="center" vertical="center" wrapText="1"/>
    </xf>
    <xf numFmtId="166" fontId="10" fillId="2" borderId="0" xfId="2" applyNumberFormat="1" applyFont="1" applyFill="1" applyBorder="1" applyAlignment="1">
      <alignment horizontal="right"/>
    </xf>
    <xf numFmtId="166" fontId="7" fillId="2" borderId="0" xfId="2" applyNumberFormat="1" applyFont="1" applyFill="1" applyBorder="1" applyAlignment="1">
      <alignment horizontal="right"/>
    </xf>
    <xf numFmtId="164" fontId="8" fillId="2" borderId="0" xfId="3" applyNumberFormat="1" applyFont="1" applyFill="1" applyBorder="1"/>
    <xf numFmtId="168" fontId="10" fillId="2" borderId="0" xfId="2" applyNumberFormat="1" applyFont="1" applyFill="1" applyBorder="1" applyAlignment="1">
      <alignment horizontal="right"/>
    </xf>
    <xf numFmtId="0" fontId="8" fillId="2" borderId="0" xfId="0" applyFont="1" applyFill="1" applyAlignment="1">
      <alignment vertical="center"/>
    </xf>
    <xf numFmtId="0" fontId="7" fillId="2" borderId="0" xfId="0" applyFont="1" applyFill="1" applyAlignment="1">
      <alignment vertical="center"/>
    </xf>
    <xf numFmtId="0" fontId="61" fillId="2" borderId="0" xfId="0" applyFont="1" applyFill="1"/>
    <xf numFmtId="0" fontId="8" fillId="2" borderId="0" xfId="0" applyFont="1" applyFill="1" applyAlignment="1">
      <alignment horizontal="left" vertical="center" wrapText="1"/>
    </xf>
    <xf numFmtId="0" fontId="62" fillId="5" borderId="0" xfId="0" applyFont="1" applyFill="1"/>
    <xf numFmtId="0" fontId="6" fillId="2" borderId="0" xfId="0" applyFont="1" applyFill="1" applyAlignment="1">
      <alignment wrapText="1"/>
    </xf>
    <xf numFmtId="0" fontId="13" fillId="2" borderId="0" xfId="0" applyFont="1" applyFill="1" applyAlignment="1">
      <alignment vertical="center" wrapText="1"/>
    </xf>
    <xf numFmtId="0" fontId="59" fillId="5" borderId="0" xfId="0" applyFont="1" applyFill="1" applyAlignment="1">
      <alignment vertical="top"/>
    </xf>
    <xf numFmtId="0" fontId="32" fillId="2" borderId="0" xfId="0" applyFont="1" applyFill="1" applyAlignment="1">
      <alignment vertical="center" wrapText="1"/>
    </xf>
    <xf numFmtId="1" fontId="47" fillId="5" borderId="0" xfId="3" applyNumberFormat="1" applyFont="1" applyFill="1" applyAlignment="1">
      <alignment horizontal="center" vertical="center" wrapText="1"/>
    </xf>
    <xf numFmtId="9" fontId="47" fillId="5" borderId="0" xfId="3" applyFont="1" applyFill="1" applyAlignment="1">
      <alignment horizontal="center" vertical="center" wrapText="1"/>
    </xf>
    <xf numFmtId="9" fontId="35" fillId="5" borderId="0" xfId="3" applyFont="1" applyFill="1" applyAlignment="1">
      <alignment horizontal="right"/>
    </xf>
    <xf numFmtId="9" fontId="49" fillId="5" borderId="0" xfId="3" applyFont="1" applyFill="1" applyAlignment="1">
      <alignment horizontal="right"/>
    </xf>
    <xf numFmtId="9" fontId="8" fillId="2" borderId="0" xfId="3" applyFont="1" applyFill="1" applyAlignment="1">
      <alignment horizontal="left" vertical="center" wrapText="1"/>
    </xf>
    <xf numFmtId="0" fontId="21" fillId="2" borderId="0" xfId="0" applyFont="1" applyFill="1"/>
    <xf numFmtId="0" fontId="21" fillId="2" borderId="0" xfId="0" applyFont="1" applyFill="1" applyAlignment="1">
      <alignment horizontal="left" vertical="center" wrapText="1"/>
    </xf>
    <xf numFmtId="0" fontId="8" fillId="17" borderId="0" xfId="0" applyFont="1" applyFill="1"/>
    <xf numFmtId="0" fontId="58" fillId="18" borderId="2" xfId="0" applyFont="1" applyFill="1" applyBorder="1" applyAlignment="1">
      <alignment vertical="center"/>
    </xf>
    <xf numFmtId="0" fontId="58" fillId="18" borderId="2" xfId="0" applyFont="1" applyFill="1" applyBorder="1" applyAlignment="1">
      <alignment horizontal="center" vertical="center"/>
    </xf>
    <xf numFmtId="0" fontId="63" fillId="18" borderId="2" xfId="0" applyFont="1" applyFill="1" applyBorder="1" applyAlignment="1">
      <alignment horizontal="center" vertical="center" wrapText="1"/>
    </xf>
    <xf numFmtId="0" fontId="8" fillId="18" borderId="0" xfId="0" applyFont="1" applyFill="1" applyAlignment="1">
      <alignment wrapText="1"/>
    </xf>
    <xf numFmtId="0" fontId="58" fillId="18" borderId="0" xfId="0" applyFont="1" applyFill="1" applyAlignment="1">
      <alignment vertical="center" wrapText="1"/>
    </xf>
    <xf numFmtId="0" fontId="8" fillId="18" borderId="0" xfId="0" applyFont="1" applyFill="1" applyAlignment="1">
      <alignment horizontal="left" vertical="center" wrapText="1"/>
    </xf>
    <xf numFmtId="0" fontId="8" fillId="18" borderId="0" xfId="0" applyFont="1" applyFill="1"/>
    <xf numFmtId="0" fontId="10" fillId="18" borderId="5" xfId="0" applyFont="1" applyFill="1" applyBorder="1" applyAlignment="1">
      <alignment vertical="center"/>
    </xf>
    <xf numFmtId="0" fontId="58" fillId="18" borderId="2" xfId="0" applyFont="1" applyFill="1" applyBorder="1" applyAlignment="1">
      <alignment horizontal="center" vertical="center" wrapText="1"/>
    </xf>
    <xf numFmtId="0" fontId="8" fillId="18" borderId="2" xfId="0" applyFont="1" applyFill="1" applyBorder="1" applyAlignment="1">
      <alignment horizontal="left" indent="2"/>
    </xf>
    <xf numFmtId="0" fontId="8" fillId="18" borderId="2" xfId="0" applyFont="1" applyFill="1" applyBorder="1" applyAlignment="1">
      <alignment horizontal="center" vertical="center" wrapText="1"/>
    </xf>
    <xf numFmtId="0" fontId="8" fillId="18" borderId="2" xfId="0" applyFont="1" applyFill="1" applyBorder="1" applyAlignment="1">
      <alignment horizontal="left" wrapText="1" indent="2"/>
    </xf>
    <xf numFmtId="0" fontId="10" fillId="18" borderId="2" xfId="0" applyFont="1" applyFill="1" applyBorder="1" applyAlignment="1">
      <alignment vertical="center"/>
    </xf>
    <xf numFmtId="0" fontId="21" fillId="18" borderId="2" xfId="0" applyFont="1" applyFill="1" applyBorder="1" applyAlignment="1">
      <alignment wrapText="1"/>
    </xf>
    <xf numFmtId="166" fontId="8" fillId="2" borderId="0" xfId="0" applyNumberFormat="1" applyFont="1" applyFill="1"/>
    <xf numFmtId="9" fontId="8" fillId="2" borderId="0" xfId="3" applyFont="1" applyFill="1" applyAlignment="1">
      <alignment vertical="center"/>
    </xf>
    <xf numFmtId="0" fontId="8" fillId="2" borderId="0" xfId="0" applyFont="1" applyFill="1" applyAlignment="1">
      <alignment vertical="center" wrapText="1"/>
    </xf>
    <xf numFmtId="0" fontId="25" fillId="2" borderId="0" xfId="0" applyFont="1" applyFill="1" applyAlignment="1">
      <alignment horizontal="left" vertical="center" wrapText="1"/>
    </xf>
    <xf numFmtId="9" fontId="25" fillId="2" borderId="0" xfId="0" applyNumberFormat="1" applyFont="1" applyFill="1" applyAlignment="1">
      <alignment horizontal="left" vertical="center" wrapText="1"/>
    </xf>
    <xf numFmtId="9" fontId="25" fillId="2" borderId="0" xfId="0" applyNumberFormat="1" applyFont="1" applyFill="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1" fontId="8" fillId="2" borderId="0" xfId="0" applyNumberFormat="1" applyFont="1" applyFill="1" applyAlignment="1">
      <alignment horizontal="center"/>
    </xf>
    <xf numFmtId="0" fontId="39" fillId="5" borderId="0" xfId="0" applyFont="1" applyFill="1" applyAlignment="1">
      <alignment vertical="center" wrapText="1"/>
    </xf>
    <xf numFmtId="0" fontId="27" fillId="2" borderId="0" xfId="0" applyFont="1" applyFill="1" applyAlignment="1">
      <alignment horizontal="left" vertical="center" wrapText="1"/>
    </xf>
    <xf numFmtId="0" fontId="34" fillId="5" borderId="0" xfId="0" applyFont="1" applyFill="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xf>
    <xf numFmtId="0" fontId="36" fillId="5" borderId="0" xfId="0" applyFont="1" applyFill="1" applyAlignment="1">
      <alignment vertical="center" wrapText="1"/>
    </xf>
    <xf numFmtId="0" fontId="34" fillId="5" borderId="0" xfId="0" applyFont="1" applyFill="1" applyAlignment="1">
      <alignment horizontal="left" vertical="center" wrapText="1"/>
    </xf>
    <xf numFmtId="0" fontId="22" fillId="0" borderId="0" xfId="0" applyFont="1" applyAlignment="1">
      <alignment vertical="center"/>
    </xf>
    <xf numFmtId="0" fontId="40" fillId="6" borderId="0" xfId="0" applyFont="1" applyFill="1" applyAlignment="1">
      <alignment horizontal="left" vertical="center"/>
    </xf>
    <xf numFmtId="0" fontId="41" fillId="6" borderId="0" xfId="0" applyFont="1" applyFill="1" applyAlignment="1">
      <alignment horizontal="left" vertical="center" wrapText="1"/>
    </xf>
    <xf numFmtId="0" fontId="42" fillId="6" borderId="0" xfId="0" applyFont="1" applyFill="1" applyAlignment="1">
      <alignment horizontal="right" vertical="center"/>
    </xf>
    <xf numFmtId="0" fontId="43" fillId="6" borderId="0" xfId="0" applyFont="1" applyFill="1" applyAlignment="1">
      <alignment vertical="center"/>
    </xf>
    <xf numFmtId="0" fontId="44" fillId="7" borderId="0" xfId="0" applyFont="1" applyFill="1" applyAlignment="1">
      <alignment vertical="center" wrapText="1"/>
    </xf>
    <xf numFmtId="0" fontId="45" fillId="7" borderId="0" xfId="0" applyFont="1" applyFill="1" applyAlignment="1">
      <alignment horizontal="right" vertical="center"/>
    </xf>
    <xf numFmtId="0" fontId="35" fillId="7" borderId="0" xfId="0" applyFont="1" applyFill="1" applyAlignment="1">
      <alignment horizontal="right" vertical="center"/>
    </xf>
    <xf numFmtId="0" fontId="35" fillId="7" borderId="0" xfId="0" applyFont="1" applyFill="1" applyAlignment="1">
      <alignment vertical="center" wrapText="1"/>
    </xf>
    <xf numFmtId="0" fontId="35" fillId="2" borderId="0" xfId="0" applyFont="1" applyFill="1" applyAlignment="1">
      <alignment vertical="center"/>
    </xf>
    <xf numFmtId="0" fontId="35" fillId="2" borderId="0" xfId="0" applyFont="1" applyFill="1" applyAlignment="1">
      <alignment vertical="center" wrapText="1"/>
    </xf>
    <xf numFmtId="0" fontId="45" fillId="2" borderId="0" xfId="0" applyFont="1" applyFill="1" applyAlignment="1">
      <alignment horizontal="right" vertical="center"/>
    </xf>
    <xf numFmtId="0" fontId="35" fillId="5" borderId="0" xfId="0" applyFont="1" applyFill="1" applyAlignment="1">
      <alignment horizontal="right" vertical="center"/>
    </xf>
    <xf numFmtId="0" fontId="75" fillId="5" borderId="0" xfId="0" applyFont="1" applyFill="1" applyAlignment="1">
      <alignment vertical="center"/>
    </xf>
    <xf numFmtId="0" fontId="30" fillId="5" borderId="0" xfId="0" applyFont="1" applyFill="1" applyAlignment="1">
      <alignment vertical="center" wrapText="1"/>
    </xf>
    <xf numFmtId="0" fontId="30" fillId="5" borderId="0" xfId="0" applyFont="1" applyFill="1" applyAlignment="1">
      <alignment vertical="center"/>
    </xf>
    <xf numFmtId="0" fontId="49" fillId="5" borderId="0" xfId="0" applyFont="1" applyFill="1" applyAlignment="1">
      <alignment horizontal="right" vertical="center"/>
    </xf>
    <xf numFmtId="0" fontId="45" fillId="5" borderId="0" xfId="0" applyFont="1" applyFill="1" applyAlignment="1">
      <alignment horizontal="right" vertical="center"/>
    </xf>
    <xf numFmtId="0" fontId="50" fillId="6" borderId="0" xfId="0" applyFont="1" applyFill="1" applyAlignment="1">
      <alignment horizontal="left" vertical="center"/>
    </xf>
    <xf numFmtId="0" fontId="43" fillId="7" borderId="0" xfId="0" applyFont="1" applyFill="1" applyAlignment="1">
      <alignment vertical="center"/>
    </xf>
    <xf numFmtId="0" fontId="8" fillId="2" borderId="1" xfId="0" applyFont="1" applyFill="1" applyBorder="1" applyAlignment="1">
      <alignment vertical="center"/>
    </xf>
    <xf numFmtId="0" fontId="7" fillId="2" borderId="1" xfId="0" applyFont="1" applyFill="1" applyBorder="1" applyAlignment="1">
      <alignment vertical="center" wrapText="1"/>
    </xf>
    <xf numFmtId="0" fontId="10" fillId="2" borderId="1" xfId="2" applyNumberFormat="1" applyFont="1" applyFill="1" applyBorder="1" applyAlignment="1">
      <alignment horizontal="right" vertical="center"/>
    </xf>
    <xf numFmtId="0" fontId="10" fillId="2" borderId="1" xfId="0" applyFont="1" applyFill="1" applyBorder="1" applyAlignment="1">
      <alignment horizontal="right" vertical="center"/>
    </xf>
    <xf numFmtId="166" fontId="8"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166" fontId="21" fillId="2" borderId="0" xfId="2" applyNumberFormat="1" applyFont="1" applyFill="1" applyBorder="1" applyAlignment="1">
      <alignment horizontal="right" vertical="center"/>
    </xf>
    <xf numFmtId="166" fontId="8" fillId="2" borderId="0" xfId="2" applyNumberFormat="1" applyFont="1" applyFill="1" applyBorder="1" applyAlignment="1">
      <alignment horizontal="right" vertical="center"/>
    </xf>
    <xf numFmtId="164" fontId="8" fillId="2" borderId="0" xfId="3" applyNumberFormat="1" applyFont="1" applyFill="1" applyBorder="1" applyAlignment="1">
      <alignment vertical="center"/>
    </xf>
    <xf numFmtId="164" fontId="8" fillId="2" borderId="0" xfId="3" applyNumberFormat="1" applyFont="1" applyFill="1" applyAlignment="1">
      <alignment vertical="center"/>
    </xf>
    <xf numFmtId="0" fontId="52" fillId="2" borderId="0" xfId="0" applyFont="1" applyFill="1" applyAlignment="1">
      <alignment vertical="center"/>
    </xf>
    <xf numFmtId="0" fontId="10" fillId="2" borderId="0" xfId="0" applyFont="1" applyFill="1" applyAlignment="1">
      <alignment vertical="center" wrapText="1"/>
    </xf>
    <xf numFmtId="166" fontId="10" fillId="2" borderId="0" xfId="2" applyNumberFormat="1" applyFont="1" applyFill="1" applyAlignment="1">
      <alignment horizontal="right" vertical="center"/>
    </xf>
    <xf numFmtId="166" fontId="7" fillId="2" borderId="0" xfId="2" applyNumberFormat="1" applyFont="1" applyFill="1" applyAlignment="1">
      <alignment horizontal="right" vertical="center"/>
    </xf>
    <xf numFmtId="0" fontId="54" fillId="2" borderId="0" xfId="0" applyFont="1" applyFill="1" applyAlignment="1">
      <alignment vertical="center" wrapText="1"/>
    </xf>
    <xf numFmtId="0" fontId="54" fillId="2" borderId="0" xfId="0" applyFont="1" applyFill="1" applyAlignment="1">
      <alignment vertical="center"/>
    </xf>
    <xf numFmtId="168" fontId="10" fillId="2" borderId="0" xfId="2" applyNumberFormat="1" applyFont="1" applyFill="1" applyAlignment="1">
      <alignment horizontal="right" vertical="center"/>
    </xf>
    <xf numFmtId="0" fontId="7" fillId="2" borderId="0" xfId="0" applyFont="1" applyFill="1" applyAlignment="1">
      <alignment vertical="center" wrapText="1"/>
    </xf>
    <xf numFmtId="9" fontId="10" fillId="2" borderId="0" xfId="3" applyFont="1" applyFill="1" applyAlignment="1">
      <alignment horizontal="left" vertical="center"/>
    </xf>
    <xf numFmtId="9" fontId="7" fillId="2" borderId="0" xfId="3" applyFont="1" applyFill="1" applyAlignment="1">
      <alignment vertical="center"/>
    </xf>
    <xf numFmtId="0" fontId="68" fillId="5" borderId="0" xfId="0" applyFont="1" applyFill="1" applyAlignment="1">
      <alignment vertical="center"/>
    </xf>
    <xf numFmtId="0" fontId="77" fillId="5" borderId="0" xfId="0" applyFont="1" applyFill="1" applyAlignment="1">
      <alignment vertical="center"/>
    </xf>
    <xf numFmtId="0" fontId="0" fillId="0" borderId="7" xfId="0" applyBorder="1" applyAlignment="1">
      <alignment vertical="center"/>
    </xf>
    <xf numFmtId="0" fontId="7" fillId="5" borderId="7" xfId="0" applyFont="1" applyFill="1" applyBorder="1" applyAlignment="1">
      <alignment vertical="center" wrapText="1"/>
    </xf>
    <xf numFmtId="3" fontId="7" fillId="5" borderId="7" xfId="0" applyNumberFormat="1" applyFont="1" applyFill="1" applyBorder="1" applyAlignment="1">
      <alignment horizontal="right" vertical="center"/>
    </xf>
    <xf numFmtId="0" fontId="76" fillId="0" borderId="7" xfId="0" applyFont="1" applyBorder="1" applyAlignment="1">
      <alignment vertical="center"/>
    </xf>
    <xf numFmtId="0" fontId="10" fillId="5" borderId="7" xfId="0" applyFont="1" applyFill="1" applyBorder="1" applyAlignment="1">
      <alignment vertical="center" wrapText="1"/>
    </xf>
    <xf numFmtId="0" fontId="46" fillId="22" borderId="7" xfId="0" applyFont="1" applyFill="1" applyBorder="1" applyAlignment="1">
      <alignment horizontal="left"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3" fontId="22" fillId="2" borderId="7" xfId="0" applyNumberFormat="1" applyFont="1" applyFill="1" applyBorder="1" applyAlignment="1">
      <alignment horizontal="right" vertical="center" wrapText="1"/>
    </xf>
    <xf numFmtId="0" fontId="29" fillId="0" borderId="7" xfId="0" applyFont="1" applyBorder="1" applyAlignment="1">
      <alignment vertical="center" wrapText="1"/>
    </xf>
    <xf numFmtId="3" fontId="29" fillId="2" borderId="7" xfId="0" applyNumberFormat="1" applyFont="1" applyFill="1" applyBorder="1" applyAlignment="1">
      <alignment horizontal="right" vertical="center" wrapText="1"/>
    </xf>
    <xf numFmtId="0" fontId="7" fillId="21" borderId="7" xfId="0" applyFont="1" applyFill="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0" fontId="21" fillId="4" borderId="7" xfId="0" applyFont="1" applyFill="1" applyBorder="1" applyAlignment="1">
      <alignment vertical="center"/>
    </xf>
    <xf numFmtId="0" fontId="21" fillId="4" borderId="7" xfId="0" applyFont="1" applyFill="1" applyBorder="1" applyAlignment="1">
      <alignment vertical="center" wrapText="1"/>
    </xf>
    <xf numFmtId="166" fontId="21" fillId="4" borderId="7" xfId="2" applyNumberFormat="1" applyFont="1" applyFill="1" applyBorder="1" applyAlignment="1">
      <alignment horizontal="righ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8" fillId="2" borderId="7" xfId="0" applyFont="1" applyFill="1" applyBorder="1" applyAlignment="1">
      <alignment vertical="center"/>
    </xf>
    <xf numFmtId="3" fontId="10" fillId="0" borderId="7" xfId="0" applyNumberFormat="1" applyFont="1" applyBorder="1" applyAlignment="1">
      <alignment vertical="center"/>
    </xf>
    <xf numFmtId="166" fontId="10" fillId="2" borderId="7" xfId="2" applyNumberFormat="1" applyFont="1" applyFill="1" applyBorder="1" applyAlignment="1">
      <alignment horizontal="right" vertical="center"/>
    </xf>
    <xf numFmtId="3" fontId="21" fillId="0" borderId="7" xfId="0" applyNumberFormat="1" applyFont="1" applyBorder="1" applyAlignment="1">
      <alignment vertical="center"/>
    </xf>
    <xf numFmtId="167" fontId="8" fillId="2" borderId="7" xfId="2" applyNumberFormat="1" applyFont="1" applyFill="1" applyBorder="1" applyAlignment="1">
      <alignment horizontal="right" vertical="center"/>
    </xf>
    <xf numFmtId="166" fontId="8" fillId="2" borderId="7" xfId="2" applyNumberFormat="1" applyFont="1" applyFill="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wrapText="1"/>
    </xf>
    <xf numFmtId="0" fontId="21" fillId="2" borderId="7" xfId="0" applyFont="1" applyFill="1" applyBorder="1" applyAlignment="1">
      <alignment vertical="center"/>
    </xf>
    <xf numFmtId="166" fontId="21" fillId="2" borderId="7" xfId="2" applyNumberFormat="1" applyFont="1" applyFill="1" applyBorder="1" applyAlignment="1">
      <alignment horizontal="right" vertical="center"/>
    </xf>
    <xf numFmtId="166" fontId="10" fillId="0" borderId="7" xfId="2" applyNumberFormat="1" applyFont="1" applyBorder="1" applyAlignment="1">
      <alignment horizontal="right" vertical="center"/>
    </xf>
    <xf numFmtId="166" fontId="21" fillId="0" borderId="7" xfId="2" applyNumberFormat="1" applyFont="1" applyBorder="1" applyAlignment="1">
      <alignment horizontal="right" vertical="center"/>
    </xf>
    <xf numFmtId="0" fontId="21" fillId="0" borderId="7" xfId="0" applyFont="1" applyBorder="1" applyAlignment="1">
      <alignment vertical="center" wrapText="1"/>
    </xf>
    <xf numFmtId="9" fontId="21" fillId="4" borderId="7" xfId="3" applyFont="1" applyFill="1" applyBorder="1" applyAlignment="1">
      <alignment horizontal="right" vertical="center"/>
    </xf>
    <xf numFmtId="0" fontId="29" fillId="2" borderId="7" xfId="0" applyFont="1" applyFill="1" applyBorder="1" applyAlignment="1">
      <alignment vertical="center"/>
    </xf>
    <xf numFmtId="0" fontId="29" fillId="2" borderId="7" xfId="0" applyFont="1" applyFill="1" applyBorder="1" applyAlignment="1">
      <alignment vertical="center" wrapText="1"/>
    </xf>
    <xf numFmtId="0" fontId="29" fillId="0" borderId="7" xfId="0" applyFont="1" applyBorder="1" applyAlignment="1">
      <alignment vertical="center"/>
    </xf>
    <xf numFmtId="9" fontId="21" fillId="0" borderId="7" xfId="3" applyFont="1" applyBorder="1" applyAlignment="1">
      <alignment vertical="center"/>
    </xf>
    <xf numFmtId="0" fontId="72" fillId="4" borderId="7" xfId="0" applyFont="1" applyFill="1" applyBorder="1" applyAlignment="1">
      <alignment vertical="center"/>
    </xf>
    <xf numFmtId="0" fontId="8" fillId="0" borderId="7" xfId="0" applyFont="1" applyBorder="1" applyAlignment="1">
      <alignment vertical="center" wrapText="1"/>
    </xf>
    <xf numFmtId="0" fontId="7" fillId="0" borderId="7" xfId="0" applyFont="1" applyBorder="1" applyAlignment="1">
      <alignment vertical="center"/>
    </xf>
    <xf numFmtId="3" fontId="8" fillId="0" borderId="7" xfId="0" applyNumberFormat="1" applyFont="1" applyBorder="1" applyAlignment="1">
      <alignment horizontal="right" vertical="center" wrapText="1"/>
    </xf>
    <xf numFmtId="166" fontId="7" fillId="0" borderId="7" xfId="2" applyNumberFormat="1" applyFont="1" applyBorder="1" applyAlignment="1">
      <alignment horizontal="right" vertical="center"/>
    </xf>
    <xf numFmtId="3" fontId="7" fillId="0" borderId="7" xfId="0" applyNumberFormat="1" applyFont="1" applyBorder="1" applyAlignment="1">
      <alignment horizontal="right" vertical="center" wrapText="1"/>
    </xf>
    <xf numFmtId="0" fontId="52" fillId="0" borderId="7" xfId="0" applyFont="1" applyBorder="1" applyAlignment="1">
      <alignment vertical="center"/>
    </xf>
    <xf numFmtId="0" fontId="10" fillId="0" borderId="7" xfId="0" applyFont="1" applyBorder="1" applyAlignment="1">
      <alignment vertical="center"/>
    </xf>
    <xf numFmtId="3" fontId="21" fillId="0" borderId="7" xfId="0" applyNumberFormat="1" applyFont="1" applyBorder="1" applyAlignment="1">
      <alignment horizontal="right" vertical="center" wrapText="1"/>
    </xf>
    <xf numFmtId="0" fontId="52" fillId="0" borderId="7" xfId="0" applyFont="1" applyBorder="1" applyAlignment="1">
      <alignment vertical="center" wrapText="1"/>
    </xf>
    <xf numFmtId="0" fontId="8" fillId="0" borderId="7" xfId="0" applyFont="1" applyBorder="1" applyAlignment="1">
      <alignment vertical="center"/>
    </xf>
    <xf numFmtId="166" fontId="22" fillId="0" borderId="7" xfId="2" applyNumberFormat="1" applyFont="1" applyBorder="1" applyAlignment="1">
      <alignment horizontal="right" vertical="center"/>
    </xf>
    <xf numFmtId="164" fontId="7" fillId="0" borderId="7" xfId="2" applyNumberFormat="1" applyFont="1" applyBorder="1" applyAlignment="1">
      <alignment horizontal="right" vertical="center"/>
    </xf>
    <xf numFmtId="0" fontId="7" fillId="2" borderId="7" xfId="0" applyFont="1" applyFill="1" applyBorder="1" applyAlignment="1">
      <alignment vertical="center"/>
    </xf>
    <xf numFmtId="0" fontId="71" fillId="0" borderId="7" xfId="0" applyFont="1" applyBorder="1" applyAlignment="1">
      <alignment vertical="center"/>
    </xf>
    <xf numFmtId="0" fontId="8" fillId="2" borderId="7" xfId="0" applyFont="1" applyFill="1" applyBorder="1" applyAlignment="1">
      <alignment vertical="center" wrapText="1"/>
    </xf>
    <xf numFmtId="166" fontId="7" fillId="0" borderId="7" xfId="2" applyNumberFormat="1" applyFont="1" applyFill="1" applyBorder="1" applyAlignment="1">
      <alignment horizontal="right" vertical="center"/>
    </xf>
    <xf numFmtId="1" fontId="22" fillId="0" borderId="7" xfId="2" applyNumberFormat="1" applyFont="1" applyFill="1" applyBorder="1" applyAlignment="1">
      <alignment horizontal="right" vertical="center"/>
    </xf>
    <xf numFmtId="0" fontId="78" fillId="0" borderId="7" xfId="0" applyFont="1" applyBorder="1" applyAlignment="1">
      <alignment vertical="center"/>
    </xf>
    <xf numFmtId="166" fontId="10" fillId="0" borderId="7" xfId="2" applyNumberFormat="1" applyFont="1" applyFill="1" applyBorder="1" applyAlignment="1">
      <alignment horizontal="right" vertical="center"/>
    </xf>
    <xf numFmtId="170" fontId="7" fillId="0" borderId="7" xfId="0" applyNumberFormat="1" applyFont="1" applyBorder="1" applyAlignment="1">
      <alignment vertical="center"/>
    </xf>
    <xf numFmtId="1" fontId="7" fillId="0" borderId="7" xfId="2" applyNumberFormat="1" applyFont="1" applyFill="1" applyBorder="1" applyAlignment="1">
      <alignment horizontal="right" vertical="center"/>
    </xf>
    <xf numFmtId="0" fontId="7" fillId="5" borderId="7" xfId="0" applyFont="1" applyFill="1" applyBorder="1" applyAlignment="1">
      <alignment horizontal="center" vertical="center"/>
    </xf>
    <xf numFmtId="0" fontId="6" fillId="2" borderId="7" xfId="0" applyFont="1" applyFill="1" applyBorder="1" applyAlignment="1">
      <alignment vertical="center" wrapText="1"/>
    </xf>
    <xf numFmtId="0" fontId="7" fillId="5" borderId="7" xfId="0" applyFont="1" applyFill="1" applyBorder="1" applyAlignment="1">
      <alignment vertical="center"/>
    </xf>
    <xf numFmtId="0" fontId="7" fillId="5" borderId="7" xfId="0"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7" xfId="0" applyFont="1" applyFill="1" applyBorder="1" applyAlignment="1">
      <alignment vertical="center"/>
    </xf>
    <xf numFmtId="166" fontId="7" fillId="7" borderId="7" xfId="2" applyNumberFormat="1" applyFont="1" applyFill="1" applyBorder="1" applyAlignment="1">
      <alignment horizontal="right" vertical="center"/>
    </xf>
    <xf numFmtId="0" fontId="22" fillId="0" borderId="7" xfId="0" applyFont="1" applyBorder="1" applyAlignment="1">
      <alignment vertical="center"/>
    </xf>
    <xf numFmtId="165" fontId="22" fillId="0" borderId="7" xfId="0" applyNumberFormat="1" applyFont="1" applyBorder="1" applyAlignment="1">
      <alignment horizontal="right" vertical="center"/>
    </xf>
    <xf numFmtId="169" fontId="20" fillId="0" borderId="7"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3" fontId="7" fillId="0" borderId="7" xfId="0" applyNumberFormat="1" applyFont="1" applyBorder="1" applyAlignment="1">
      <alignment vertical="center"/>
    </xf>
    <xf numFmtId="0" fontId="7" fillId="0" borderId="7" xfId="0" applyFont="1" applyBorder="1" applyAlignment="1">
      <alignment horizontal="left" vertical="center"/>
    </xf>
    <xf numFmtId="10" fontId="7" fillId="0" borderId="7" xfId="0" applyNumberFormat="1" applyFont="1" applyBorder="1" applyAlignment="1">
      <alignment vertical="center"/>
    </xf>
    <xf numFmtId="0" fontId="10" fillId="4" borderId="7" xfId="0" applyFont="1" applyFill="1" applyBorder="1" applyAlignment="1">
      <alignment vertical="center"/>
    </xf>
    <xf numFmtId="0" fontId="10" fillId="4" borderId="7" xfId="0" applyFont="1" applyFill="1" applyBorder="1" applyAlignment="1">
      <alignment vertical="center" wrapText="1"/>
    </xf>
    <xf numFmtId="0" fontId="52" fillId="10" borderId="7" xfId="0" applyFont="1" applyFill="1" applyBorder="1" applyAlignment="1">
      <alignment horizontal="center" vertical="center" wrapText="1"/>
    </xf>
    <xf numFmtId="0" fontId="81" fillId="10" borderId="7" xfId="0" applyFont="1" applyFill="1" applyBorder="1" applyAlignment="1">
      <alignment horizontal="center" vertical="center"/>
    </xf>
    <xf numFmtId="0" fontId="81" fillId="10" borderId="7" xfId="0" applyFont="1" applyFill="1" applyBorder="1" applyAlignment="1">
      <alignment horizontal="center" vertical="center" wrapText="1"/>
    </xf>
    <xf numFmtId="0" fontId="84" fillId="22" borderId="7" xfId="0" applyFont="1" applyFill="1" applyBorder="1" applyAlignment="1">
      <alignment horizontal="left" vertical="center" wrapText="1"/>
    </xf>
    <xf numFmtId="0" fontId="52" fillId="22" borderId="7" xfId="0" applyFont="1" applyFill="1" applyBorder="1" applyAlignment="1">
      <alignment horizontal="center" vertical="center" wrapText="1"/>
    </xf>
    <xf numFmtId="0" fontId="52" fillId="22" borderId="7" xfId="0" applyFont="1" applyFill="1" applyBorder="1" applyAlignment="1">
      <alignment horizontal="right" vertical="center" wrapText="1"/>
    </xf>
    <xf numFmtId="0" fontId="81" fillId="22" borderId="7" xfId="0" applyFont="1" applyFill="1" applyBorder="1" applyAlignment="1">
      <alignment horizontal="right" vertical="center"/>
    </xf>
    <xf numFmtId="0" fontId="10" fillId="0" borderId="7" xfId="0" applyFont="1" applyBorder="1" applyAlignment="1">
      <alignment vertical="center" wrapText="1"/>
    </xf>
    <xf numFmtId="3" fontId="10" fillId="0" borderId="7" xfId="0" applyNumberFormat="1" applyFont="1" applyBorder="1" applyAlignment="1">
      <alignment vertical="center" wrapText="1"/>
    </xf>
    <xf numFmtId="3" fontId="10" fillId="5" borderId="7" xfId="0" applyNumberFormat="1" applyFont="1" applyFill="1" applyBorder="1" applyAlignment="1">
      <alignment horizontal="right" vertical="center"/>
    </xf>
    <xf numFmtId="0" fontId="10" fillId="5" borderId="7" xfId="0" applyFont="1" applyFill="1" applyBorder="1" applyAlignment="1">
      <alignment horizontal="right" vertical="center"/>
    </xf>
    <xf numFmtId="171" fontId="10" fillId="5" borderId="7" xfId="0" applyNumberFormat="1" applyFont="1" applyFill="1" applyBorder="1" applyAlignment="1">
      <alignment horizontal="right" vertical="center"/>
    </xf>
    <xf numFmtId="3" fontId="10" fillId="4" borderId="7" xfId="0" applyNumberFormat="1" applyFont="1" applyFill="1" applyBorder="1" applyAlignment="1">
      <alignment horizontal="right" vertical="center"/>
    </xf>
    <xf numFmtId="0" fontId="10" fillId="4" borderId="7" xfId="0" applyFont="1" applyFill="1" applyBorder="1" applyAlignment="1">
      <alignment horizontal="right" vertical="center"/>
    </xf>
    <xf numFmtId="3" fontId="29" fillId="4" borderId="7" xfId="0" applyNumberFormat="1" applyFont="1" applyFill="1" applyBorder="1" applyAlignment="1">
      <alignment horizontal="right" vertical="center" wrapText="1"/>
    </xf>
    <xf numFmtId="3" fontId="10" fillId="4" borderId="7" xfId="0" applyNumberFormat="1" applyFont="1" applyFill="1" applyBorder="1" applyAlignment="1">
      <alignment vertical="center" wrapText="1"/>
    </xf>
    <xf numFmtId="166" fontId="10" fillId="4" borderId="7" xfId="2" applyNumberFormat="1" applyFont="1" applyFill="1" applyBorder="1" applyAlignment="1">
      <alignment horizontal="right" vertical="center"/>
    </xf>
    <xf numFmtId="166" fontId="8" fillId="4" borderId="7" xfId="2" applyNumberFormat="1" applyFont="1" applyFill="1" applyBorder="1" applyAlignment="1">
      <alignment horizontal="right" vertical="center"/>
    </xf>
    <xf numFmtId="0" fontId="85" fillId="21" borderId="7" xfId="0" applyFont="1" applyFill="1" applyBorder="1" applyAlignment="1">
      <alignment vertical="center"/>
    </xf>
    <xf numFmtId="0" fontId="52" fillId="22" borderId="7" xfId="0" applyFont="1" applyFill="1" applyBorder="1" applyAlignment="1">
      <alignment horizontal="left" vertical="center" wrapText="1"/>
    </xf>
    <xf numFmtId="0" fontId="52" fillId="21" borderId="7" xfId="2" applyNumberFormat="1" applyFont="1" applyFill="1" applyBorder="1" applyAlignment="1">
      <alignment horizontal="right" vertical="center"/>
    </xf>
    <xf numFmtId="0" fontId="80" fillId="4" borderId="7" xfId="0" applyFont="1" applyFill="1" applyBorder="1" applyAlignment="1">
      <alignment vertical="center"/>
    </xf>
    <xf numFmtId="0" fontId="52" fillId="21" borderId="7" xfId="0" applyFont="1" applyFill="1" applyBorder="1" applyAlignment="1">
      <alignment horizontal="left" vertical="center" wrapText="1"/>
    </xf>
    <xf numFmtId="0" fontId="46" fillId="23" borderId="7" xfId="0" applyFont="1" applyFill="1" applyBorder="1" applyAlignment="1">
      <alignment horizontal="left" vertical="center" wrapText="1"/>
    </xf>
    <xf numFmtId="0" fontId="85" fillId="22" borderId="7" xfId="0" applyFont="1" applyFill="1" applyBorder="1" applyAlignment="1">
      <alignment vertical="center"/>
    </xf>
    <xf numFmtId="169" fontId="85" fillId="8" borderId="7" xfId="0" applyNumberFormat="1" applyFont="1" applyFill="1" applyBorder="1" applyAlignment="1">
      <alignment vertical="center" wrapText="1"/>
    </xf>
    <xf numFmtId="0" fontId="81" fillId="22" borderId="7" xfId="0" applyFont="1" applyFill="1" applyBorder="1" applyAlignment="1">
      <alignment horizontal="center" vertical="center"/>
    </xf>
    <xf numFmtId="0" fontId="10" fillId="4" borderId="7" xfId="0" applyFont="1" applyFill="1" applyBorder="1" applyAlignment="1">
      <alignment horizontal="center" vertical="center" wrapText="1"/>
    </xf>
    <xf numFmtId="3" fontId="10" fillId="4" borderId="7" xfId="0" applyNumberFormat="1" applyFont="1" applyFill="1" applyBorder="1" applyAlignment="1">
      <alignment vertical="center"/>
    </xf>
    <xf numFmtId="0" fontId="10" fillId="23" borderId="7" xfId="0" applyFont="1" applyFill="1" applyBorder="1" applyAlignment="1">
      <alignment horizontal="center" vertical="center" wrapText="1"/>
    </xf>
    <xf numFmtId="166" fontId="10" fillId="23" borderId="7" xfId="2" applyNumberFormat="1" applyFont="1" applyFill="1" applyBorder="1" applyAlignment="1">
      <alignment horizontal="right" vertical="center"/>
    </xf>
    <xf numFmtId="171" fontId="29" fillId="4" borderId="7" xfId="0" applyNumberFormat="1" applyFont="1" applyFill="1" applyBorder="1" applyAlignment="1">
      <alignment horizontal="right" vertical="center"/>
    </xf>
    <xf numFmtId="0" fontId="29" fillId="4" borderId="7" xfId="0" applyFont="1" applyFill="1" applyBorder="1" applyAlignment="1">
      <alignment horizontal="right" vertical="center"/>
    </xf>
    <xf numFmtId="10" fontId="10" fillId="4" borderId="7" xfId="0" applyNumberFormat="1" applyFont="1" applyFill="1" applyBorder="1" applyAlignment="1">
      <alignment vertical="center"/>
    </xf>
    <xf numFmtId="167" fontId="10" fillId="4" borderId="7" xfId="2" applyNumberFormat="1" applyFont="1" applyFill="1" applyBorder="1" applyAlignment="1">
      <alignment horizontal="right" vertical="center"/>
    </xf>
    <xf numFmtId="0" fontId="52" fillId="21" borderId="7" xfId="0" applyFont="1" applyFill="1" applyBorder="1" applyAlignment="1">
      <alignment horizontal="center" vertical="center"/>
    </xf>
    <xf numFmtId="0" fontId="7" fillId="4" borderId="7" xfId="0" applyFont="1" applyFill="1" applyBorder="1" applyAlignment="1">
      <alignment vertical="center"/>
    </xf>
    <xf numFmtId="9" fontId="10" fillId="4" borderId="7" xfId="0" applyNumberFormat="1" applyFont="1" applyFill="1" applyBorder="1" applyAlignment="1">
      <alignment vertical="center"/>
    </xf>
    <xf numFmtId="166" fontId="7" fillId="4" borderId="7" xfId="2" applyNumberFormat="1" applyFont="1" applyFill="1" applyBorder="1" applyAlignment="1">
      <alignment horizontal="right" vertical="center"/>
    </xf>
    <xf numFmtId="166" fontId="22" fillId="4" borderId="7" xfId="2" applyNumberFormat="1" applyFont="1" applyFill="1" applyBorder="1" applyAlignment="1">
      <alignment horizontal="right" vertical="center"/>
    </xf>
    <xf numFmtId="164" fontId="7" fillId="4" borderId="7" xfId="2" applyNumberFormat="1" applyFont="1" applyFill="1" applyBorder="1" applyAlignment="1">
      <alignment horizontal="right" vertical="center"/>
    </xf>
    <xf numFmtId="1" fontId="22" fillId="4" borderId="7" xfId="2" applyNumberFormat="1" applyFont="1" applyFill="1" applyBorder="1" applyAlignment="1">
      <alignment horizontal="right" vertical="center"/>
    </xf>
    <xf numFmtId="0" fontId="52" fillId="21" borderId="7" xfId="0" applyFont="1" applyFill="1" applyBorder="1" applyAlignment="1">
      <alignment horizontal="right" vertical="center" wrapText="1"/>
    </xf>
    <xf numFmtId="0" fontId="81" fillId="21" borderId="7" xfId="0" applyFont="1" applyFill="1" applyBorder="1" applyAlignment="1">
      <alignment horizontal="right" vertical="center" wrapText="1"/>
    </xf>
    <xf numFmtId="0" fontId="81" fillId="21" borderId="7" xfId="0" applyFont="1" applyFill="1" applyBorder="1" applyAlignment="1">
      <alignment horizontal="right" vertical="center"/>
    </xf>
    <xf numFmtId="0" fontId="81" fillId="21" borderId="7" xfId="2" applyNumberFormat="1" applyFont="1" applyFill="1" applyBorder="1" applyAlignment="1">
      <alignment horizontal="right" vertical="center"/>
    </xf>
    <xf numFmtId="0" fontId="8" fillId="2" borderId="7" xfId="0" applyFont="1" applyFill="1" applyBorder="1" applyAlignment="1">
      <alignment wrapText="1"/>
    </xf>
    <xf numFmtId="0" fontId="7" fillId="2" borderId="7" xfId="0" applyFont="1" applyFill="1" applyBorder="1" applyAlignment="1">
      <alignment horizontal="left" vertical="center" wrapText="1"/>
    </xf>
    <xf numFmtId="0" fontId="82" fillId="24" borderId="7" xfId="0" applyFont="1" applyFill="1" applyBorder="1" applyAlignment="1">
      <alignment vertical="center" wrapText="1"/>
    </xf>
    <xf numFmtId="0" fontId="7" fillId="24" borderId="7" xfId="0" applyFont="1" applyFill="1" applyBorder="1" applyAlignment="1">
      <alignment horizontal="center" vertical="center"/>
    </xf>
    <xf numFmtId="164" fontId="8" fillId="25" borderId="7" xfId="3" applyNumberFormat="1" applyFont="1" applyFill="1" applyBorder="1" applyAlignment="1">
      <alignment vertical="center"/>
    </xf>
    <xf numFmtId="0" fontId="8" fillId="25" borderId="7" xfId="0" applyFont="1" applyFill="1" applyBorder="1" applyAlignment="1">
      <alignment vertical="center"/>
    </xf>
    <xf numFmtId="9" fontId="8" fillId="25" borderId="7" xfId="3" applyFont="1" applyFill="1" applyBorder="1" applyAlignment="1">
      <alignment vertical="center"/>
    </xf>
    <xf numFmtId="0" fontId="82" fillId="24" borderId="7" xfId="0" applyFont="1" applyFill="1" applyBorder="1" applyAlignment="1">
      <alignment horizontal="right" vertical="center" wrapText="1"/>
    </xf>
    <xf numFmtId="0" fontId="82" fillId="24" borderId="7" xfId="0" applyFont="1" applyFill="1" applyBorder="1" applyAlignment="1">
      <alignment horizontal="center" vertical="center" wrapText="1"/>
    </xf>
    <xf numFmtId="0" fontId="81" fillId="24" borderId="7" xfId="0" applyFont="1" applyFill="1" applyBorder="1" applyAlignment="1">
      <alignment horizontal="center" vertical="center"/>
    </xf>
    <xf numFmtId="9" fontId="21" fillId="25" borderId="7" xfId="3" applyFont="1" applyFill="1" applyBorder="1" applyAlignment="1">
      <alignment vertical="center"/>
    </xf>
    <xf numFmtId="0" fontId="25" fillId="26" borderId="7" xfId="0" applyFont="1" applyFill="1" applyBorder="1" applyAlignment="1">
      <alignment horizontal="right" vertical="center" wrapText="1"/>
    </xf>
    <xf numFmtId="0" fontId="8" fillId="0" borderId="7" xfId="0" applyFont="1" applyBorder="1" applyAlignment="1">
      <alignment horizontal="right" wrapText="1"/>
    </xf>
    <xf numFmtId="0" fontId="58" fillId="11" borderId="7" xfId="0" applyFont="1" applyFill="1" applyBorder="1" applyAlignment="1">
      <alignment vertical="center"/>
    </xf>
    <xf numFmtId="0" fontId="10" fillId="21" borderId="7" xfId="0" applyFont="1" applyFill="1" applyBorder="1" applyAlignment="1">
      <alignment horizontal="left" vertical="center"/>
    </xf>
    <xf numFmtId="0" fontId="12" fillId="21" borderId="7" xfId="0" applyFont="1" applyFill="1" applyBorder="1" applyAlignment="1">
      <alignment vertical="center" wrapText="1"/>
    </xf>
    <xf numFmtId="0" fontId="7" fillId="21" borderId="7" xfId="0" applyFont="1" applyFill="1" applyBorder="1" applyAlignment="1">
      <alignment horizontal="center" vertical="center" wrapText="1"/>
    </xf>
    <xf numFmtId="0" fontId="8" fillId="2" borderId="7" xfId="0" applyFont="1" applyFill="1" applyBorder="1" applyAlignment="1">
      <alignment horizontal="left" indent="2"/>
    </xf>
    <xf numFmtId="0" fontId="8" fillId="2" borderId="7" xfId="0" applyFont="1" applyFill="1" applyBorder="1" applyAlignment="1">
      <alignment horizontal="left" wrapText="1" indent="2"/>
    </xf>
    <xf numFmtId="0" fontId="11" fillId="2" borderId="7" xfId="0" applyFont="1" applyFill="1" applyBorder="1" applyAlignment="1">
      <alignment vertical="center" wrapText="1"/>
    </xf>
    <xf numFmtId="166" fontId="7" fillId="0" borderId="7" xfId="2" applyNumberFormat="1" applyFont="1" applyBorder="1" applyAlignment="1">
      <alignment horizontal="center" vertical="center" wrapText="1"/>
    </xf>
    <xf numFmtId="0" fontId="64" fillId="0" borderId="7" xfId="0" applyFont="1" applyBorder="1" applyAlignment="1">
      <alignment vertical="center" wrapText="1"/>
    </xf>
    <xf numFmtId="166" fontId="10" fillId="0" borderId="7" xfId="2" applyNumberFormat="1" applyFont="1" applyBorder="1" applyAlignment="1">
      <alignment horizontal="center" vertical="center" wrapText="1"/>
    </xf>
    <xf numFmtId="166" fontId="8" fillId="17" borderId="7" xfId="2" applyNumberFormat="1" applyFont="1" applyFill="1" applyBorder="1" applyAlignment="1">
      <alignment horizontal="center" vertical="center" wrapText="1"/>
    </xf>
    <xf numFmtId="166" fontId="7" fillId="17" borderId="7" xfId="2" applyNumberFormat="1" applyFont="1" applyFill="1" applyBorder="1" applyAlignment="1">
      <alignment horizontal="center" vertical="center" wrapText="1"/>
    </xf>
    <xf numFmtId="0" fontId="13" fillId="2" borderId="7" xfId="0" applyFont="1" applyFill="1" applyBorder="1" applyAlignment="1">
      <alignment vertical="center"/>
    </xf>
    <xf numFmtId="166" fontId="10" fillId="2" borderId="7" xfId="2" applyNumberFormat="1" applyFont="1" applyFill="1" applyBorder="1" applyAlignment="1">
      <alignment horizontal="center" vertical="center" wrapText="1"/>
    </xf>
    <xf numFmtId="0" fontId="8" fillId="2" borderId="7" xfId="0" applyFont="1" applyFill="1" applyBorder="1"/>
    <xf numFmtId="166" fontId="7" fillId="16" borderId="7" xfId="2" applyNumberFormat="1" applyFont="1" applyFill="1" applyBorder="1" applyAlignment="1">
      <alignment horizontal="center" vertical="center" wrapText="1"/>
    </xf>
    <xf numFmtId="166" fontId="7" fillId="0" borderId="7" xfId="2" applyNumberFormat="1" applyFont="1" applyBorder="1" applyAlignment="1">
      <alignment horizontal="center" vertical="top" wrapText="1"/>
    </xf>
    <xf numFmtId="166" fontId="7" fillId="2" borderId="7" xfId="2" applyNumberFormat="1" applyFont="1" applyFill="1" applyBorder="1" applyAlignment="1">
      <alignment horizontal="center" vertical="center" wrapText="1"/>
    </xf>
    <xf numFmtId="164" fontId="7" fillId="2" borderId="7" xfId="2" applyNumberFormat="1" applyFont="1" applyFill="1" applyBorder="1" applyAlignment="1">
      <alignment horizontal="right" vertical="center" wrapText="1"/>
    </xf>
    <xf numFmtId="0" fontId="8" fillId="2" borderId="7"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66" fillId="2" borderId="7" xfId="0" applyFont="1" applyFill="1" applyBorder="1" applyAlignment="1">
      <alignment vertical="center" wrapText="1"/>
    </xf>
    <xf numFmtId="9" fontId="8" fillId="2" borderId="7" xfId="3" applyFont="1" applyFill="1" applyBorder="1"/>
    <xf numFmtId="0" fontId="65" fillId="0" borderId="7" xfId="0" applyFont="1" applyBorder="1" applyAlignment="1">
      <alignment vertical="center" wrapText="1"/>
    </xf>
    <xf numFmtId="0" fontId="58" fillId="26" borderId="7" xfId="0" applyFont="1" applyFill="1" applyBorder="1" applyAlignment="1">
      <alignment vertical="center"/>
    </xf>
    <xf numFmtId="0" fontId="25" fillId="26" borderId="7" xfId="0" applyFont="1" applyFill="1" applyBorder="1" applyAlignment="1">
      <alignment horizontal="right" vertical="center"/>
    </xf>
    <xf numFmtId="0" fontId="25" fillId="26" borderId="7" xfId="0" applyFont="1" applyFill="1" applyBorder="1" applyAlignment="1">
      <alignment horizontal="center" vertical="center"/>
    </xf>
    <xf numFmtId="0" fontId="11" fillId="2" borderId="0" xfId="0" applyFont="1" applyFill="1" applyAlignment="1">
      <alignment vertical="center" wrapText="1"/>
    </xf>
    <xf numFmtId="0" fontId="11" fillId="3" borderId="3" xfId="0" applyFont="1" applyFill="1" applyBorder="1"/>
    <xf numFmtId="0" fontId="7" fillId="2" borderId="7" xfId="0" applyFont="1" applyFill="1" applyBorder="1" applyAlignment="1">
      <alignment horizontal="left" wrapText="1" indent="1"/>
    </xf>
    <xf numFmtId="0" fontId="10" fillId="2" borderId="7" xfId="0" applyFont="1" applyFill="1" applyBorder="1" applyAlignment="1">
      <alignment wrapText="1"/>
    </xf>
    <xf numFmtId="0" fontId="66" fillId="2" borderId="7" xfId="0" applyFont="1" applyFill="1" applyBorder="1" applyAlignment="1">
      <alignment vertical="center"/>
    </xf>
    <xf numFmtId="166" fontId="8" fillId="2" borderId="7" xfId="2" applyNumberFormat="1" applyFont="1" applyFill="1" applyBorder="1" applyAlignment="1">
      <alignment horizontal="center" vertical="center"/>
    </xf>
    <xf numFmtId="10" fontId="8" fillId="2" borderId="0" xfId="0" applyNumberFormat="1" applyFont="1" applyFill="1" applyAlignment="1">
      <alignment vertical="center"/>
    </xf>
    <xf numFmtId="2" fontId="8" fillId="2" borderId="0" xfId="0" applyNumberFormat="1" applyFont="1" applyFill="1" applyAlignment="1">
      <alignment vertical="center"/>
    </xf>
    <xf numFmtId="2" fontId="8" fillId="2" borderId="0" xfId="3" applyNumberFormat="1" applyFont="1" applyFill="1" applyBorder="1" applyAlignment="1">
      <alignment vertical="center"/>
    </xf>
    <xf numFmtId="2" fontId="8" fillId="2" borderId="0" xfId="3" applyNumberFormat="1" applyFont="1" applyFill="1" applyAlignment="1">
      <alignment vertical="center"/>
    </xf>
    <xf numFmtId="0" fontId="7" fillId="21" borderId="10" xfId="0" applyFont="1" applyFill="1" applyBorder="1" applyAlignment="1">
      <alignment horizontal="center" vertical="center" wrapText="1"/>
    </xf>
    <xf numFmtId="0" fontId="7" fillId="0" borderId="7" xfId="0" applyFont="1" applyBorder="1" applyAlignment="1">
      <alignment horizontal="left" vertical="center" indent="1"/>
    </xf>
    <xf numFmtId="0" fontId="7" fillId="0" borderId="7" xfId="0" applyFont="1" applyBorder="1" applyAlignment="1">
      <alignment horizontal="left" vertical="center" wrapText="1" indent="1"/>
    </xf>
    <xf numFmtId="170" fontId="7" fillId="0" borderId="7" xfId="0" applyNumberFormat="1" applyFont="1" applyBorder="1" applyAlignment="1">
      <alignment horizontal="center" vertical="center"/>
    </xf>
    <xf numFmtId="2" fontId="8" fillId="2" borderId="0" xfId="0" applyNumberFormat="1" applyFont="1" applyFill="1"/>
    <xf numFmtId="166" fontId="8" fillId="2" borderId="0" xfId="2" applyNumberFormat="1" applyFont="1" applyFill="1"/>
    <xf numFmtId="0" fontId="21" fillId="2" borderId="7" xfId="0" applyFont="1" applyFill="1" applyBorder="1" applyAlignment="1">
      <alignment vertical="center" wrapText="1"/>
    </xf>
    <xf numFmtId="0" fontId="10" fillId="0" borderId="8" xfId="0" applyFont="1" applyBorder="1" applyAlignment="1">
      <alignment vertical="center"/>
    </xf>
    <xf numFmtId="0" fontId="8" fillId="0" borderId="6" xfId="0" applyFont="1" applyBorder="1" applyAlignment="1">
      <alignment vertical="center" wrapText="1"/>
    </xf>
    <xf numFmtId="0" fontId="13" fillId="0" borderId="6" xfId="0" applyFont="1" applyBorder="1" applyAlignment="1">
      <alignment vertical="center" wrapText="1"/>
    </xf>
    <xf numFmtId="166" fontId="7" fillId="0" borderId="6" xfId="2" applyNumberFormat="1" applyFont="1" applyBorder="1" applyAlignment="1">
      <alignment horizontal="center" vertical="center" wrapText="1"/>
    </xf>
    <xf numFmtId="0" fontId="7" fillId="0" borderId="6" xfId="0" applyFont="1" applyBorder="1" applyAlignment="1">
      <alignment vertical="center" wrapText="1"/>
    </xf>
    <xf numFmtId="0" fontId="12" fillId="0" borderId="6" xfId="0" applyFont="1" applyBorder="1" applyAlignment="1">
      <alignment vertical="center" wrapText="1"/>
    </xf>
    <xf numFmtId="0" fontId="11" fillId="2" borderId="8" xfId="0" applyFont="1" applyFill="1" applyBorder="1" applyAlignment="1">
      <alignment vertical="center" wrapText="1"/>
    </xf>
    <xf numFmtId="166" fontId="7" fillId="0" borderId="8" xfId="2" applyNumberFormat="1" applyFont="1" applyBorder="1" applyAlignment="1">
      <alignment horizontal="center" vertical="center" wrapText="1"/>
    </xf>
    <xf numFmtId="0" fontId="8" fillId="2" borderId="6" xfId="0" applyFont="1" applyFill="1" applyBorder="1" applyAlignment="1">
      <alignment horizontal="left" indent="2"/>
    </xf>
    <xf numFmtId="166" fontId="10" fillId="0" borderId="6" xfId="2" applyNumberFormat="1" applyFont="1" applyBorder="1" applyAlignment="1">
      <alignment horizontal="center" vertical="center" wrapText="1"/>
    </xf>
    <xf numFmtId="9" fontId="35" fillId="5" borderId="0" xfId="3" applyFont="1" applyFill="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wrapText="1" indent="2"/>
    </xf>
    <xf numFmtId="0" fontId="12" fillId="2" borderId="0" xfId="0" applyFont="1" applyFill="1" applyAlignment="1">
      <alignment horizontal="left" vertical="center" wrapText="1"/>
    </xf>
    <xf numFmtId="9" fontId="8" fillId="2" borderId="0" xfId="0" applyNumberFormat="1" applyFont="1" applyFill="1"/>
    <xf numFmtId="9" fontId="82" fillId="24" borderId="6" xfId="3" applyFont="1" applyFill="1" applyBorder="1" applyAlignment="1">
      <alignment vertical="center" wrapText="1"/>
    </xf>
    <xf numFmtId="0" fontId="8" fillId="0" borderId="0" xfId="0" applyFont="1" applyAlignment="1">
      <alignment horizontal="right" wrapText="1"/>
    </xf>
    <xf numFmtId="0" fontId="10" fillId="0" borderId="6" xfId="0" applyFont="1" applyBorder="1" applyAlignment="1">
      <alignment vertical="center" wrapText="1"/>
    </xf>
    <xf numFmtId="0" fontId="14" fillId="0" borderId="6" xfId="0" applyFont="1" applyBorder="1" applyAlignment="1">
      <alignment vertical="center" wrapText="1"/>
    </xf>
    <xf numFmtId="166" fontId="23" fillId="27" borderId="6" xfId="2" applyNumberFormat="1" applyFont="1" applyFill="1" applyBorder="1" applyAlignment="1">
      <alignment horizontal="center" vertical="center" wrapText="1"/>
    </xf>
    <xf numFmtId="166" fontId="10" fillId="27" borderId="6" xfId="2" applyNumberFormat="1" applyFont="1" applyFill="1" applyBorder="1" applyAlignment="1">
      <alignment horizontal="center" vertical="center" wrapText="1"/>
    </xf>
    <xf numFmtId="166" fontId="8" fillId="27" borderId="7" xfId="2" applyNumberFormat="1" applyFont="1" applyFill="1" applyBorder="1" applyAlignment="1">
      <alignment horizontal="right" vertical="center"/>
    </xf>
    <xf numFmtId="168" fontId="8" fillId="2" borderId="6" xfId="2" applyNumberFormat="1" applyFont="1" applyFill="1" applyBorder="1" applyAlignment="1">
      <alignment horizontal="center" vertical="center" wrapText="1"/>
    </xf>
    <xf numFmtId="9" fontId="6" fillId="2" borderId="0" xfId="3" applyFont="1" applyFill="1" applyAlignment="1">
      <alignment wrapText="1"/>
    </xf>
    <xf numFmtId="166" fontId="7" fillId="18" borderId="7" xfId="2" applyNumberFormat="1" applyFont="1" applyFill="1" applyBorder="1" applyAlignment="1">
      <alignment horizontal="center" vertical="center" wrapText="1"/>
    </xf>
    <xf numFmtId="166" fontId="10" fillId="18" borderId="7" xfId="2" applyNumberFormat="1" applyFont="1" applyFill="1" applyBorder="1" applyAlignment="1">
      <alignment horizontal="center" vertical="center" wrapText="1"/>
    </xf>
    <xf numFmtId="3" fontId="21" fillId="2" borderId="7" xfId="0" applyNumberFormat="1" applyFont="1" applyFill="1" applyBorder="1" applyAlignment="1">
      <alignment horizontal="right" vertical="center" wrapText="1"/>
    </xf>
    <xf numFmtId="166" fontId="21" fillId="2" borderId="7" xfId="0" applyNumberFormat="1" applyFont="1" applyFill="1" applyBorder="1" applyAlignment="1">
      <alignment horizontal="right" vertical="center" wrapText="1"/>
    </xf>
    <xf numFmtId="0" fontId="38" fillId="0" borderId="0" xfId="0" applyFont="1" applyAlignment="1">
      <alignment vertical="center" wrapText="1"/>
    </xf>
    <xf numFmtId="0" fontId="23" fillId="0" borderId="0" xfId="0" applyFont="1" applyAlignment="1">
      <alignment vertical="center" wrapText="1"/>
    </xf>
    <xf numFmtId="166" fontId="23" fillId="3" borderId="7" xfId="2" applyNumberFormat="1" applyFont="1" applyFill="1" applyBorder="1" applyAlignment="1">
      <alignment horizontal="right" vertical="center"/>
    </xf>
    <xf numFmtId="166" fontId="7" fillId="27" borderId="7" xfId="2" applyNumberFormat="1" applyFont="1" applyFill="1" applyBorder="1" applyAlignment="1">
      <alignment horizontal="center" vertical="center" wrapText="1"/>
    </xf>
    <xf numFmtId="164" fontId="7" fillId="27" borderId="7" xfId="2" applyNumberFormat="1" applyFont="1" applyFill="1" applyBorder="1" applyAlignment="1">
      <alignment horizontal="right" vertical="center" wrapText="1"/>
    </xf>
    <xf numFmtId="0" fontId="58" fillId="26" borderId="13" xfId="0" applyFont="1" applyFill="1" applyBorder="1" applyAlignment="1">
      <alignment vertical="center"/>
    </xf>
    <xf numFmtId="0" fontId="93" fillId="0" borderId="13" xfId="0" applyFont="1" applyBorder="1" applyAlignment="1">
      <alignment vertical="center"/>
    </xf>
    <xf numFmtId="0" fontId="93" fillId="0" borderId="13" xfId="0" applyFont="1" applyBorder="1" applyAlignment="1">
      <alignment horizontal="center" vertical="center" wrapText="1"/>
    </xf>
    <xf numFmtId="9" fontId="94" fillId="0" borderId="13" xfId="3" applyFont="1" applyBorder="1" applyAlignment="1">
      <alignment vertical="center"/>
    </xf>
    <xf numFmtId="166" fontId="6" fillId="0" borderId="13" xfId="2" applyNumberFormat="1" applyFont="1" applyBorder="1" applyAlignment="1">
      <alignment vertical="center"/>
    </xf>
    <xf numFmtId="9" fontId="6" fillId="0" borderId="13" xfId="3" applyFont="1" applyBorder="1" applyAlignment="1">
      <alignment vertical="center"/>
    </xf>
    <xf numFmtId="0" fontId="6" fillId="0" borderId="13" xfId="0" applyFont="1" applyBorder="1" applyAlignment="1">
      <alignment vertical="center"/>
    </xf>
    <xf numFmtId="9" fontId="6" fillId="0" borderId="13" xfId="3" applyFont="1" applyBorder="1" applyAlignment="1">
      <alignment horizontal="center" vertical="center"/>
    </xf>
    <xf numFmtId="9" fontId="6" fillId="0" borderId="13" xfId="3" applyFont="1" applyBorder="1" applyAlignment="1">
      <alignment horizontal="right" vertical="center"/>
    </xf>
    <xf numFmtId="0" fontId="6" fillId="2" borderId="0" xfId="0" applyFont="1" applyFill="1" applyAlignment="1">
      <alignment horizontal="center"/>
    </xf>
    <xf numFmtId="166" fontId="21" fillId="2" borderId="0" xfId="0" applyNumberFormat="1" applyFont="1" applyFill="1" applyAlignment="1">
      <alignment horizontal="center"/>
    </xf>
    <xf numFmtId="0" fontId="6" fillId="3" borderId="7" xfId="0" applyFont="1" applyFill="1" applyBorder="1" applyAlignment="1">
      <alignment vertical="center"/>
    </xf>
    <xf numFmtId="0" fontId="6" fillId="2" borderId="13" xfId="0" applyFont="1" applyFill="1" applyBorder="1" applyAlignment="1">
      <alignment vertical="center" wrapText="1"/>
    </xf>
    <xf numFmtId="0" fontId="6" fillId="2" borderId="13" xfId="0" applyFont="1" applyFill="1" applyBorder="1" applyAlignment="1">
      <alignment vertical="center"/>
    </xf>
    <xf numFmtId="9" fontId="6" fillId="2" borderId="13" xfId="3" applyFont="1" applyFill="1" applyBorder="1" applyAlignment="1">
      <alignment vertical="center" wrapText="1"/>
    </xf>
    <xf numFmtId="0" fontId="10" fillId="21" borderId="13" xfId="0" applyFont="1" applyFill="1" applyBorder="1" applyAlignment="1">
      <alignment horizontal="left" vertical="center"/>
    </xf>
    <xf numFmtId="0" fontId="12" fillId="21" borderId="13" xfId="0" applyFont="1" applyFill="1" applyBorder="1" applyAlignment="1">
      <alignment vertical="center" wrapText="1"/>
    </xf>
    <xf numFmtId="164" fontId="8" fillId="2" borderId="0" xfId="0" applyNumberFormat="1" applyFont="1" applyFill="1"/>
    <xf numFmtId="9" fontId="8" fillId="2" borderId="0" xfId="3" applyFont="1" applyFill="1"/>
    <xf numFmtId="164" fontId="21" fillId="25" borderId="7" xfId="3" applyNumberFormat="1" applyFont="1" applyFill="1" applyBorder="1" applyAlignment="1">
      <alignment vertical="center"/>
    </xf>
    <xf numFmtId="164" fontId="49" fillId="5" borderId="0" xfId="3" applyNumberFormat="1" applyFont="1" applyFill="1" applyAlignment="1">
      <alignment horizontal="right" vertical="center"/>
    </xf>
    <xf numFmtId="0" fontId="8" fillId="28" borderId="0" xfId="0" applyFont="1" applyFill="1" applyAlignment="1">
      <alignment vertical="center"/>
    </xf>
    <xf numFmtId="0" fontId="10" fillId="28" borderId="0" xfId="2" applyNumberFormat="1" applyFont="1" applyFill="1" applyAlignment="1">
      <alignment horizontal="right" vertical="center"/>
    </xf>
    <xf numFmtId="0" fontId="10" fillId="28" borderId="0" xfId="0" applyFont="1" applyFill="1" applyAlignment="1">
      <alignment horizontal="right" vertical="center"/>
    </xf>
    <xf numFmtId="166" fontId="8" fillId="28" borderId="0" xfId="0" applyNumberFormat="1" applyFont="1" applyFill="1" applyAlignment="1">
      <alignment vertical="center"/>
    </xf>
    <xf numFmtId="166" fontId="21" fillId="4" borderId="7" xfId="2" applyNumberFormat="1" applyFont="1" applyFill="1" applyBorder="1" applyAlignment="1">
      <alignment vertical="center"/>
    </xf>
    <xf numFmtId="164" fontId="8" fillId="25" borderId="7" xfId="0" applyNumberFormat="1" applyFont="1" applyFill="1" applyBorder="1" applyAlignment="1">
      <alignment vertical="center"/>
    </xf>
    <xf numFmtId="9" fontId="10" fillId="0" borderId="7" xfId="0" applyNumberFormat="1" applyFont="1" applyBorder="1" applyAlignment="1">
      <alignment vertical="center"/>
    </xf>
    <xf numFmtId="9" fontId="10" fillId="0" borderId="7" xfId="3" applyFont="1" applyFill="1" applyBorder="1" applyAlignment="1">
      <alignment vertical="center"/>
    </xf>
    <xf numFmtId="3" fontId="30" fillId="5" borderId="0" xfId="0" applyNumberFormat="1" applyFont="1" applyFill="1"/>
    <xf numFmtId="0" fontId="46" fillId="5" borderId="13" xfId="0" applyFont="1" applyFill="1" applyBorder="1" applyAlignment="1">
      <alignment horizontal="left" vertical="center" wrapText="1"/>
    </xf>
    <xf numFmtId="0" fontId="52" fillId="22" borderId="13" xfId="0" applyFont="1" applyFill="1" applyBorder="1" applyAlignment="1">
      <alignment horizontal="center" vertical="center" wrapText="1"/>
    </xf>
    <xf numFmtId="0" fontId="52" fillId="22" borderId="13" xfId="0" applyFont="1" applyFill="1" applyBorder="1" applyAlignment="1">
      <alignment horizontal="right" vertical="center" wrapText="1"/>
    </xf>
    <xf numFmtId="0" fontId="81" fillId="22" borderId="13" xfId="0" applyFont="1" applyFill="1" applyBorder="1" applyAlignment="1">
      <alignment horizontal="right" vertical="center"/>
    </xf>
    <xf numFmtId="0" fontId="22" fillId="0" borderId="13" xfId="0" applyFont="1" applyBorder="1" applyAlignment="1">
      <alignment horizontal="left" vertical="center" wrapText="1"/>
    </xf>
    <xf numFmtId="0" fontId="22" fillId="0" borderId="13" xfId="0" applyFont="1" applyBorder="1" applyAlignment="1">
      <alignment vertical="center" wrapText="1"/>
    </xf>
    <xf numFmtId="3" fontId="29" fillId="4" borderId="13" xfId="0" applyNumberFormat="1" applyFont="1" applyFill="1" applyBorder="1" applyAlignment="1">
      <alignment horizontal="right" vertical="center" wrapText="1"/>
    </xf>
    <xf numFmtId="3" fontId="22" fillId="2" borderId="13" xfId="0" applyNumberFormat="1" applyFont="1" applyFill="1" applyBorder="1" applyAlignment="1">
      <alignment horizontal="right" vertical="center" wrapText="1"/>
    </xf>
    <xf numFmtId="0" fontId="29" fillId="0" borderId="13" xfId="0" applyFont="1" applyBorder="1" applyAlignment="1">
      <alignment vertical="center" wrapText="1"/>
    </xf>
    <xf numFmtId="3" fontId="29" fillId="2" borderId="13" xfId="0" applyNumberFormat="1" applyFont="1" applyFill="1" applyBorder="1" applyAlignment="1">
      <alignment horizontal="right" vertical="center" wrapText="1"/>
    </xf>
    <xf numFmtId="166" fontId="8" fillId="2" borderId="0" xfId="2" applyNumberFormat="1" applyFont="1" applyFill="1" applyBorder="1" applyAlignment="1">
      <alignment horizontal="right"/>
    </xf>
    <xf numFmtId="166" fontId="21" fillId="2" borderId="0" xfId="2" applyNumberFormat="1" applyFont="1" applyFill="1" applyBorder="1" applyAlignment="1">
      <alignment horizontal="right"/>
    </xf>
    <xf numFmtId="166" fontId="10" fillId="0" borderId="13" xfId="2" applyNumberFormat="1" applyFont="1" applyFill="1" applyBorder="1" applyAlignment="1">
      <alignment horizontal="right" vertical="center"/>
    </xf>
    <xf numFmtId="0" fontId="10" fillId="0" borderId="13" xfId="0" applyFont="1" applyBorder="1" applyAlignment="1">
      <alignment vertical="center" wrapText="1"/>
    </xf>
    <xf numFmtId="0" fontId="10" fillId="0" borderId="13" xfId="0" applyFont="1" applyBorder="1" applyAlignment="1">
      <alignment vertical="center"/>
    </xf>
    <xf numFmtId="170" fontId="6" fillId="3" borderId="7" xfId="0" applyNumberFormat="1" applyFont="1" applyFill="1" applyBorder="1" applyAlignment="1">
      <alignment vertical="center"/>
    </xf>
    <xf numFmtId="9" fontId="23" fillId="3" borderId="7" xfId="0" applyNumberFormat="1" applyFont="1" applyFill="1" applyBorder="1" applyAlignment="1">
      <alignment vertical="center"/>
    </xf>
    <xf numFmtId="9" fontId="23" fillId="3" borderId="7" xfId="3" applyFont="1" applyFill="1" applyBorder="1" applyAlignment="1">
      <alignment vertical="center"/>
    </xf>
    <xf numFmtId="164" fontId="90" fillId="24" borderId="6" xfId="3" applyNumberFormat="1" applyFont="1" applyFill="1" applyBorder="1" applyAlignment="1">
      <alignment vertical="center" wrapText="1"/>
    </xf>
    <xf numFmtId="164" fontId="82" fillId="24" borderId="6" xfId="3" applyNumberFormat="1" applyFont="1" applyFill="1" applyBorder="1" applyAlignment="1">
      <alignment vertical="center" wrapText="1"/>
    </xf>
    <xf numFmtId="3" fontId="6" fillId="2" borderId="13" xfId="0" applyNumberFormat="1" applyFont="1" applyFill="1" applyBorder="1" applyAlignment="1">
      <alignment horizontal="right" vertical="center" wrapText="1"/>
    </xf>
    <xf numFmtId="166" fontId="96" fillId="7" borderId="7" xfId="2" applyNumberFormat="1" applyFont="1" applyFill="1" applyBorder="1" applyAlignment="1">
      <alignment horizontal="right" vertical="center"/>
    </xf>
    <xf numFmtId="166" fontId="8" fillId="0" borderId="14" xfId="2" applyNumberFormat="1" applyFont="1" applyBorder="1" applyAlignment="1">
      <alignment horizontal="center" vertical="center" wrapText="1"/>
    </xf>
    <xf numFmtId="9" fontId="82" fillId="24" borderId="14" xfId="3" applyFont="1" applyFill="1" applyBorder="1" applyAlignment="1">
      <alignment vertical="center" wrapText="1"/>
    </xf>
    <xf numFmtId="9" fontId="82" fillId="24" borderId="15" xfId="3" applyFont="1" applyFill="1" applyBorder="1" applyAlignment="1">
      <alignment vertical="center" wrapText="1"/>
    </xf>
    <xf numFmtId="0" fontId="10" fillId="0" borderId="16" xfId="0" applyFont="1" applyBorder="1" applyAlignment="1">
      <alignment vertical="center"/>
    </xf>
    <xf numFmtId="0" fontId="64" fillId="0" borderId="16" xfId="0" applyFont="1" applyBorder="1" applyAlignment="1">
      <alignment vertical="center" wrapText="1"/>
    </xf>
    <xf numFmtId="0" fontId="8" fillId="2" borderId="16" xfId="0" applyFont="1" applyFill="1" applyBorder="1"/>
    <xf numFmtId="0" fontId="8" fillId="2" borderId="16" xfId="0" applyFont="1" applyFill="1" applyBorder="1" applyAlignment="1">
      <alignment horizontal="left" indent="2"/>
    </xf>
    <xf numFmtId="166" fontId="10" fillId="0" borderId="16" xfId="2" applyNumberFormat="1" applyFont="1" applyBorder="1" applyAlignment="1">
      <alignment horizontal="center" vertical="center" wrapText="1"/>
    </xf>
    <xf numFmtId="9" fontId="82" fillId="24" borderId="16" xfId="3" applyFont="1" applyFill="1" applyBorder="1" applyAlignment="1">
      <alignment vertical="center" wrapText="1"/>
    </xf>
    <xf numFmtId="0" fontId="10" fillId="2" borderId="16" xfId="0" applyFont="1" applyFill="1" applyBorder="1" applyAlignment="1">
      <alignment horizontal="left" wrapText="1" indent="2"/>
    </xf>
    <xf numFmtId="0" fontId="21" fillId="2" borderId="14" xfId="0" applyFont="1" applyFill="1" applyBorder="1" applyAlignment="1">
      <alignment horizontal="left" wrapText="1" indent="2"/>
    </xf>
    <xf numFmtId="0" fontId="21" fillId="2" borderId="7" xfId="0" applyFont="1" applyFill="1" applyBorder="1" applyAlignment="1">
      <alignment horizontal="left" wrapText="1" indent="2"/>
    </xf>
    <xf numFmtId="166" fontId="7" fillId="0" borderId="15" xfId="2" applyNumberFormat="1" applyFont="1" applyBorder="1" applyAlignment="1">
      <alignment horizontal="center" vertical="center" wrapText="1"/>
    </xf>
    <xf numFmtId="0" fontId="7" fillId="0" borderId="15" xfId="0" applyFont="1" applyBorder="1" applyAlignment="1">
      <alignment vertical="center" wrapText="1"/>
    </xf>
    <xf numFmtId="0" fontId="12" fillId="0" borderId="15" xfId="0" applyFont="1" applyBorder="1" applyAlignment="1">
      <alignment vertical="center" wrapText="1"/>
    </xf>
    <xf numFmtId="0" fontId="8" fillId="0" borderId="16" xfId="0" applyFont="1" applyBorder="1" applyAlignment="1">
      <alignment vertical="center" wrapText="1"/>
    </xf>
    <xf numFmtId="0" fontId="13" fillId="0" borderId="16" xfId="0" applyFont="1" applyBorder="1" applyAlignment="1">
      <alignment vertical="center" wrapText="1"/>
    </xf>
    <xf numFmtId="166" fontId="7" fillId="0" borderId="16" xfId="2" applyNumberFormat="1" applyFont="1" applyBorder="1" applyAlignment="1">
      <alignment horizontal="center" vertical="center" wrapText="1"/>
    </xf>
    <xf numFmtId="166" fontId="8" fillId="2" borderId="16" xfId="2" applyNumberFormat="1" applyFont="1" applyFill="1" applyBorder="1" applyAlignment="1">
      <alignment horizontal="center" vertical="center"/>
    </xf>
    <xf numFmtId="0" fontId="8" fillId="2" borderId="16" xfId="0" applyFont="1" applyFill="1" applyBorder="1" applyAlignment="1">
      <alignment wrapText="1"/>
    </xf>
    <xf numFmtId="0" fontId="97" fillId="26" borderId="8" xfId="0" applyFont="1" applyFill="1" applyBorder="1" applyAlignment="1">
      <alignment horizontal="center" vertical="center" wrapText="1"/>
    </xf>
    <xf numFmtId="166" fontId="8" fillId="2" borderId="16" xfId="0" applyNumberFormat="1" applyFont="1" applyFill="1" applyBorder="1" applyAlignment="1">
      <alignment wrapText="1"/>
    </xf>
    <xf numFmtId="9" fontId="7" fillId="2" borderId="16" xfId="3" applyFont="1" applyFill="1" applyBorder="1" applyAlignment="1">
      <alignment wrapText="1"/>
    </xf>
    <xf numFmtId="166" fontId="22" fillId="0" borderId="16" xfId="2" applyNumberFormat="1" applyFont="1" applyBorder="1" applyAlignment="1">
      <alignment horizontal="center" vertical="center" wrapText="1"/>
    </xf>
    <xf numFmtId="166" fontId="22" fillId="0" borderId="16" xfId="2" applyNumberFormat="1" applyFont="1" applyBorder="1" applyAlignment="1">
      <alignment horizontal="center" wrapText="1"/>
    </xf>
    <xf numFmtId="166" fontId="22" fillId="0" borderId="16" xfId="2" applyNumberFormat="1" applyFont="1" applyBorder="1" applyAlignment="1">
      <alignment horizontal="center" vertical="top" wrapText="1"/>
    </xf>
    <xf numFmtId="0" fontId="25" fillId="26" borderId="21" xfId="0" applyFont="1" applyFill="1" applyBorder="1" applyAlignment="1">
      <alignment horizontal="center" vertical="center"/>
    </xf>
    <xf numFmtId="0" fontId="7" fillId="21" borderId="22" xfId="0" applyFont="1" applyFill="1" applyBorder="1" applyAlignment="1">
      <alignment horizontal="center" vertical="center" wrapText="1"/>
    </xf>
    <xf numFmtId="9" fontId="22" fillId="0" borderId="16" xfId="3" applyFont="1" applyBorder="1" applyAlignment="1">
      <alignment horizontal="center" vertical="center" wrapText="1"/>
    </xf>
    <xf numFmtId="0" fontId="6" fillId="19" borderId="13" xfId="0" applyFont="1" applyFill="1" applyBorder="1" applyAlignment="1">
      <alignment vertical="center" wrapText="1"/>
    </xf>
    <xf numFmtId="166" fontId="6" fillId="19" borderId="13" xfId="2" applyNumberFormat="1" applyFont="1" applyFill="1" applyBorder="1" applyAlignment="1">
      <alignment vertical="center"/>
    </xf>
    <xf numFmtId="9" fontId="6" fillId="19" borderId="13" xfId="3" applyFont="1" applyFill="1" applyBorder="1" applyAlignment="1">
      <alignment vertical="center"/>
    </xf>
    <xf numFmtId="166" fontId="6" fillId="19" borderId="13" xfId="2" applyNumberFormat="1" applyFont="1" applyFill="1" applyBorder="1" applyAlignment="1">
      <alignment vertical="center" wrapText="1"/>
    </xf>
    <xf numFmtId="9" fontId="6" fillId="19" borderId="13" xfId="3" applyFont="1" applyFill="1" applyBorder="1" applyAlignment="1">
      <alignment vertical="center" wrapText="1"/>
    </xf>
    <xf numFmtId="0" fontId="6" fillId="19" borderId="13" xfId="0" applyFont="1" applyFill="1" applyBorder="1" applyAlignment="1">
      <alignment vertical="center"/>
    </xf>
    <xf numFmtId="9" fontId="6" fillId="19" borderId="16" xfId="3" applyFont="1" applyFill="1" applyBorder="1" applyAlignment="1">
      <alignment horizontal="center" vertical="center"/>
    </xf>
    <xf numFmtId="9" fontId="6" fillId="19" borderId="16" xfId="3" applyFont="1" applyFill="1" applyBorder="1" applyAlignment="1">
      <alignment horizontal="center" wrapText="1"/>
    </xf>
    <xf numFmtId="166" fontId="6" fillId="19" borderId="16" xfId="2" applyNumberFormat="1" applyFont="1" applyFill="1" applyBorder="1" applyAlignment="1">
      <alignment horizontal="center" wrapText="1"/>
    </xf>
    <xf numFmtId="0" fontId="80" fillId="19" borderId="8" xfId="0" applyFont="1" applyFill="1" applyBorder="1" applyAlignment="1">
      <alignment horizontal="left" vertical="center" wrapText="1"/>
    </xf>
    <xf numFmtId="0" fontId="13" fillId="2" borderId="0" xfId="0" applyFont="1" applyFill="1" applyAlignment="1">
      <alignment vertical="center"/>
    </xf>
    <xf numFmtId="0" fontId="103" fillId="2" borderId="0" xfId="0" applyFont="1" applyFill="1" applyAlignment="1">
      <alignment horizontal="left" vertical="center"/>
    </xf>
    <xf numFmtId="3" fontId="8" fillId="19" borderId="13" xfId="0" applyNumberFormat="1" applyFont="1" applyFill="1" applyBorder="1" applyAlignment="1">
      <alignment vertical="center"/>
    </xf>
    <xf numFmtId="164" fontId="8" fillId="19" borderId="13" xfId="3" applyNumberFormat="1" applyFont="1" applyFill="1" applyBorder="1" applyAlignment="1">
      <alignment vertical="center"/>
    </xf>
    <xf numFmtId="0" fontId="35" fillId="29" borderId="13" xfId="0" applyFont="1" applyFill="1" applyBorder="1" applyAlignment="1">
      <alignment vertical="center" wrapText="1"/>
    </xf>
    <xf numFmtId="9" fontId="8" fillId="19" borderId="13" xfId="0" applyNumberFormat="1" applyFont="1" applyFill="1" applyBorder="1" applyAlignment="1">
      <alignment vertical="center"/>
    </xf>
    <xf numFmtId="0" fontId="25" fillId="19" borderId="8" xfId="0" applyFont="1" applyFill="1" applyBorder="1" applyAlignment="1">
      <alignment horizontal="center" vertical="center"/>
    </xf>
    <xf numFmtId="0" fontId="10" fillId="19" borderId="13" xfId="0" applyFont="1" applyFill="1" applyBorder="1" applyAlignment="1">
      <alignment horizontal="left" vertical="center"/>
    </xf>
    <xf numFmtId="0" fontId="12" fillId="19" borderId="13" xfId="0" applyFont="1" applyFill="1" applyBorder="1" applyAlignment="1">
      <alignment vertical="center" wrapText="1"/>
    </xf>
    <xf numFmtId="0" fontId="7" fillId="19" borderId="13" xfId="0" applyFont="1" applyFill="1" applyBorder="1" applyAlignment="1">
      <alignment horizontal="center" vertical="center" wrapText="1"/>
    </xf>
    <xf numFmtId="0" fontId="6" fillId="19" borderId="13" xfId="0" applyFont="1" applyFill="1" applyBorder="1" applyAlignment="1">
      <alignment horizontal="left" vertical="center" wrapText="1"/>
    </xf>
    <xf numFmtId="0" fontId="11" fillId="19" borderId="13" xfId="0" applyFont="1" applyFill="1" applyBorder="1" applyAlignment="1">
      <alignment horizontal="center" vertical="center" wrapText="1"/>
    </xf>
    <xf numFmtId="166" fontId="6" fillId="19" borderId="13" xfId="2" applyNumberFormat="1" applyFont="1" applyFill="1" applyBorder="1" applyAlignment="1">
      <alignment horizontal="center" vertical="center" wrapText="1"/>
    </xf>
    <xf numFmtId="0" fontId="12" fillId="19" borderId="13" xfId="0" applyFont="1" applyFill="1" applyBorder="1" applyAlignment="1">
      <alignment horizontal="left" vertical="center" wrapText="1"/>
    </xf>
    <xf numFmtId="1" fontId="8" fillId="2" borderId="0" xfId="0" applyNumberFormat="1" applyFont="1" applyFill="1" applyAlignment="1">
      <alignment wrapText="1"/>
    </xf>
    <xf numFmtId="164" fontId="8" fillId="2" borderId="0" xfId="3" applyNumberFormat="1" applyFont="1" applyFill="1" applyAlignment="1">
      <alignment wrapText="1"/>
    </xf>
    <xf numFmtId="3" fontId="52" fillId="21" borderId="7" xfId="0" applyNumberFormat="1" applyFont="1" applyFill="1" applyBorder="1" applyAlignment="1">
      <alignment horizontal="right" vertical="center" wrapText="1"/>
    </xf>
    <xf numFmtId="0" fontId="16" fillId="11" borderId="7" xfId="0" applyFont="1" applyFill="1" applyBorder="1" applyAlignment="1">
      <alignment vertical="center"/>
    </xf>
    <xf numFmtId="166" fontId="8" fillId="0" borderId="6" xfId="2" applyNumberFormat="1" applyFont="1" applyBorder="1" applyAlignment="1">
      <alignment horizontal="center" vertical="center" wrapText="1"/>
    </xf>
    <xf numFmtId="0" fontId="25" fillId="26" borderId="13" xfId="0" applyFont="1" applyFill="1" applyBorder="1" applyAlignment="1">
      <alignment horizontal="center" vertical="center"/>
    </xf>
    <xf numFmtId="166" fontId="8" fillId="0" borderId="7" xfId="2" applyNumberFormat="1" applyFont="1" applyBorder="1" applyAlignment="1">
      <alignment horizontal="center" vertical="center" wrapText="1"/>
    </xf>
    <xf numFmtId="0" fontId="13" fillId="2" borderId="7" xfId="0" applyFont="1" applyFill="1" applyBorder="1" applyAlignment="1">
      <alignment vertical="center" wrapText="1"/>
    </xf>
    <xf numFmtId="0" fontId="8" fillId="2" borderId="0" xfId="0" applyFont="1" applyFill="1" applyAlignment="1">
      <alignment horizontal="center" vertical="center" wrapText="1"/>
    </xf>
    <xf numFmtId="0" fontId="13" fillId="18" borderId="2" xfId="0" applyFont="1" applyFill="1" applyBorder="1" applyAlignment="1">
      <alignment vertical="center" wrapText="1"/>
    </xf>
    <xf numFmtId="166" fontId="6" fillId="19" borderId="16" xfId="2" applyNumberFormat="1" applyFont="1" applyFill="1" applyBorder="1" applyAlignment="1">
      <alignment horizontal="center" vertical="center"/>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1" fontId="45" fillId="2" borderId="0" xfId="0" applyNumberFormat="1" applyFont="1" applyFill="1" applyAlignment="1">
      <alignment horizontal="right" vertical="center"/>
    </xf>
    <xf numFmtId="0" fontId="13" fillId="2" borderId="0" xfId="0" applyFont="1" applyFill="1" applyAlignment="1">
      <alignment horizontal="center"/>
    </xf>
    <xf numFmtId="0" fontId="102" fillId="5" borderId="0" xfId="0" applyFont="1" applyFill="1" applyAlignment="1">
      <alignment vertical="center"/>
    </xf>
    <xf numFmtId="0" fontId="111" fillId="2" borderId="0" xfId="0" applyFont="1" applyFill="1" applyAlignment="1">
      <alignment horizontal="right" vertical="center"/>
    </xf>
    <xf numFmtId="0" fontId="12" fillId="2" borderId="0" xfId="1" applyFont="1" applyFill="1" applyAlignment="1">
      <alignment horizontal="center" vertical="center"/>
    </xf>
    <xf numFmtId="9" fontId="13" fillId="2" borderId="0" xfId="3" applyFont="1" applyFill="1"/>
    <xf numFmtId="0" fontId="66" fillId="2" borderId="0" xfId="0" applyFont="1" applyFill="1"/>
    <xf numFmtId="0" fontId="109" fillId="5" borderId="0" xfId="0" applyFont="1" applyFill="1"/>
    <xf numFmtId="49" fontId="13" fillId="0" borderId="0" xfId="0" applyNumberFormat="1" applyFont="1" applyAlignment="1">
      <alignment horizontal="center"/>
    </xf>
    <xf numFmtId="49" fontId="12" fillId="2" borderId="0" xfId="0" applyNumberFormat="1" applyFont="1" applyFill="1" applyAlignment="1">
      <alignment horizontal="center"/>
    </xf>
    <xf numFmtId="0" fontId="64" fillId="2" borderId="0" xfId="0" applyFont="1" applyFill="1" applyAlignment="1">
      <alignment horizontal="right" vertical="top" indent="2"/>
    </xf>
    <xf numFmtId="0" fontId="65" fillId="2" borderId="0" xfId="0" applyFont="1" applyFill="1" applyAlignment="1">
      <alignment horizontal="left" vertical="top"/>
    </xf>
    <xf numFmtId="0" fontId="64" fillId="2" borderId="0" xfId="0" applyFont="1" applyFill="1" applyAlignment="1">
      <alignment horizontal="right" indent="2"/>
    </xf>
    <xf numFmtId="0" fontId="12" fillId="2" borderId="0" xfId="0" applyFont="1" applyFill="1"/>
    <xf numFmtId="0" fontId="104" fillId="2" borderId="0" xfId="0" applyFont="1" applyFill="1" applyAlignment="1">
      <alignment horizontal="left" vertical="center"/>
    </xf>
    <xf numFmtId="0" fontId="113" fillId="2" borderId="0" xfId="0" applyFont="1" applyFill="1" applyAlignment="1">
      <alignment horizontal="left" vertical="center"/>
    </xf>
    <xf numFmtId="0" fontId="22" fillId="29" borderId="7" xfId="0" applyFont="1" applyFill="1" applyBorder="1" applyAlignment="1">
      <alignment vertical="center" wrapText="1"/>
    </xf>
    <xf numFmtId="168" fontId="110" fillId="5" borderId="0" xfId="0" applyNumberFormat="1" applyFont="1" applyFill="1" applyAlignment="1">
      <alignment vertical="center"/>
    </xf>
    <xf numFmtId="10" fontId="21" fillId="2" borderId="0" xfId="3" applyNumberFormat="1" applyFont="1" applyFill="1" applyBorder="1" applyAlignment="1">
      <alignment horizontal="right" vertical="center"/>
    </xf>
    <xf numFmtId="0" fontId="8" fillId="0" borderId="0" xfId="0" applyFont="1" applyAlignment="1">
      <alignment vertical="center"/>
    </xf>
    <xf numFmtId="0" fontId="8" fillId="19" borderId="13" xfId="0" applyFont="1" applyFill="1" applyBorder="1"/>
    <xf numFmtId="3" fontId="8" fillId="19" borderId="13" xfId="0" applyNumberFormat="1" applyFont="1" applyFill="1" applyBorder="1"/>
    <xf numFmtId="0" fontId="114" fillId="2" borderId="0" xfId="0" applyFont="1" applyFill="1" applyAlignment="1">
      <alignment vertical="center"/>
    </xf>
    <xf numFmtId="0" fontId="105" fillId="2" borderId="0" xfId="0" applyFont="1" applyFill="1"/>
    <xf numFmtId="0" fontId="6" fillId="2" borderId="0" xfId="0" applyFont="1" applyFill="1" applyAlignment="1">
      <alignment vertical="center"/>
    </xf>
    <xf numFmtId="0" fontId="11" fillId="2" borderId="0" xfId="0" applyFont="1" applyFill="1" applyAlignment="1">
      <alignment vertical="center"/>
    </xf>
    <xf numFmtId="0" fontId="13" fillId="2" borderId="30" xfId="0" applyFont="1" applyFill="1" applyBorder="1" applyAlignment="1">
      <alignment vertical="center"/>
    </xf>
    <xf numFmtId="0" fontId="12" fillId="0" borderId="30" xfId="0" applyFont="1" applyBorder="1" applyAlignment="1">
      <alignment horizontal="left" vertical="center" wrapText="1"/>
    </xf>
    <xf numFmtId="164" fontId="6" fillId="19" borderId="13" xfId="3" applyNumberFormat="1" applyFont="1" applyFill="1" applyBorder="1" applyAlignment="1">
      <alignment horizontal="right" vertical="center" wrapText="1"/>
    </xf>
    <xf numFmtId="166" fontId="6" fillId="19" borderId="13" xfId="2" applyNumberFormat="1" applyFont="1" applyFill="1" applyBorder="1" applyAlignment="1">
      <alignment horizontal="right" vertical="center" wrapText="1"/>
    </xf>
    <xf numFmtId="49" fontId="6" fillId="19" borderId="13" xfId="2" applyNumberFormat="1" applyFont="1" applyFill="1" applyBorder="1" applyAlignment="1">
      <alignment horizontal="right" vertical="center" wrapText="1"/>
    </xf>
    <xf numFmtId="0" fontId="7" fillId="19" borderId="8" xfId="0" applyFont="1" applyFill="1" applyBorder="1" applyAlignment="1">
      <alignment horizontal="center" vertical="center"/>
    </xf>
    <xf numFmtId="166" fontId="6" fillId="19" borderId="16" xfId="2" applyNumberFormat="1" applyFont="1" applyFill="1" applyBorder="1" applyAlignment="1">
      <alignment horizontal="center" vertical="center" wrapText="1"/>
    </xf>
    <xf numFmtId="164" fontId="6" fillId="19" borderId="7" xfId="3" applyNumberFormat="1" applyFont="1" applyFill="1" applyBorder="1" applyAlignment="1">
      <alignment horizontal="center" vertical="center"/>
    </xf>
    <xf numFmtId="0" fontId="7" fillId="19" borderId="13" xfId="0" applyFont="1" applyFill="1" applyBorder="1" applyAlignment="1">
      <alignment horizontal="left" vertical="center" wrapText="1"/>
    </xf>
    <xf numFmtId="0" fontId="93" fillId="19" borderId="13" xfId="0" applyFont="1" applyFill="1" applyBorder="1" applyAlignment="1">
      <alignment horizontal="center" vertical="center" wrapText="1"/>
    </xf>
    <xf numFmtId="0" fontId="93" fillId="19" borderId="13" xfId="0" applyFont="1" applyFill="1" applyBorder="1" applyAlignment="1">
      <alignment vertical="center"/>
    </xf>
    <xf numFmtId="166" fontId="6" fillId="19" borderId="13" xfId="2" applyNumberFormat="1" applyFont="1" applyFill="1" applyBorder="1" applyAlignment="1">
      <alignment horizontal="right" vertical="center"/>
    </xf>
    <xf numFmtId="166" fontId="8" fillId="2" borderId="0" xfId="2" applyNumberFormat="1" applyFont="1" applyFill="1" applyAlignment="1">
      <alignment horizontal="center" vertical="center" wrapText="1"/>
    </xf>
    <xf numFmtId="166" fontId="6" fillId="0" borderId="0" xfId="2" applyNumberFormat="1" applyFont="1" applyAlignment="1">
      <alignment wrapText="1"/>
    </xf>
    <xf numFmtId="166" fontId="6" fillId="2" borderId="0" xfId="2" applyNumberFormat="1" applyFont="1" applyFill="1" applyAlignment="1">
      <alignment horizontal="center" vertical="center" wrapText="1"/>
    </xf>
    <xf numFmtId="166" fontId="6" fillId="2" borderId="0" xfId="2" applyNumberFormat="1" applyFont="1" applyFill="1" applyAlignment="1">
      <alignment wrapText="1"/>
    </xf>
    <xf numFmtId="166" fontId="6" fillId="0" borderId="0" xfId="2" applyNumberFormat="1" applyFont="1" applyAlignment="1">
      <alignment horizontal="center" vertical="center" wrapText="1"/>
    </xf>
    <xf numFmtId="166" fontId="7" fillId="0" borderId="16" xfId="2" applyNumberFormat="1" applyFont="1" applyBorder="1" applyAlignment="1">
      <alignment horizontal="center" vertical="center"/>
    </xf>
    <xf numFmtId="9" fontId="8" fillId="0" borderId="7" xfId="3" applyFont="1" applyBorder="1"/>
    <xf numFmtId="0" fontId="8" fillId="0" borderId="7" xfId="0" applyFont="1" applyBorder="1"/>
    <xf numFmtId="0" fontId="114" fillId="2" borderId="30" xfId="0" applyFont="1" applyFill="1" applyBorder="1" applyAlignment="1">
      <alignment horizontal="left" indent="2"/>
    </xf>
    <xf numFmtId="0" fontId="114" fillId="2" borderId="30" xfId="0" applyFont="1" applyFill="1" applyBorder="1" applyAlignment="1">
      <alignment vertical="center"/>
    </xf>
    <xf numFmtId="0" fontId="115" fillId="0" borderId="30" xfId="0" applyFont="1" applyBorder="1" applyAlignment="1">
      <alignment vertical="center" wrapText="1"/>
    </xf>
    <xf numFmtId="0" fontId="115" fillId="5" borderId="30" xfId="0" applyFont="1" applyFill="1" applyBorder="1" applyAlignment="1">
      <alignment vertical="center"/>
    </xf>
    <xf numFmtId="166" fontId="115" fillId="7" borderId="30" xfId="2" applyNumberFormat="1" applyFont="1" applyFill="1" applyBorder="1" applyAlignment="1">
      <alignment horizontal="right" vertical="center"/>
    </xf>
    <xf numFmtId="0" fontId="115" fillId="0" borderId="30" xfId="0" applyFont="1" applyBorder="1" applyAlignment="1">
      <alignment horizontal="left" vertical="center"/>
    </xf>
    <xf numFmtId="0" fontId="115" fillId="0" borderId="30" xfId="0" applyFont="1" applyBorder="1" applyAlignment="1">
      <alignment vertical="center"/>
    </xf>
    <xf numFmtId="0" fontId="114" fillId="0" borderId="30" xfId="0" applyFont="1" applyBorder="1" applyAlignment="1">
      <alignment vertical="center"/>
    </xf>
    <xf numFmtId="3" fontId="115" fillId="5" borderId="30" xfId="0" applyNumberFormat="1" applyFont="1" applyFill="1" applyBorder="1" applyAlignment="1">
      <alignment horizontal="right" vertical="center"/>
    </xf>
    <xf numFmtId="0" fontId="117" fillId="0" borderId="30" xfId="0" applyFont="1" applyBorder="1" applyAlignment="1">
      <alignment vertical="center"/>
    </xf>
    <xf numFmtId="0" fontId="52" fillId="2" borderId="0" xfId="0" applyFont="1" applyFill="1" applyAlignment="1">
      <alignment horizontal="left" vertical="top" wrapText="1"/>
    </xf>
    <xf numFmtId="0" fontId="81" fillId="2" borderId="0" xfId="0" applyFont="1" applyFill="1" applyAlignment="1">
      <alignment vertical="top" wrapText="1"/>
    </xf>
    <xf numFmtId="166" fontId="87" fillId="23" borderId="30" xfId="2" applyNumberFormat="1" applyFont="1" applyFill="1" applyBorder="1" applyAlignment="1">
      <alignment horizontal="right" vertical="center"/>
    </xf>
    <xf numFmtId="171" fontId="87" fillId="4" borderId="30" xfId="0" applyNumberFormat="1" applyFont="1" applyFill="1" applyBorder="1" applyAlignment="1">
      <alignment horizontal="right" vertical="center"/>
    </xf>
    <xf numFmtId="0" fontId="114" fillId="0" borderId="30" xfId="0" applyFont="1" applyBorder="1" applyAlignment="1">
      <alignment horizontal="left" vertical="center"/>
    </xf>
    <xf numFmtId="0" fontId="114" fillId="0" borderId="30" xfId="0" applyFont="1" applyBorder="1" applyAlignment="1">
      <alignment horizontal="left" vertical="center" wrapText="1"/>
    </xf>
    <xf numFmtId="0" fontId="115" fillId="0" borderId="30" xfId="0" applyFont="1" applyBorder="1" applyAlignment="1">
      <alignment horizontal="left" vertical="center" wrapText="1"/>
    </xf>
    <xf numFmtId="0" fontId="115" fillId="2" borderId="30" xfId="0" applyFont="1" applyFill="1" applyBorder="1" applyAlignment="1">
      <alignment vertical="center"/>
    </xf>
    <xf numFmtId="0" fontId="115" fillId="0" borderId="30" xfId="0" applyFont="1" applyBorder="1" applyAlignment="1">
      <alignment horizontal="right" vertical="center" wrapText="1"/>
    </xf>
    <xf numFmtId="2" fontId="115" fillId="0" borderId="30" xfId="0" applyNumberFormat="1" applyFont="1" applyBorder="1" applyAlignment="1">
      <alignment horizontal="right" vertical="center" wrapText="1"/>
    </xf>
    <xf numFmtId="1" fontId="115" fillId="0" borderId="30" xfId="0" applyNumberFormat="1" applyFont="1" applyBorder="1" applyAlignment="1">
      <alignment vertical="center"/>
    </xf>
    <xf numFmtId="2" fontId="115" fillId="0" borderId="30" xfId="0" applyNumberFormat="1" applyFont="1" applyBorder="1" applyAlignment="1">
      <alignment vertical="center"/>
    </xf>
    <xf numFmtId="165" fontId="115" fillId="0" borderId="30" xfId="0" applyNumberFormat="1" applyFont="1" applyBorder="1" applyAlignment="1">
      <alignment horizontal="right" vertical="center"/>
    </xf>
    <xf numFmtId="0" fontId="115" fillId="0" borderId="30" xfId="0" applyFont="1" applyBorder="1" applyAlignment="1">
      <alignment horizontal="right" vertical="center"/>
    </xf>
    <xf numFmtId="0" fontId="115" fillId="2" borderId="30" xfId="0" applyFont="1" applyFill="1" applyBorder="1" applyAlignment="1">
      <alignment horizontal="right" vertical="center"/>
    </xf>
    <xf numFmtId="0" fontId="115" fillId="0" borderId="30" xfId="0" applyFont="1" applyBorder="1" applyAlignment="1">
      <alignment wrapText="1"/>
    </xf>
    <xf numFmtId="0" fontId="117" fillId="0" borderId="30" xfId="0" applyFont="1" applyBorder="1" applyAlignment="1">
      <alignment horizontal="left" wrapText="1"/>
    </xf>
    <xf numFmtId="0" fontId="114" fillId="2" borderId="0" xfId="0" applyFont="1" applyFill="1" applyAlignment="1">
      <alignment horizontal="left"/>
    </xf>
    <xf numFmtId="0" fontId="114" fillId="2" borderId="0" xfId="0" applyFont="1" applyFill="1"/>
    <xf numFmtId="0" fontId="114" fillId="0" borderId="30" xfId="0" applyFont="1" applyBorder="1" applyAlignment="1">
      <alignment horizontal="left" wrapText="1"/>
    </xf>
    <xf numFmtId="0" fontId="114" fillId="2" borderId="7" xfId="0" applyFont="1" applyFill="1" applyBorder="1" applyAlignment="1">
      <alignment vertical="center" wrapText="1"/>
    </xf>
    <xf numFmtId="0" fontId="114" fillId="2" borderId="42" xfId="0" applyFont="1" applyFill="1" applyBorder="1" applyAlignment="1">
      <alignment vertical="center" wrapText="1"/>
    </xf>
    <xf numFmtId="0" fontId="114" fillId="2" borderId="43" xfId="0" applyFont="1" applyFill="1" applyBorder="1" applyAlignment="1">
      <alignment vertical="center" wrapText="1"/>
    </xf>
    <xf numFmtId="0" fontId="112" fillId="2" borderId="0" xfId="0" applyFont="1" applyFill="1" applyAlignment="1">
      <alignment vertical="center"/>
    </xf>
    <xf numFmtId="0" fontId="115" fillId="0" borderId="30" xfId="0" applyFont="1" applyBorder="1"/>
    <xf numFmtId="0" fontId="66" fillId="0" borderId="45" xfId="0" applyFont="1" applyBorder="1" applyAlignment="1">
      <alignment vertical="center" wrapText="1"/>
    </xf>
    <xf numFmtId="0" fontId="13" fillId="0" borderId="45" xfId="0" applyFont="1" applyBorder="1" applyAlignment="1">
      <alignment vertical="center"/>
    </xf>
    <xf numFmtId="0" fontId="13" fillId="0" borderId="45" xfId="0" applyFont="1" applyBorder="1" applyAlignment="1">
      <alignment horizontal="center" vertical="center" wrapText="1"/>
    </xf>
    <xf numFmtId="9" fontId="112" fillId="0" borderId="45" xfId="3" applyFont="1" applyFill="1" applyBorder="1" applyAlignment="1">
      <alignment vertical="center"/>
    </xf>
    <xf numFmtId="0" fontId="66" fillId="0" borderId="41" xfId="0" applyFont="1" applyBorder="1" applyAlignment="1">
      <alignment vertical="center"/>
    </xf>
    <xf numFmtId="0" fontId="138" fillId="0" borderId="45" xfId="0" applyFont="1" applyBorder="1" applyAlignment="1">
      <alignment vertical="center" wrapText="1"/>
    </xf>
    <xf numFmtId="0" fontId="115" fillId="5" borderId="30" xfId="0" applyFont="1" applyFill="1" applyBorder="1" applyAlignment="1">
      <alignment horizontal="left" vertical="center" wrapText="1"/>
    </xf>
    <xf numFmtId="0" fontId="120" fillId="5" borderId="30" xfId="0" applyFont="1" applyFill="1" applyBorder="1" applyAlignment="1">
      <alignment horizontal="left" vertical="center" wrapText="1"/>
    </xf>
    <xf numFmtId="0" fontId="118" fillId="5" borderId="30" xfId="0" applyFont="1" applyFill="1" applyBorder="1" applyAlignment="1">
      <alignment horizontal="left" vertical="center"/>
    </xf>
    <xf numFmtId="0" fontId="118" fillId="0" borderId="30" xfId="0" applyFont="1" applyBorder="1" applyAlignment="1">
      <alignment horizontal="left" vertical="center"/>
    </xf>
    <xf numFmtId="6" fontId="118" fillId="0" borderId="30" xfId="0" applyNumberFormat="1" applyFont="1" applyBorder="1" applyAlignment="1">
      <alignment horizontal="left" wrapText="1"/>
    </xf>
    <xf numFmtId="6" fontId="119" fillId="0" borderId="30" xfId="0" applyNumberFormat="1" applyFont="1" applyBorder="1" applyAlignment="1">
      <alignment horizontal="left" wrapText="1"/>
    </xf>
    <xf numFmtId="166" fontId="114" fillId="2" borderId="0" xfId="2" applyNumberFormat="1" applyFont="1" applyFill="1" applyBorder="1" applyAlignment="1">
      <alignment horizontal="left"/>
    </xf>
    <xf numFmtId="0" fontId="140" fillId="0" borderId="30" xfId="0" applyFont="1" applyBorder="1" applyAlignment="1">
      <alignment horizontal="left" wrapText="1"/>
    </xf>
    <xf numFmtId="0" fontId="141" fillId="2" borderId="30" xfId="0" applyFont="1" applyFill="1" applyBorder="1" applyAlignment="1">
      <alignment horizontal="left"/>
    </xf>
    <xf numFmtId="166" fontId="142" fillId="2" borderId="0" xfId="2" applyNumberFormat="1" applyFont="1" applyFill="1" applyBorder="1" applyAlignment="1">
      <alignment horizontal="left"/>
    </xf>
    <xf numFmtId="0" fontId="114" fillId="0" borderId="30" xfId="0" applyFont="1" applyBorder="1" applyAlignment="1">
      <alignment wrapText="1"/>
    </xf>
    <xf numFmtId="0" fontId="114" fillId="0" borderId="30" xfId="0" applyFont="1" applyBorder="1" applyAlignment="1">
      <alignment vertical="top" wrapText="1"/>
    </xf>
    <xf numFmtId="166" fontId="114" fillId="2" borderId="0" xfId="2" applyNumberFormat="1" applyFont="1" applyFill="1" applyBorder="1" applyAlignment="1"/>
    <xf numFmtId="3" fontId="120" fillId="0" borderId="30" xfId="0" applyNumberFormat="1" applyFont="1" applyBorder="1" applyAlignment="1">
      <alignment wrapText="1"/>
    </xf>
    <xf numFmtId="0" fontId="115" fillId="2" borderId="0" xfId="0" applyFont="1" applyFill="1"/>
    <xf numFmtId="3" fontId="115" fillId="0" borderId="30" xfId="0" applyNumberFormat="1" applyFont="1" applyBorder="1"/>
    <xf numFmtId="0" fontId="145" fillId="2" borderId="0" xfId="0" applyFont="1" applyFill="1"/>
    <xf numFmtId="0" fontId="146" fillId="5" borderId="0" xfId="0" applyFont="1" applyFill="1" applyAlignment="1">
      <alignment horizontal="left" vertical="center"/>
    </xf>
    <xf numFmtId="0" fontId="148" fillId="2" borderId="0" xfId="0" applyFont="1" applyFill="1"/>
    <xf numFmtId="0" fontId="25" fillId="35" borderId="8" xfId="0" applyFont="1" applyFill="1" applyBorder="1" applyAlignment="1">
      <alignment horizontal="left" vertical="center"/>
    </xf>
    <xf numFmtId="0" fontId="25" fillId="35" borderId="8" xfId="0" applyFont="1" applyFill="1" applyBorder="1" applyAlignment="1">
      <alignment vertical="center"/>
    </xf>
    <xf numFmtId="0" fontId="25" fillId="35" borderId="8" xfId="0" applyFont="1" applyFill="1" applyBorder="1" applyAlignment="1">
      <alignment horizontal="right" vertical="center"/>
    </xf>
    <xf numFmtId="0" fontId="149" fillId="2" borderId="0" xfId="0" applyFont="1" applyFill="1" applyAlignment="1">
      <alignment horizontal="left" vertical="center"/>
    </xf>
    <xf numFmtId="0" fontId="152" fillId="2" borderId="0" xfId="0" applyFont="1" applyFill="1" applyAlignment="1">
      <alignment horizontal="left" vertical="center"/>
    </xf>
    <xf numFmtId="0" fontId="104" fillId="35" borderId="14" xfId="0" applyFont="1" applyFill="1" applyBorder="1" applyAlignment="1">
      <alignment vertical="center" wrapText="1"/>
    </xf>
    <xf numFmtId="0" fontId="104" fillId="35" borderId="14" xfId="0" applyFont="1" applyFill="1" applyBorder="1" applyAlignment="1">
      <alignment horizontal="center" vertical="center" wrapText="1"/>
    </xf>
    <xf numFmtId="0" fontId="146" fillId="5" borderId="0" xfId="0" applyFont="1" applyFill="1" applyAlignment="1">
      <alignment vertical="center"/>
    </xf>
    <xf numFmtId="3" fontId="150" fillId="4" borderId="30" xfId="0" applyNumberFormat="1" applyFont="1" applyFill="1" applyBorder="1" applyAlignment="1">
      <alignment horizontal="right" vertical="center"/>
    </xf>
    <xf numFmtId="0" fontId="25" fillId="35" borderId="30" xfId="0" applyFont="1" applyFill="1" applyBorder="1" applyAlignment="1">
      <alignment horizontal="right" vertical="center" wrapText="1"/>
    </xf>
    <xf numFmtId="169" fontId="104" fillId="35" borderId="30" xfId="0" applyNumberFormat="1" applyFont="1" applyFill="1" applyBorder="1" applyAlignment="1">
      <alignment horizontal="left" vertical="center"/>
    </xf>
    <xf numFmtId="0" fontId="104" fillId="35" borderId="30" xfId="0" applyFont="1" applyFill="1" applyBorder="1" applyAlignment="1">
      <alignment horizontal="right" vertical="center" wrapText="1"/>
    </xf>
    <xf numFmtId="0" fontId="105" fillId="35" borderId="30" xfId="0" applyFont="1" applyFill="1" applyBorder="1" applyAlignment="1">
      <alignment horizontal="right" vertical="center" wrapText="1"/>
    </xf>
    <xf numFmtId="0" fontId="104" fillId="35" borderId="30" xfId="0" applyFont="1" applyFill="1" applyBorder="1" applyAlignment="1">
      <alignment horizontal="left" vertical="center" wrapText="1"/>
    </xf>
    <xf numFmtId="0" fontId="104" fillId="37" borderId="30" xfId="0" applyFont="1" applyFill="1" applyBorder="1" applyAlignment="1">
      <alignment horizontal="right" vertical="center" wrapText="1"/>
    </xf>
    <xf numFmtId="0" fontId="16" fillId="35" borderId="30" xfId="0" applyFont="1" applyFill="1" applyBorder="1" applyAlignment="1">
      <alignment horizontal="left" vertical="center"/>
    </xf>
    <xf numFmtId="0" fontId="16" fillId="35" borderId="30" xfId="0" applyFont="1" applyFill="1" applyBorder="1" applyAlignment="1">
      <alignment horizontal="left" vertical="center" wrapText="1"/>
    </xf>
    <xf numFmtId="166" fontId="13" fillId="0" borderId="45" xfId="2" applyNumberFormat="1" applyFont="1" applyFill="1" applyBorder="1" applyAlignment="1">
      <alignment vertical="center"/>
    </xf>
    <xf numFmtId="0" fontId="144" fillId="33" borderId="0" xfId="0" applyFont="1" applyFill="1" applyAlignment="1">
      <alignment horizontal="left" vertical="center"/>
    </xf>
    <xf numFmtId="0" fontId="114" fillId="33" borderId="0" xfId="0" applyFont="1" applyFill="1" applyAlignment="1">
      <alignment horizontal="left" vertical="center"/>
    </xf>
    <xf numFmtId="0" fontId="8" fillId="33" borderId="0" xfId="0" applyFont="1" applyFill="1" applyAlignment="1">
      <alignment vertical="center"/>
    </xf>
    <xf numFmtId="0" fontId="143" fillId="25" borderId="49" xfId="0" applyFont="1" applyFill="1" applyBorder="1" applyAlignment="1">
      <alignment horizontal="left" vertical="center"/>
    </xf>
    <xf numFmtId="0" fontId="114" fillId="25" borderId="49" xfId="0" applyFont="1" applyFill="1" applyBorder="1" applyAlignment="1">
      <alignment horizontal="left" vertical="center"/>
    </xf>
    <xf numFmtId="0" fontId="8" fillId="25" borderId="49" xfId="0" applyFont="1" applyFill="1" applyBorder="1" applyAlignment="1">
      <alignment vertical="center"/>
    </xf>
    <xf numFmtId="0" fontId="8" fillId="25" borderId="50" xfId="0" applyFont="1" applyFill="1" applyBorder="1" applyAlignment="1">
      <alignment vertical="center"/>
    </xf>
    <xf numFmtId="0" fontId="143" fillId="25" borderId="0" xfId="0" applyFont="1" applyFill="1" applyAlignment="1">
      <alignment horizontal="left" vertical="center"/>
    </xf>
    <xf numFmtId="0" fontId="114" fillId="25" borderId="0" xfId="0" applyFont="1" applyFill="1" applyAlignment="1">
      <alignment horizontal="left" vertical="center"/>
    </xf>
    <xf numFmtId="0" fontId="8" fillId="25" borderId="0" xfId="0" applyFont="1" applyFill="1" applyAlignment="1">
      <alignment vertical="center"/>
    </xf>
    <xf numFmtId="0" fontId="8" fillId="25" borderId="51" xfId="0" applyFont="1" applyFill="1" applyBorder="1" applyAlignment="1">
      <alignment vertical="center"/>
    </xf>
    <xf numFmtId="0" fontId="143" fillId="25" borderId="52" xfId="0" applyFont="1" applyFill="1" applyBorder="1" applyAlignment="1">
      <alignment horizontal="left" vertical="center"/>
    </xf>
    <xf numFmtId="0" fontId="114" fillId="25" borderId="52" xfId="0" applyFont="1" applyFill="1" applyBorder="1" applyAlignment="1">
      <alignment horizontal="left" vertical="center"/>
    </xf>
    <xf numFmtId="0" fontId="8" fillId="25" borderId="52" xfId="0" applyFont="1" applyFill="1" applyBorder="1" applyAlignment="1">
      <alignment vertical="center"/>
    </xf>
    <xf numFmtId="0" fontId="8" fillId="25" borderId="53" xfId="0" applyFont="1" applyFill="1" applyBorder="1" applyAlignment="1">
      <alignment vertical="center"/>
    </xf>
    <xf numFmtId="0" fontId="144" fillId="33" borderId="49" xfId="0" applyFont="1" applyFill="1" applyBorder="1" applyAlignment="1">
      <alignment horizontal="left" vertical="center"/>
    </xf>
    <xf numFmtId="0" fontId="114" fillId="33" borderId="49" xfId="0" applyFont="1" applyFill="1" applyBorder="1" applyAlignment="1">
      <alignment horizontal="left" vertical="center"/>
    </xf>
    <xf numFmtId="0" fontId="8" fillId="33" borderId="49" xfId="0" applyFont="1" applyFill="1" applyBorder="1" applyAlignment="1">
      <alignment vertical="center"/>
    </xf>
    <xf numFmtId="0" fontId="8" fillId="33" borderId="50" xfId="0" applyFont="1" applyFill="1" applyBorder="1" applyAlignment="1">
      <alignment vertical="center"/>
    </xf>
    <xf numFmtId="0" fontId="8" fillId="33" borderId="51" xfId="0" applyFont="1" applyFill="1" applyBorder="1" applyAlignment="1">
      <alignment vertical="center"/>
    </xf>
    <xf numFmtId="0" fontId="139" fillId="31" borderId="55" xfId="0" applyFont="1" applyFill="1" applyBorder="1" applyAlignment="1">
      <alignment vertical="center"/>
    </xf>
    <xf numFmtId="0" fontId="8" fillId="31" borderId="55" xfId="0" applyFont="1" applyFill="1" applyBorder="1"/>
    <xf numFmtId="0" fontId="8" fillId="31" borderId="56" xfId="0" applyFont="1" applyFill="1" applyBorder="1"/>
    <xf numFmtId="0" fontId="143" fillId="25" borderId="57" xfId="0" applyFont="1" applyFill="1" applyBorder="1" applyAlignment="1">
      <alignment horizontal="left" vertical="center"/>
    </xf>
    <xf numFmtId="0" fontId="143" fillId="25" borderId="58" xfId="0" applyFont="1" applyFill="1" applyBorder="1" applyAlignment="1">
      <alignment horizontal="left" vertical="center"/>
    </xf>
    <xf numFmtId="0" fontId="143" fillId="25" borderId="59" xfId="0" applyFont="1" applyFill="1" applyBorder="1" applyAlignment="1">
      <alignment horizontal="left" vertical="center"/>
    </xf>
    <xf numFmtId="0" fontId="144" fillId="33" borderId="57" xfId="0" applyFont="1" applyFill="1" applyBorder="1" applyAlignment="1">
      <alignment horizontal="left" vertical="center"/>
    </xf>
    <xf numFmtId="0" fontId="144" fillId="33" borderId="58" xfId="0" applyFont="1" applyFill="1" applyBorder="1" applyAlignment="1">
      <alignment horizontal="left" vertical="center"/>
    </xf>
    <xf numFmtId="0" fontId="16" fillId="35" borderId="30" xfId="0" applyFont="1" applyFill="1" applyBorder="1" applyAlignment="1">
      <alignment horizontal="center" vertical="center" wrapText="1"/>
    </xf>
    <xf numFmtId="0" fontId="104" fillId="35" borderId="30" xfId="0" applyFont="1" applyFill="1" applyBorder="1" applyAlignment="1">
      <alignment horizontal="center" vertical="center"/>
    </xf>
    <xf numFmtId="0" fontId="104" fillId="35" borderId="30" xfId="0" applyFont="1" applyFill="1" applyBorder="1" applyAlignment="1">
      <alignment horizontal="center" vertical="center" wrapText="1"/>
    </xf>
    <xf numFmtId="0" fontId="105" fillId="35" borderId="30" xfId="0" applyFont="1" applyFill="1" applyBorder="1" applyAlignment="1">
      <alignment horizontal="center" vertical="center"/>
    </xf>
    <xf numFmtId="0" fontId="105" fillId="35" borderId="30" xfId="0" applyFont="1" applyFill="1" applyBorder="1" applyAlignment="1">
      <alignment horizontal="center" vertical="center" wrapText="1"/>
    </xf>
    <xf numFmtId="0" fontId="150" fillId="20" borderId="30" xfId="0" applyFont="1" applyFill="1" applyBorder="1" applyAlignment="1">
      <alignment horizontal="center" vertical="center" wrapText="1"/>
    </xf>
    <xf numFmtId="0" fontId="115" fillId="2" borderId="30" xfId="0" applyFont="1" applyFill="1" applyBorder="1" applyAlignment="1">
      <alignment horizontal="center" vertical="center" wrapText="1"/>
    </xf>
    <xf numFmtId="2" fontId="115" fillId="0" borderId="30" xfId="0" applyNumberFormat="1" applyFont="1" applyBorder="1" applyAlignment="1">
      <alignment horizontal="center" vertical="center" wrapText="1"/>
    </xf>
    <xf numFmtId="0" fontId="115" fillId="0" borderId="30" xfId="0" applyFont="1" applyBorder="1" applyAlignment="1">
      <alignment horizontal="center" vertical="center" wrapText="1"/>
    </xf>
    <xf numFmtId="0" fontId="150" fillId="20" borderId="30" xfId="0" applyFont="1" applyFill="1" applyBorder="1" applyAlignment="1">
      <alignment horizontal="right" vertical="center" wrapText="1"/>
    </xf>
    <xf numFmtId="165" fontId="150" fillId="20" borderId="30" xfId="0" applyNumberFormat="1" applyFont="1" applyFill="1" applyBorder="1" applyAlignment="1">
      <alignment horizontal="right" vertical="center"/>
    </xf>
    <xf numFmtId="0" fontId="150" fillId="20" borderId="30" xfId="0" applyFont="1" applyFill="1" applyBorder="1" applyAlignment="1">
      <alignment horizontal="right" vertical="center"/>
    </xf>
    <xf numFmtId="0" fontId="87" fillId="20" borderId="30" xfId="0" applyFont="1" applyFill="1" applyBorder="1" applyAlignment="1">
      <alignment vertical="center"/>
    </xf>
    <xf numFmtId="0" fontId="150" fillId="20" borderId="30" xfId="0" applyFont="1" applyFill="1" applyBorder="1" applyAlignment="1">
      <alignment vertical="center"/>
    </xf>
    <xf numFmtId="9" fontId="150" fillId="20" borderId="30" xfId="3" applyFont="1" applyFill="1" applyBorder="1" applyAlignment="1">
      <alignment vertical="center"/>
    </xf>
    <xf numFmtId="0" fontId="118" fillId="0" borderId="30" xfId="0" applyFont="1" applyBorder="1" applyAlignment="1">
      <alignment wrapText="1"/>
    </xf>
    <xf numFmtId="3" fontId="114" fillId="0" borderId="30" xfId="0" applyNumberFormat="1" applyFont="1" applyBorder="1" applyAlignment="1">
      <alignment wrapText="1"/>
    </xf>
    <xf numFmtId="1" fontId="115" fillId="0" borderId="30" xfId="0" applyNumberFormat="1" applyFont="1" applyBorder="1" applyAlignment="1">
      <alignment wrapText="1"/>
    </xf>
    <xf numFmtId="166" fontId="115" fillId="0" borderId="0" xfId="2" applyNumberFormat="1" applyFont="1" applyFill="1" applyBorder="1" applyAlignment="1"/>
    <xf numFmtId="3" fontId="115" fillId="0" borderId="30" xfId="0" applyNumberFormat="1" applyFont="1" applyBorder="1" applyAlignment="1">
      <alignment wrapText="1"/>
    </xf>
    <xf numFmtId="0" fontId="86" fillId="20" borderId="30" xfId="0" applyFont="1" applyFill="1" applyBorder="1"/>
    <xf numFmtId="1" fontId="86" fillId="20" borderId="30" xfId="0" applyNumberFormat="1" applyFont="1" applyFill="1" applyBorder="1" applyAlignment="1">
      <alignment wrapText="1"/>
    </xf>
    <xf numFmtId="3" fontId="87" fillId="20" borderId="30" xfId="0" applyNumberFormat="1" applyFont="1" applyFill="1" applyBorder="1" applyAlignment="1">
      <alignment wrapText="1"/>
    </xf>
    <xf numFmtId="9" fontId="86" fillId="20" borderId="30" xfId="3" applyFont="1" applyFill="1" applyBorder="1" applyAlignment="1">
      <alignment horizontal="right"/>
    </xf>
    <xf numFmtId="9" fontId="87" fillId="20" borderId="30" xfId="3" applyFont="1" applyFill="1" applyBorder="1" applyAlignment="1">
      <alignment horizontal="right"/>
    </xf>
    <xf numFmtId="9" fontId="86" fillId="20" borderId="30" xfId="3" applyFont="1" applyFill="1" applyBorder="1"/>
    <xf numFmtId="0" fontId="65" fillId="2" borderId="0" xfId="0" applyFont="1" applyFill="1" applyAlignment="1">
      <alignment vertical="top"/>
    </xf>
    <xf numFmtId="0" fontId="146" fillId="0" borderId="0" xfId="0" applyFont="1" applyAlignment="1">
      <alignment vertical="center"/>
    </xf>
    <xf numFmtId="0" fontId="114" fillId="2" borderId="0" xfId="0" applyFont="1" applyFill="1" applyAlignment="1">
      <alignment wrapText="1"/>
    </xf>
    <xf numFmtId="171" fontId="150" fillId="4" borderId="30" xfId="0" applyNumberFormat="1" applyFont="1" applyFill="1" applyBorder="1" applyAlignment="1">
      <alignment horizontal="right" vertical="center"/>
    </xf>
    <xf numFmtId="171" fontId="115" fillId="5" borderId="30" xfId="0" applyNumberFormat="1" applyFont="1" applyFill="1" applyBorder="1" applyAlignment="1">
      <alignment horizontal="right" vertical="center"/>
    </xf>
    <xf numFmtId="0" fontId="25" fillId="2" borderId="0" xfId="0" applyFont="1" applyFill="1"/>
    <xf numFmtId="0" fontId="11" fillId="0" borderId="45" xfId="0" applyFont="1" applyBorder="1" applyAlignment="1">
      <alignment horizontal="center" vertical="center" wrapText="1"/>
    </xf>
    <xf numFmtId="168" fontId="13" fillId="0" borderId="45" xfId="2" applyNumberFormat="1" applyFont="1" applyFill="1" applyBorder="1" applyAlignment="1">
      <alignment vertical="center"/>
    </xf>
    <xf numFmtId="43" fontId="13" fillId="0" borderId="45" xfId="2" applyFont="1" applyFill="1" applyBorder="1" applyAlignment="1">
      <alignment vertical="center"/>
    </xf>
    <xf numFmtId="9" fontId="13" fillId="0" borderId="45" xfId="3" applyFont="1" applyFill="1" applyBorder="1" applyAlignment="1">
      <alignment vertical="center"/>
    </xf>
    <xf numFmtId="166" fontId="114" fillId="2" borderId="0" xfId="0" applyNumberFormat="1" applyFont="1" applyFill="1" applyAlignment="1">
      <alignment vertical="center"/>
    </xf>
    <xf numFmtId="164" fontId="13" fillId="2" borderId="0" xfId="3" applyNumberFormat="1" applyFont="1" applyFill="1"/>
    <xf numFmtId="43" fontId="13" fillId="2" borderId="0" xfId="0" applyNumberFormat="1" applyFont="1" applyFill="1"/>
    <xf numFmtId="0" fontId="115" fillId="2" borderId="42" xfId="0" applyFont="1" applyFill="1" applyBorder="1" applyAlignment="1">
      <alignment horizontal="center" vertical="center"/>
    </xf>
    <xf numFmtId="0" fontId="115" fillId="2" borderId="43" xfId="0" applyFont="1" applyFill="1" applyBorder="1" applyAlignment="1">
      <alignment horizontal="center" vertical="center"/>
    </xf>
    <xf numFmtId="0" fontId="115" fillId="2" borderId="7" xfId="0" applyFont="1" applyFill="1" applyBorder="1" applyAlignment="1">
      <alignment horizontal="center" vertical="center"/>
    </xf>
    <xf numFmtId="2" fontId="115" fillId="2" borderId="30" xfId="0" applyNumberFormat="1" applyFont="1" applyFill="1" applyBorder="1" applyAlignment="1">
      <alignment horizontal="center" vertical="center" wrapText="1"/>
    </xf>
    <xf numFmtId="2" fontId="150" fillId="20" borderId="30" xfId="0" applyNumberFormat="1" applyFont="1" applyFill="1" applyBorder="1" applyAlignment="1">
      <alignment horizontal="center" vertical="center" wrapText="1"/>
    </xf>
    <xf numFmtId="1" fontId="150" fillId="20" borderId="30" xfId="0" applyNumberFormat="1" applyFont="1" applyFill="1" applyBorder="1" applyAlignment="1">
      <alignment horizontal="center" vertical="center" wrapText="1"/>
    </xf>
    <xf numFmtId="3" fontId="86" fillId="20" borderId="30" xfId="0" applyNumberFormat="1" applyFont="1" applyFill="1" applyBorder="1" applyAlignment="1">
      <alignment wrapText="1"/>
    </xf>
    <xf numFmtId="0" fontId="13" fillId="0" borderId="30" xfId="0" applyFont="1" applyBorder="1" applyAlignment="1">
      <alignment horizontal="left" vertical="center" wrapText="1"/>
    </xf>
    <xf numFmtId="166" fontId="152" fillId="0" borderId="45" xfId="2" applyNumberFormat="1" applyFont="1" applyFill="1" applyBorder="1" applyAlignment="1">
      <alignment horizontal="right" vertical="center"/>
    </xf>
    <xf numFmtId="9" fontId="152" fillId="0" borderId="45" xfId="3" applyFont="1" applyFill="1" applyBorder="1" applyAlignment="1">
      <alignment horizontal="right" vertical="center"/>
    </xf>
    <xf numFmtId="0" fontId="152" fillId="0" borderId="45" xfId="0" applyFont="1" applyBorder="1" applyAlignment="1">
      <alignment horizontal="right" vertical="center"/>
    </xf>
    <xf numFmtId="2" fontId="152" fillId="0" borderId="45" xfId="0" applyNumberFormat="1" applyFont="1" applyBorder="1" applyAlignment="1">
      <alignment horizontal="right" vertical="center"/>
    </xf>
    <xf numFmtId="166" fontId="13" fillId="25" borderId="45" xfId="2" applyNumberFormat="1" applyFont="1" applyFill="1" applyBorder="1" applyAlignment="1">
      <alignment horizontal="right" vertical="center"/>
    </xf>
    <xf numFmtId="9" fontId="112" fillId="25" borderId="45" xfId="3" applyFont="1" applyFill="1" applyBorder="1" applyAlignment="1">
      <alignment vertical="center"/>
    </xf>
    <xf numFmtId="9" fontId="13" fillId="25" borderId="45" xfId="3" applyFont="1" applyFill="1" applyBorder="1" applyAlignment="1">
      <alignment horizontal="right" vertical="center"/>
    </xf>
    <xf numFmtId="0" fontId="13" fillId="25" borderId="45" xfId="0" applyFont="1" applyFill="1" applyBorder="1" applyAlignment="1">
      <alignment horizontal="right" vertical="center"/>
    </xf>
    <xf numFmtId="2" fontId="13" fillId="25" borderId="45" xfId="0" applyNumberFormat="1" applyFont="1" applyFill="1" applyBorder="1" applyAlignment="1">
      <alignment horizontal="right" vertical="center"/>
    </xf>
    <xf numFmtId="9" fontId="112" fillId="20" borderId="45" xfId="3" applyFont="1" applyFill="1" applyBorder="1" applyAlignment="1">
      <alignment vertical="center"/>
    </xf>
    <xf numFmtId="164" fontId="112" fillId="0" borderId="45" xfId="3" applyNumberFormat="1" applyFont="1" applyFill="1" applyBorder="1" applyAlignment="1">
      <alignment vertical="center"/>
    </xf>
    <xf numFmtId="0" fontId="66" fillId="42" borderId="45" xfId="0" applyFont="1" applyFill="1" applyBorder="1" applyAlignment="1">
      <alignment vertical="center" wrapText="1"/>
    </xf>
    <xf numFmtId="0" fontId="13" fillId="42" borderId="45" xfId="0" applyFont="1" applyFill="1" applyBorder="1" applyAlignment="1">
      <alignment vertical="center"/>
    </xf>
    <xf numFmtId="0" fontId="138" fillId="42" borderId="45" xfId="0" applyFont="1" applyFill="1" applyBorder="1" applyAlignment="1">
      <alignment vertical="center" wrapText="1"/>
    </xf>
    <xf numFmtId="0" fontId="13" fillId="42" borderId="45" xfId="0" applyFont="1" applyFill="1" applyBorder="1" applyAlignment="1">
      <alignment horizontal="center" vertical="center" wrapText="1"/>
    </xf>
    <xf numFmtId="166" fontId="12" fillId="42" borderId="45" xfId="2" applyNumberFormat="1" applyFont="1" applyFill="1" applyBorder="1" applyAlignment="1">
      <alignment vertical="center"/>
    </xf>
    <xf numFmtId="166" fontId="13" fillId="42" borderId="45" xfId="2" applyNumberFormat="1" applyFont="1" applyFill="1" applyBorder="1" applyAlignment="1">
      <alignment horizontal="right" vertical="center"/>
    </xf>
    <xf numFmtId="9" fontId="112" fillId="42" borderId="45" xfId="3" applyFont="1" applyFill="1" applyBorder="1" applyAlignment="1">
      <alignment vertical="center"/>
    </xf>
    <xf numFmtId="166" fontId="152" fillId="42" borderId="45" xfId="2" applyNumberFormat="1" applyFont="1" applyFill="1" applyBorder="1" applyAlignment="1">
      <alignment horizontal="right" vertical="center"/>
    </xf>
    <xf numFmtId="2" fontId="150" fillId="20" borderId="30" xfId="0" applyNumberFormat="1" applyFont="1" applyFill="1" applyBorder="1" applyAlignment="1">
      <alignment horizontal="right" vertical="center" wrapText="1"/>
    </xf>
    <xf numFmtId="0" fontId="13" fillId="0" borderId="30" xfId="0" applyFont="1" applyBorder="1" applyAlignment="1">
      <alignment horizontal="left" vertical="center"/>
    </xf>
    <xf numFmtId="9" fontId="115" fillId="5" borderId="30" xfId="3" applyFont="1" applyFill="1" applyBorder="1" applyAlignment="1">
      <alignment horizontal="right" vertical="center"/>
    </xf>
    <xf numFmtId="9" fontId="66" fillId="2" borderId="0" xfId="3" applyFont="1" applyFill="1"/>
    <xf numFmtId="0" fontId="166" fillId="0" borderId="45" xfId="0" applyFont="1" applyBorder="1" applyAlignment="1">
      <alignment vertical="center" wrapText="1"/>
    </xf>
    <xf numFmtId="0" fontId="12" fillId="0" borderId="45" xfId="0" applyFont="1" applyBorder="1" applyAlignment="1">
      <alignment horizontal="center" vertical="center" wrapText="1"/>
    </xf>
    <xf numFmtId="9" fontId="12" fillId="2" borderId="0" xfId="3" applyFont="1" applyFill="1"/>
    <xf numFmtId="2" fontId="114" fillId="2" borderId="0" xfId="0" applyNumberFormat="1" applyFont="1" applyFill="1"/>
    <xf numFmtId="0" fontId="25" fillId="35" borderId="30" xfId="0" applyFont="1" applyFill="1" applyBorder="1" applyAlignment="1">
      <alignment horizontal="center" vertical="center" wrapText="1"/>
    </xf>
    <xf numFmtId="174" fontId="13" fillId="2" borderId="0" xfId="0" applyNumberFormat="1" applyFont="1" applyFill="1"/>
    <xf numFmtId="171" fontId="158" fillId="4" borderId="30" xfId="0" applyNumberFormat="1" applyFont="1" applyFill="1" applyBorder="1" applyAlignment="1">
      <alignment horizontal="right" vertical="center"/>
    </xf>
    <xf numFmtId="9" fontId="112" fillId="44" borderId="45" xfId="3" applyFont="1" applyFill="1" applyBorder="1" applyAlignment="1">
      <alignment vertical="center"/>
    </xf>
    <xf numFmtId="9" fontId="12" fillId="0" borderId="45" xfId="3" applyFont="1" applyFill="1" applyBorder="1" applyAlignment="1">
      <alignment vertical="center"/>
    </xf>
    <xf numFmtId="9" fontId="12" fillId="25" borderId="45" xfId="3" applyFont="1" applyFill="1" applyBorder="1" applyAlignment="1">
      <alignment horizontal="right" vertical="center"/>
    </xf>
    <xf numFmtId="9" fontId="167" fillId="0" borderId="45" xfId="3" applyFont="1" applyFill="1" applyBorder="1" applyAlignment="1">
      <alignment horizontal="right" vertical="center"/>
    </xf>
    <xf numFmtId="9" fontId="13" fillId="2" borderId="0" xfId="0" applyNumberFormat="1" applyFont="1" applyFill="1"/>
    <xf numFmtId="2" fontId="105" fillId="2" borderId="0" xfId="0" applyNumberFormat="1" applyFont="1" applyFill="1"/>
    <xf numFmtId="0" fontId="114" fillId="2" borderId="30" xfId="0" applyFont="1" applyFill="1" applyBorder="1" applyAlignment="1">
      <alignment horizontal="left" vertical="center" wrapText="1"/>
    </xf>
    <xf numFmtId="0" fontId="114" fillId="2" borderId="30" xfId="0" applyFont="1" applyFill="1" applyBorder="1" applyAlignment="1">
      <alignment vertical="center" wrapText="1"/>
    </xf>
    <xf numFmtId="0" fontId="117" fillId="2" borderId="30" xfId="0" applyFont="1" applyFill="1" applyBorder="1" applyAlignment="1">
      <alignment vertical="center" wrapText="1"/>
    </xf>
    <xf numFmtId="171" fontId="13" fillId="25" borderId="45" xfId="0" applyNumberFormat="1" applyFont="1" applyFill="1" applyBorder="1" applyAlignment="1">
      <alignment horizontal="right" vertical="center"/>
    </xf>
    <xf numFmtId="177" fontId="8" fillId="2" borderId="0" xfId="0" applyNumberFormat="1" applyFont="1" applyFill="1" applyAlignment="1">
      <alignment vertical="center"/>
    </xf>
    <xf numFmtId="0" fontId="10" fillId="10" borderId="30" xfId="0" applyFont="1" applyFill="1" applyBorder="1" applyAlignment="1">
      <alignment horizontal="right" vertical="center"/>
    </xf>
    <xf numFmtId="0" fontId="117" fillId="0" borderId="30" xfId="0" applyFont="1" applyBorder="1" applyAlignment="1">
      <alignment horizontal="left" vertical="top" wrapText="1"/>
    </xf>
    <xf numFmtId="1" fontId="115" fillId="20" borderId="30" xfId="0" applyNumberFormat="1" applyFont="1" applyFill="1" applyBorder="1" applyAlignment="1">
      <alignment horizontal="center" wrapText="1"/>
    </xf>
    <xf numFmtId="1" fontId="115" fillId="0" borderId="30" xfId="0" applyNumberFormat="1" applyFont="1" applyBorder="1" applyAlignment="1">
      <alignment horizontal="center" wrapText="1"/>
    </xf>
    <xf numFmtId="1" fontId="114" fillId="20" borderId="30" xfId="0" applyNumberFormat="1" applyFont="1" applyFill="1" applyBorder="1" applyAlignment="1">
      <alignment horizontal="center" vertical="center" wrapText="1"/>
    </xf>
    <xf numFmtId="1" fontId="115" fillId="0" borderId="30" xfId="0" applyNumberFormat="1" applyFont="1" applyBorder="1" applyAlignment="1">
      <alignment horizontal="center" vertical="center" wrapText="1"/>
    </xf>
    <xf numFmtId="1" fontId="115" fillId="20" borderId="30" xfId="0" applyNumberFormat="1" applyFont="1" applyFill="1" applyBorder="1" applyAlignment="1">
      <alignment horizontal="center" vertical="center" wrapText="1"/>
    </xf>
    <xf numFmtId="0" fontId="172" fillId="2" borderId="0" xfId="0" applyFont="1" applyFill="1"/>
    <xf numFmtId="0" fontId="13" fillId="2" borderId="30" xfId="0" applyFont="1" applyFill="1" applyBorder="1" applyAlignment="1">
      <alignment horizontal="left" vertical="center" wrapText="1"/>
    </xf>
    <xf numFmtId="0" fontId="105" fillId="35" borderId="30" xfId="0" applyFont="1" applyFill="1" applyBorder="1" applyAlignment="1">
      <alignment horizontal="left" vertical="center"/>
    </xf>
    <xf numFmtId="0" fontId="105" fillId="35" borderId="30" xfId="0" applyFont="1" applyFill="1" applyBorder="1" applyAlignment="1">
      <alignment horizontal="left" vertical="center" wrapText="1"/>
    </xf>
    <xf numFmtId="0" fontId="12" fillId="2" borderId="30" xfId="0" applyFont="1" applyFill="1" applyBorder="1" applyAlignment="1">
      <alignment horizontal="left" vertical="center" wrapText="1"/>
    </xf>
    <xf numFmtId="3" fontId="115" fillId="5" borderId="34" xfId="0" applyNumberFormat="1" applyFont="1" applyFill="1" applyBorder="1" applyAlignment="1">
      <alignment horizontal="right" vertical="center"/>
    </xf>
    <xf numFmtId="166" fontId="115" fillId="7" borderId="34" xfId="2" applyNumberFormat="1" applyFont="1" applyFill="1" applyBorder="1" applyAlignment="1">
      <alignment horizontal="right" vertical="center"/>
    </xf>
    <xf numFmtId="171" fontId="8" fillId="2" borderId="0" xfId="0" applyNumberFormat="1" applyFont="1" applyFill="1" applyAlignment="1">
      <alignment vertical="center"/>
    </xf>
    <xf numFmtId="1" fontId="8" fillId="2" borderId="0" xfId="0" applyNumberFormat="1" applyFont="1" applyFill="1" applyAlignment="1">
      <alignment vertical="center"/>
    </xf>
    <xf numFmtId="171" fontId="115" fillId="7" borderId="30" xfId="0" applyNumberFormat="1" applyFont="1" applyFill="1" applyBorder="1" applyAlignment="1">
      <alignment horizontal="right" vertical="center"/>
    </xf>
    <xf numFmtId="171" fontId="115" fillId="7" borderId="34" xfId="0" applyNumberFormat="1" applyFont="1" applyFill="1" applyBorder="1" applyAlignment="1">
      <alignment horizontal="right" vertical="center"/>
    </xf>
    <xf numFmtId="165" fontId="115" fillId="2" borderId="30" xfId="0" applyNumberFormat="1" applyFont="1" applyFill="1" applyBorder="1" applyAlignment="1">
      <alignment horizontal="right" vertical="center"/>
    </xf>
    <xf numFmtId="165" fontId="115" fillId="2" borderId="34" xfId="0" applyNumberFormat="1" applyFont="1" applyFill="1" applyBorder="1" applyAlignment="1">
      <alignment horizontal="right" vertical="center"/>
    </xf>
    <xf numFmtId="10" fontId="13" fillId="2" borderId="0" xfId="0" applyNumberFormat="1" applyFont="1" applyFill="1"/>
    <xf numFmtId="0" fontId="37" fillId="5" borderId="0" xfId="0" applyFont="1" applyFill="1" applyAlignment="1">
      <alignment vertical="center" wrapText="1"/>
    </xf>
    <xf numFmtId="0" fontId="25" fillId="2" borderId="0" xfId="0" applyFont="1" applyFill="1" applyAlignment="1">
      <alignment horizontal="center" vertical="center" wrapText="1"/>
    </xf>
    <xf numFmtId="0" fontId="115" fillId="2" borderId="42" xfId="0" applyFont="1" applyFill="1" applyBorder="1" applyAlignment="1">
      <alignment horizontal="right" vertical="center"/>
    </xf>
    <xf numFmtId="0" fontId="10" fillId="10" borderId="30" xfId="0" applyFont="1" applyFill="1" applyBorder="1" applyAlignment="1">
      <alignment horizontal="right" vertical="center" wrapText="1"/>
    </xf>
    <xf numFmtId="9" fontId="115" fillId="4" borderId="30" xfId="3" applyFont="1" applyFill="1" applyBorder="1" applyAlignment="1">
      <alignment horizontal="right" vertical="center"/>
    </xf>
    <xf numFmtId="0" fontId="120" fillId="39" borderId="30" xfId="0" applyFont="1" applyFill="1" applyBorder="1" applyAlignment="1">
      <alignment vertical="center" wrapText="1"/>
    </xf>
    <xf numFmtId="0" fontId="120" fillId="39" borderId="30" xfId="0" applyFont="1" applyFill="1" applyBorder="1" applyAlignment="1">
      <alignment vertical="center"/>
    </xf>
    <xf numFmtId="0" fontId="118" fillId="0" borderId="30" xfId="0" applyFont="1" applyBorder="1"/>
    <xf numFmtId="0" fontId="118" fillId="0" borderId="30" xfId="0" applyFont="1" applyBorder="1" applyAlignment="1">
      <alignment horizontal="center"/>
    </xf>
    <xf numFmtId="0" fontId="120" fillId="20" borderId="30" xfId="0" applyFont="1" applyFill="1" applyBorder="1" applyAlignment="1">
      <alignment vertical="center" wrapText="1"/>
    </xf>
    <xf numFmtId="0" fontId="120" fillId="20" borderId="30" xfId="0" applyFont="1" applyFill="1" applyBorder="1" applyAlignment="1">
      <alignment horizontal="center" vertical="center"/>
    </xf>
    <xf numFmtId="0" fontId="115" fillId="2" borderId="30" xfId="0" applyFont="1" applyFill="1" applyBorder="1" applyAlignment="1">
      <alignment horizontal="center"/>
    </xf>
    <xf numFmtId="0" fontId="114" fillId="2" borderId="0" xfId="0" applyFont="1" applyFill="1" applyAlignment="1">
      <alignment horizontal="left" vertical="center" wrapText="1"/>
    </xf>
    <xf numFmtId="0" fontId="120" fillId="20" borderId="30" xfId="0" applyFont="1" applyFill="1" applyBorder="1" applyAlignment="1">
      <alignment horizontal="left" vertical="center" wrapText="1"/>
    </xf>
    <xf numFmtId="0" fontId="151" fillId="20" borderId="30" xfId="0" applyFont="1" applyFill="1" applyBorder="1" applyAlignment="1">
      <alignment horizontal="center" vertical="center" wrapText="1"/>
    </xf>
    <xf numFmtId="0" fontId="120" fillId="2" borderId="30" xfId="0" applyFont="1" applyFill="1" applyBorder="1" applyAlignment="1">
      <alignment horizontal="center" vertical="center" wrapText="1"/>
    </xf>
    <xf numFmtId="0" fontId="114" fillId="2" borderId="30" xfId="0" applyFont="1" applyFill="1" applyBorder="1" applyAlignment="1">
      <alignment horizontal="center" vertical="center" wrapText="1"/>
    </xf>
    <xf numFmtId="0" fontId="117" fillId="2" borderId="30" xfId="0" applyFont="1" applyFill="1" applyBorder="1" applyAlignment="1">
      <alignment horizontal="center" vertical="center" wrapText="1"/>
    </xf>
    <xf numFmtId="0" fontId="115" fillId="10" borderId="30" xfId="0" applyFont="1" applyFill="1" applyBorder="1" applyAlignment="1">
      <alignment horizontal="right" vertical="center"/>
    </xf>
    <xf numFmtId="0" fontId="115" fillId="10" borderId="34" xfId="0" applyFont="1" applyFill="1" applyBorder="1" applyAlignment="1">
      <alignment horizontal="right" vertical="center"/>
    </xf>
    <xf numFmtId="9" fontId="114" fillId="2" borderId="64" xfId="3" applyFont="1" applyFill="1" applyBorder="1" applyAlignment="1">
      <alignment horizontal="center" vertical="center"/>
    </xf>
    <xf numFmtId="9" fontId="114" fillId="2" borderId="0" xfId="3" applyFont="1" applyFill="1" applyAlignment="1">
      <alignment vertical="center"/>
    </xf>
    <xf numFmtId="9" fontId="115" fillId="2" borderId="64" xfId="3" applyFont="1" applyFill="1" applyBorder="1" applyAlignment="1">
      <alignment horizontal="center" vertical="center"/>
    </xf>
    <xf numFmtId="171" fontId="114" fillId="2" borderId="0" xfId="0" applyNumberFormat="1" applyFont="1" applyFill="1" applyAlignment="1">
      <alignment vertical="center"/>
    </xf>
    <xf numFmtId="3" fontId="115" fillId="2" borderId="0" xfId="0" applyNumberFormat="1" applyFont="1" applyFill="1" applyAlignment="1">
      <alignment vertical="center"/>
    </xf>
    <xf numFmtId="164" fontId="114" fillId="2" borderId="0" xfId="3" applyNumberFormat="1" applyFont="1" applyFill="1" applyAlignment="1">
      <alignment vertical="center"/>
    </xf>
    <xf numFmtId="179" fontId="114" fillId="2" borderId="0" xfId="0" applyNumberFormat="1" applyFont="1" applyFill="1" applyAlignment="1">
      <alignment vertical="center"/>
    </xf>
    <xf numFmtId="43" fontId="114" fillId="2" borderId="0" xfId="0" applyNumberFormat="1" applyFont="1" applyFill="1" applyAlignment="1">
      <alignment vertical="center"/>
    </xf>
    <xf numFmtId="0" fontId="115" fillId="2" borderId="0" xfId="0" applyFont="1" applyFill="1" applyAlignment="1">
      <alignment vertical="center"/>
    </xf>
    <xf numFmtId="166" fontId="114" fillId="2" borderId="0" xfId="2" applyNumberFormat="1" applyFont="1" applyFill="1" applyAlignment="1">
      <alignment vertical="center"/>
    </xf>
    <xf numFmtId="2" fontId="114" fillId="2" borderId="0" xfId="0" applyNumberFormat="1" applyFont="1" applyFill="1" applyAlignment="1">
      <alignment vertical="center"/>
    </xf>
    <xf numFmtId="0" fontId="114" fillId="2" borderId="64" xfId="0" applyFont="1" applyFill="1" applyBorder="1" applyAlignment="1">
      <alignment vertical="center"/>
    </xf>
    <xf numFmtId="166" fontId="158" fillId="4" borderId="64" xfId="0" applyNumberFormat="1" applyFont="1" applyFill="1" applyBorder="1" applyAlignment="1">
      <alignment vertical="center"/>
    </xf>
    <xf numFmtId="166" fontId="114" fillId="2" borderId="64" xfId="0" applyNumberFormat="1" applyFont="1" applyFill="1" applyBorder="1" applyAlignment="1">
      <alignment vertical="center"/>
    </xf>
    <xf numFmtId="3" fontId="114" fillId="2" borderId="64" xfId="0" applyNumberFormat="1" applyFont="1" applyFill="1" applyBorder="1" applyAlignment="1">
      <alignment vertical="center"/>
    </xf>
    <xf numFmtId="168" fontId="158" fillId="4" borderId="64" xfId="0" applyNumberFormat="1" applyFont="1" applyFill="1" applyBorder="1" applyAlignment="1">
      <alignment vertical="center"/>
    </xf>
    <xf numFmtId="168" fontId="114" fillId="2" borderId="64" xfId="0" applyNumberFormat="1" applyFont="1" applyFill="1" applyBorder="1" applyAlignment="1">
      <alignment vertical="center"/>
    </xf>
    <xf numFmtId="3" fontId="158" fillId="4" borderId="64" xfId="0" applyNumberFormat="1" applyFont="1" applyFill="1" applyBorder="1" applyAlignment="1">
      <alignment vertical="center"/>
    </xf>
    <xf numFmtId="171" fontId="158" fillId="4" borderId="64" xfId="0" applyNumberFormat="1" applyFont="1" applyFill="1" applyBorder="1" applyAlignment="1">
      <alignment vertical="center"/>
    </xf>
    <xf numFmtId="171" fontId="114" fillId="2" borderId="64" xfId="0" applyNumberFormat="1" applyFont="1" applyFill="1" applyBorder="1" applyAlignment="1">
      <alignment vertical="center"/>
    </xf>
    <xf numFmtId="166" fontId="158" fillId="4" borderId="64" xfId="2" applyNumberFormat="1" applyFont="1" applyFill="1" applyBorder="1" applyAlignment="1">
      <alignment vertical="center"/>
    </xf>
    <xf numFmtId="166" fontId="114" fillId="2" borderId="64" xfId="2" applyNumberFormat="1" applyFont="1" applyFill="1" applyBorder="1" applyAlignment="1">
      <alignment vertical="center"/>
    </xf>
    <xf numFmtId="0" fontId="185" fillId="2" borderId="0" xfId="0" applyFont="1" applyFill="1" applyAlignment="1">
      <alignment horizontal="left" vertical="center"/>
    </xf>
    <xf numFmtId="0" fontId="186" fillId="2" borderId="0" xfId="0" applyFont="1" applyFill="1" applyAlignment="1">
      <alignment horizontal="left" vertical="center"/>
    </xf>
    <xf numFmtId="3" fontId="158" fillId="4" borderId="30" xfId="0" applyNumberFormat="1" applyFont="1" applyFill="1" applyBorder="1" applyAlignment="1">
      <alignment horizontal="right"/>
    </xf>
    <xf numFmtId="171" fontId="158" fillId="4" borderId="30" xfId="0" applyNumberFormat="1" applyFont="1" applyFill="1" applyBorder="1" applyAlignment="1">
      <alignment horizontal="right"/>
    </xf>
    <xf numFmtId="9" fontId="158" fillId="4" borderId="30" xfId="3" applyFont="1" applyFill="1" applyBorder="1" applyAlignment="1" applyProtection="1">
      <alignment horizontal="right"/>
    </xf>
    <xf numFmtId="9" fontId="158" fillId="4" borderId="30" xfId="0" applyNumberFormat="1" applyFont="1" applyFill="1" applyBorder="1" applyAlignment="1">
      <alignment horizontal="right"/>
    </xf>
    <xf numFmtId="3" fontId="87" fillId="4" borderId="30" xfId="0" applyNumberFormat="1" applyFont="1" applyFill="1" applyBorder="1" applyAlignment="1">
      <alignment horizontal="right"/>
    </xf>
    <xf numFmtId="1" fontId="87" fillId="4" borderId="30" xfId="0" applyNumberFormat="1" applyFont="1" applyFill="1" applyBorder="1" applyAlignment="1">
      <alignment horizontal="right"/>
    </xf>
    <xf numFmtId="0" fontId="87" fillId="4" borderId="30" xfId="0" applyFont="1" applyFill="1" applyBorder="1" applyAlignment="1">
      <alignment horizontal="right"/>
    </xf>
    <xf numFmtId="9" fontId="87" fillId="4" borderId="30" xfId="3" applyFont="1" applyFill="1" applyBorder="1" applyAlignment="1" applyProtection="1">
      <alignment horizontal="right"/>
    </xf>
    <xf numFmtId="166" fontId="87" fillId="3" borderId="30" xfId="2" applyNumberFormat="1" applyFont="1" applyFill="1" applyBorder="1" applyProtection="1"/>
    <xf numFmtId="1" fontId="87" fillId="4" borderId="30" xfId="0" applyNumberFormat="1" applyFont="1" applyFill="1" applyBorder="1"/>
    <xf numFmtId="9" fontId="87" fillId="4" borderId="30" xfId="0" applyNumberFormat="1" applyFont="1" applyFill="1" applyBorder="1" applyAlignment="1">
      <alignment horizontal="right"/>
    </xf>
    <xf numFmtId="2" fontId="158" fillId="4" borderId="30" xfId="0" applyNumberFormat="1" applyFont="1" applyFill="1" applyBorder="1" applyAlignment="1">
      <alignment horizontal="right"/>
    </xf>
    <xf numFmtId="0" fontId="104" fillId="35" borderId="30" xfId="0" applyFont="1" applyFill="1" applyBorder="1" applyAlignment="1">
      <alignment vertical="center"/>
    </xf>
    <xf numFmtId="0" fontId="104" fillId="35" borderId="30" xfId="0" applyFont="1" applyFill="1" applyBorder="1" applyAlignment="1">
      <alignment horizontal="right" vertical="center"/>
    </xf>
    <xf numFmtId="0" fontId="13" fillId="19" borderId="30" xfId="0" applyFont="1" applyFill="1" applyBorder="1" applyAlignment="1">
      <alignment vertical="center"/>
    </xf>
    <xf numFmtId="0" fontId="13" fillId="19" borderId="30" xfId="0" applyFont="1" applyFill="1" applyBorder="1" applyAlignment="1">
      <alignment horizontal="left" vertical="center" wrapText="1"/>
    </xf>
    <xf numFmtId="0" fontId="12" fillId="2" borderId="30" xfId="0" applyFont="1" applyFill="1" applyBorder="1" applyAlignment="1">
      <alignment horizontal="right" vertical="center" wrapText="1"/>
    </xf>
    <xf numFmtId="3" fontId="108" fillId="4" borderId="30" xfId="0" applyNumberFormat="1" applyFont="1" applyFill="1" applyBorder="1" applyAlignment="1">
      <alignment horizontal="right" vertical="center"/>
    </xf>
    <xf numFmtId="0" fontId="11" fillId="19" borderId="30" xfId="0" applyFont="1" applyFill="1" applyBorder="1" applyAlignment="1">
      <alignment horizontal="right" vertical="center"/>
    </xf>
    <xf numFmtId="0" fontId="13" fillId="2" borderId="30" xfId="0" applyFont="1" applyFill="1" applyBorder="1" applyAlignment="1">
      <alignment vertical="center" wrapText="1"/>
    </xf>
    <xf numFmtId="0" fontId="12" fillId="2" borderId="30" xfId="0" applyFont="1" applyFill="1" applyBorder="1" applyAlignment="1">
      <alignment vertical="center" wrapText="1"/>
    </xf>
    <xf numFmtId="0" fontId="11" fillId="19" borderId="30" xfId="0" applyFont="1" applyFill="1" applyBorder="1" applyAlignment="1">
      <alignment vertical="center" wrapText="1"/>
    </xf>
    <xf numFmtId="0" fontId="11" fillId="19" borderId="30" xfId="0" applyFont="1" applyFill="1" applyBorder="1" applyAlignment="1">
      <alignment horizontal="left" vertical="center" wrapText="1"/>
    </xf>
    <xf numFmtId="3" fontId="160" fillId="4" borderId="30" xfId="0" applyNumberFormat="1" applyFont="1" applyFill="1" applyBorder="1" applyAlignment="1">
      <alignment horizontal="right" vertical="center"/>
    </xf>
    <xf numFmtId="0" fontId="13" fillId="19" borderId="30" xfId="0" applyFont="1" applyFill="1" applyBorder="1" applyAlignment="1">
      <alignment vertical="center" wrapText="1"/>
    </xf>
    <xf numFmtId="0" fontId="160" fillId="4" borderId="30" xfId="0" applyFont="1" applyFill="1" applyBorder="1" applyAlignment="1">
      <alignment horizontal="right" vertical="center" wrapText="1"/>
    </xf>
    <xf numFmtId="0" fontId="13" fillId="19" borderId="30" xfId="0" quotePrefix="1" applyFont="1" applyFill="1" applyBorder="1" applyAlignment="1">
      <alignment vertical="center" wrapText="1"/>
    </xf>
    <xf numFmtId="0" fontId="13" fillId="19" borderId="30" xfId="0" quotePrefix="1" applyFont="1" applyFill="1" applyBorder="1" applyAlignment="1">
      <alignment horizontal="left" vertical="center" wrapText="1"/>
    </xf>
    <xf numFmtId="0" fontId="66" fillId="4" borderId="30" xfId="0" applyFont="1" applyFill="1" applyBorder="1" applyAlignment="1">
      <alignment vertical="center"/>
    </xf>
    <xf numFmtId="0" fontId="12" fillId="19" borderId="30" xfId="0" applyFont="1" applyFill="1" applyBorder="1" applyAlignment="1">
      <alignment vertical="center" wrapText="1"/>
    </xf>
    <xf numFmtId="0" fontId="181" fillId="0" borderId="30" xfId="1" applyFont="1" applyBorder="1" applyAlignment="1" applyProtection="1">
      <alignment horizontal="right" vertical="center" wrapText="1"/>
    </xf>
    <xf numFmtId="0" fontId="13" fillId="0" borderId="30" xfId="0" applyFont="1" applyBorder="1" applyAlignment="1">
      <alignment vertical="center" wrapText="1"/>
    </xf>
    <xf numFmtId="0" fontId="12" fillId="19" borderId="30" xfId="0" applyFont="1" applyFill="1" applyBorder="1" applyAlignment="1">
      <alignment vertical="center"/>
    </xf>
    <xf numFmtId="0" fontId="11" fillId="2" borderId="30" xfId="0" applyFont="1" applyFill="1" applyBorder="1" applyAlignment="1">
      <alignment horizontal="right" vertical="center"/>
    </xf>
    <xf numFmtId="0" fontId="178" fillId="4" borderId="30" xfId="0" applyFont="1" applyFill="1" applyBorder="1" applyAlignment="1">
      <alignment horizontal="right" vertical="center"/>
    </xf>
    <xf numFmtId="0" fontId="155" fillId="2" borderId="30" xfId="1" applyFont="1" applyFill="1" applyBorder="1" applyAlignment="1" applyProtection="1">
      <alignment horizontal="right" vertical="center" wrapText="1"/>
    </xf>
    <xf numFmtId="0" fontId="13" fillId="19" borderId="0" xfId="0" applyFont="1" applyFill="1" applyAlignment="1">
      <alignment vertical="center"/>
    </xf>
    <xf numFmtId="0" fontId="13" fillId="19" borderId="0" xfId="0" applyFont="1" applyFill="1" applyAlignment="1">
      <alignment horizontal="left" vertical="center"/>
    </xf>
    <xf numFmtId="0" fontId="17" fillId="2" borderId="0" xfId="0" applyFont="1" applyFill="1" applyAlignment="1">
      <alignment horizontal="left" vertical="center"/>
    </xf>
    <xf numFmtId="0" fontId="106" fillId="2" borderId="0" xfId="0" applyFont="1" applyFill="1" applyAlignment="1">
      <alignment vertical="center"/>
    </xf>
    <xf numFmtId="0" fontId="13" fillId="2" borderId="0" xfId="0" applyFont="1" applyFill="1" applyAlignment="1">
      <alignment horizontal="left" vertical="center"/>
    </xf>
    <xf numFmtId="171" fontId="13" fillId="0" borderId="0" xfId="0" applyNumberFormat="1" applyFont="1" applyAlignment="1">
      <alignment vertical="center"/>
    </xf>
    <xf numFmtId="2" fontId="13" fillId="2" borderId="0" xfId="0" applyNumberFormat="1" applyFont="1" applyFill="1" applyAlignment="1">
      <alignment vertical="center"/>
    </xf>
    <xf numFmtId="164" fontId="13" fillId="2" borderId="0" xfId="3" applyNumberFormat="1" applyFont="1" applyFill="1" applyAlignment="1" applyProtection="1">
      <alignment vertical="center"/>
    </xf>
    <xf numFmtId="0" fontId="13" fillId="0" borderId="0" xfId="0" applyFont="1" applyAlignment="1">
      <alignment vertical="center"/>
    </xf>
    <xf numFmtId="172" fontId="13" fillId="2" borderId="0" xfId="0" applyNumberFormat="1" applyFont="1" applyFill="1" applyAlignment="1">
      <alignment vertical="center"/>
    </xf>
    <xf numFmtId="0" fontId="12" fillId="19" borderId="0" xfId="0" applyFont="1" applyFill="1" applyAlignment="1">
      <alignment vertical="center"/>
    </xf>
    <xf numFmtId="0" fontId="11" fillId="2" borderId="0" xfId="0" applyFont="1" applyFill="1" applyAlignment="1">
      <alignment horizontal="right" vertical="center"/>
    </xf>
    <xf numFmtId="0" fontId="8" fillId="26" borderId="0" xfId="0" applyFont="1" applyFill="1"/>
    <xf numFmtId="0" fontId="13" fillId="35" borderId="0" xfId="0" applyFont="1" applyFill="1"/>
    <xf numFmtId="0" fontId="12" fillId="4" borderId="0" xfId="0" applyFont="1" applyFill="1" applyAlignment="1">
      <alignment horizontal="left" vertical="center" wrapText="1"/>
    </xf>
    <xf numFmtId="0" fontId="13" fillId="35" borderId="0" xfId="0" applyFont="1" applyFill="1" applyAlignment="1">
      <alignment horizontal="left" indent="1"/>
    </xf>
    <xf numFmtId="0" fontId="102" fillId="4" borderId="0" xfId="0" applyFont="1" applyFill="1" applyAlignment="1">
      <alignment horizontal="left" vertical="top" indent="1"/>
    </xf>
    <xf numFmtId="0" fontId="12" fillId="4" borderId="0" xfId="0" applyFont="1" applyFill="1" applyAlignment="1">
      <alignment horizontal="left" vertical="top" wrapText="1" indent="1"/>
    </xf>
    <xf numFmtId="0" fontId="8" fillId="2" borderId="0" xfId="0" applyFont="1" applyFill="1" applyAlignment="1">
      <alignment horizontal="left" indent="1"/>
    </xf>
    <xf numFmtId="0" fontId="12" fillId="4" borderId="0" xfId="0" applyFont="1" applyFill="1" applyAlignment="1">
      <alignment horizontal="left" vertical="top" wrapText="1"/>
    </xf>
    <xf numFmtId="0" fontId="12" fillId="4" borderId="0" xfId="0" applyFont="1" applyFill="1" applyAlignment="1">
      <alignment vertical="top"/>
    </xf>
    <xf numFmtId="0" fontId="12" fillId="4" borderId="0" xfId="0" applyFont="1" applyFill="1" applyAlignment="1">
      <alignment horizontal="left" vertical="top" indent="1"/>
    </xf>
    <xf numFmtId="0" fontId="14" fillId="4" borderId="0" xfId="0" applyFont="1" applyFill="1" applyAlignment="1">
      <alignment vertical="top"/>
    </xf>
    <xf numFmtId="0" fontId="13" fillId="35" borderId="0" xfId="0" applyFont="1" applyFill="1" applyAlignment="1">
      <alignment wrapText="1"/>
    </xf>
    <xf numFmtId="0" fontId="8" fillId="35" borderId="0" xfId="0" applyFont="1" applyFill="1"/>
    <xf numFmtId="0" fontId="146" fillId="23" borderId="0" xfId="0" applyFont="1" applyFill="1" applyAlignment="1">
      <alignment horizontal="left" vertical="center" indent="1"/>
    </xf>
    <xf numFmtId="0" fontId="8" fillId="4" borderId="0" xfId="0" applyFont="1" applyFill="1"/>
    <xf numFmtId="0" fontId="15" fillId="23" borderId="0" xfId="0" applyFont="1" applyFill="1" applyAlignment="1">
      <alignment vertical="center"/>
    </xf>
    <xf numFmtId="0" fontId="8" fillId="4" borderId="0" xfId="0" applyFont="1" applyFill="1" applyAlignment="1">
      <alignment horizontal="left" indent="1"/>
    </xf>
    <xf numFmtId="0" fontId="7" fillId="4" borderId="0" xfId="1" applyFont="1" applyFill="1" applyAlignment="1" applyProtection="1">
      <alignment horizontal="center" vertical="center"/>
    </xf>
    <xf numFmtId="0" fontId="9" fillId="4" borderId="0" xfId="0" applyFont="1" applyFill="1" applyAlignment="1">
      <alignment horizontal="right" vertical="center"/>
    </xf>
    <xf numFmtId="0" fontId="9" fillId="2" borderId="0" xfId="0" applyFont="1" applyFill="1" applyAlignment="1">
      <alignment horizontal="right" vertical="center"/>
    </xf>
    <xf numFmtId="0" fontId="31" fillId="2" borderId="0" xfId="0" applyFont="1" applyFill="1" applyAlignment="1">
      <alignment horizontal="center"/>
    </xf>
    <xf numFmtId="0" fontId="147" fillId="4" borderId="0" xfId="1" applyFont="1" applyFill="1" applyAlignment="1" applyProtection="1">
      <alignment horizontal="left" indent="1"/>
    </xf>
    <xf numFmtId="0" fontId="148" fillId="4" borderId="0" xfId="0" applyFont="1" applyFill="1"/>
    <xf numFmtId="0" fontId="147" fillId="4" borderId="0" xfId="1" applyFont="1" applyFill="1" applyBorder="1" applyAlignment="1" applyProtection="1">
      <alignment horizontal="left" indent="1"/>
    </xf>
    <xf numFmtId="0" fontId="58" fillId="34" borderId="0" xfId="0" applyFont="1" applyFill="1" applyAlignment="1">
      <alignment vertical="center"/>
    </xf>
    <xf numFmtId="0" fontId="11" fillId="19" borderId="9" xfId="0" applyFont="1" applyFill="1" applyBorder="1" applyAlignment="1">
      <alignment vertical="center"/>
    </xf>
    <xf numFmtId="0" fontId="130" fillId="2" borderId="0" xfId="0" applyFont="1" applyFill="1" applyAlignment="1">
      <alignment vertical="center"/>
    </xf>
    <xf numFmtId="0" fontId="131" fillId="2" borderId="0" xfId="0" applyFont="1" applyFill="1" applyAlignment="1">
      <alignment horizontal="left" vertical="center"/>
    </xf>
    <xf numFmtId="0" fontId="14" fillId="2" borderId="0" xfId="0" applyFont="1" applyFill="1" applyAlignment="1">
      <alignment horizontal="left" vertical="center"/>
    </xf>
    <xf numFmtId="0" fontId="19" fillId="35" borderId="31" xfId="0" applyFont="1" applyFill="1" applyBorder="1" applyAlignment="1">
      <alignment vertical="center" wrapText="1"/>
    </xf>
    <xf numFmtId="0" fontId="132" fillId="13" borderId="37" xfId="0" applyFont="1" applyFill="1" applyBorder="1" applyAlignment="1">
      <alignment vertical="center"/>
    </xf>
    <xf numFmtId="0" fontId="12" fillId="0" borderId="30" xfId="0" applyFont="1" applyBorder="1" applyAlignment="1">
      <alignment horizontal="right" vertical="center" wrapText="1"/>
    </xf>
    <xf numFmtId="0" fontId="12" fillId="0" borderId="30" xfId="0" applyFont="1" applyBorder="1" applyAlignment="1">
      <alignment vertical="center"/>
    </xf>
    <xf numFmtId="0" fontId="65" fillId="0" borderId="30" xfId="0" applyFont="1" applyBorder="1" applyAlignment="1">
      <alignment vertical="center" wrapText="1"/>
    </xf>
    <xf numFmtId="0" fontId="181" fillId="0" borderId="30" xfId="1" applyFont="1" applyFill="1" applyBorder="1" applyAlignment="1" applyProtection="1">
      <alignment horizontal="right" vertical="center" wrapText="1"/>
    </xf>
    <xf numFmtId="0" fontId="12" fillId="0" borderId="30" xfId="0" applyFont="1" applyBorder="1" applyAlignment="1">
      <alignment vertical="center" wrapText="1"/>
    </xf>
    <xf numFmtId="0" fontId="12" fillId="0" borderId="30" xfId="0" applyFont="1" applyBorder="1" applyAlignment="1">
      <alignment horizontal="center" vertical="center" wrapText="1"/>
    </xf>
    <xf numFmtId="0" fontId="155" fillId="0" borderId="30" xfId="1" applyFont="1" applyBorder="1" applyAlignment="1" applyProtection="1">
      <alignment horizontal="right" vertical="center" wrapText="1"/>
    </xf>
    <xf numFmtId="0" fontId="116" fillId="2" borderId="0" xfId="0" applyFont="1" applyFill="1" applyAlignment="1">
      <alignment horizontal="left" vertical="center" wrapText="1"/>
    </xf>
    <xf numFmtId="0" fontId="80" fillId="31" borderId="61" xfId="0" applyFont="1" applyFill="1" applyBorder="1" applyAlignment="1">
      <alignment horizontal="center" vertical="center" wrapText="1"/>
    </xf>
    <xf numFmtId="0" fontId="132" fillId="13" borderId="34" xfId="0" applyFont="1" applyFill="1" applyBorder="1" applyAlignment="1">
      <alignment vertical="center"/>
    </xf>
    <xf numFmtId="0" fontId="133" fillId="13" borderId="36" xfId="0" applyFont="1" applyFill="1" applyBorder="1" applyAlignment="1">
      <alignment vertical="center"/>
    </xf>
    <xf numFmtId="0" fontId="19" fillId="13" borderId="36" xfId="0" applyFont="1" applyFill="1" applyBorder="1" applyAlignment="1">
      <alignment vertical="center"/>
    </xf>
    <xf numFmtId="0" fontId="14" fillId="13" borderId="36" xfId="0" applyFont="1" applyFill="1" applyBorder="1" applyAlignment="1">
      <alignment vertical="center"/>
    </xf>
    <xf numFmtId="0" fontId="19" fillId="13" borderId="35" xfId="0" applyFont="1" applyFill="1" applyBorder="1" applyAlignment="1">
      <alignment vertical="center"/>
    </xf>
    <xf numFmtId="0" fontId="65" fillId="0" borderId="30" xfId="0" applyFont="1" applyBorder="1" applyAlignment="1">
      <alignment vertical="center"/>
    </xf>
    <xf numFmtId="0" fontId="116" fillId="2" borderId="0" xfId="0" applyFont="1" applyFill="1" applyAlignment="1">
      <alignment horizontal="center" vertical="center" wrapText="1"/>
    </xf>
    <xf numFmtId="0" fontId="117" fillId="12" borderId="30" xfId="0" applyFont="1" applyFill="1" applyBorder="1" applyAlignment="1">
      <alignment vertical="center" wrapText="1"/>
    </xf>
    <xf numFmtId="0" fontId="117" fillId="12" borderId="30" xfId="0" applyFont="1" applyFill="1" applyBorder="1" applyAlignment="1">
      <alignment horizontal="left" vertical="center" wrapText="1"/>
    </xf>
    <xf numFmtId="0" fontId="12" fillId="0" borderId="30" xfId="0" applyFont="1" applyBorder="1" applyAlignment="1">
      <alignment horizontal="right" vertical="center"/>
    </xf>
    <xf numFmtId="0" fontId="117" fillId="12" borderId="35" xfId="0" applyFont="1" applyFill="1" applyBorder="1" applyAlignment="1">
      <alignment vertical="center" wrapText="1"/>
    </xf>
    <xf numFmtId="0" fontId="179" fillId="0" borderId="30" xfId="0" applyFont="1" applyBorder="1" applyAlignment="1">
      <alignment horizontal="right" vertical="center" wrapText="1"/>
    </xf>
    <xf numFmtId="0" fontId="117" fillId="12" borderId="39" xfId="0" applyFont="1" applyFill="1" applyBorder="1" applyAlignment="1">
      <alignment horizontal="left" vertical="center" wrapText="1"/>
    </xf>
    <xf numFmtId="0" fontId="117" fillId="12" borderId="35" xfId="0" applyFont="1" applyFill="1" applyBorder="1" applyAlignment="1">
      <alignment horizontal="left" vertical="center" wrapText="1"/>
    </xf>
    <xf numFmtId="0" fontId="13" fillId="0" borderId="0" xfId="0" applyFont="1" applyAlignment="1">
      <alignment horizontal="right" vertical="center" wrapText="1"/>
    </xf>
    <xf numFmtId="0" fontId="13" fillId="0" borderId="30" xfId="0" applyFont="1" applyBorder="1" applyAlignment="1">
      <alignment horizontal="right" vertical="center" wrapText="1"/>
    </xf>
    <xf numFmtId="0" fontId="13" fillId="0" borderId="73" xfId="0" applyFont="1" applyBorder="1" applyAlignment="1">
      <alignment horizontal="right" vertical="center" wrapText="1"/>
    </xf>
    <xf numFmtId="0" fontId="157" fillId="2" borderId="0" xfId="0" applyFont="1" applyFill="1" applyAlignment="1">
      <alignment vertical="center"/>
    </xf>
    <xf numFmtId="0" fontId="181" fillId="0" borderId="30" xfId="1" applyFont="1" applyBorder="1" applyAlignment="1" applyProtection="1">
      <alignment horizontal="right" vertical="center"/>
    </xf>
    <xf numFmtId="0" fontId="7" fillId="0" borderId="30" xfId="1" applyFont="1" applyFill="1" applyBorder="1" applyAlignment="1" applyProtection="1">
      <alignment horizontal="right" vertical="center" wrapText="1"/>
    </xf>
    <xf numFmtId="0" fontId="180" fillId="0" borderId="30" xfId="1" applyFont="1" applyFill="1" applyBorder="1" applyAlignment="1" applyProtection="1">
      <alignment horizontal="right" vertical="center" wrapText="1"/>
    </xf>
    <xf numFmtId="0" fontId="13" fillId="0" borderId="34" xfId="0" applyFont="1" applyBorder="1" applyAlignment="1">
      <alignment horizontal="left" vertical="center" wrapText="1"/>
    </xf>
    <xf numFmtId="0" fontId="12" fillId="0" borderId="37" xfId="0" applyFont="1" applyBorder="1" applyAlignment="1">
      <alignment horizontal="right" vertical="center" wrapText="1"/>
    </xf>
    <xf numFmtId="0" fontId="12" fillId="0" borderId="31" xfId="0" applyFont="1" applyBorder="1" applyAlignment="1">
      <alignment horizontal="center" vertical="center"/>
    </xf>
    <xf numFmtId="0" fontId="12" fillId="0" borderId="34" xfId="0" applyFont="1" applyBorder="1" applyAlignment="1">
      <alignment horizontal="right" vertical="center" wrapText="1"/>
    </xf>
    <xf numFmtId="0" fontId="181" fillId="0" borderId="40" xfId="1" applyFont="1" applyFill="1" applyBorder="1" applyAlignment="1" applyProtection="1">
      <alignment horizontal="right" vertical="center" wrapText="1"/>
    </xf>
    <xf numFmtId="0" fontId="181" fillId="0" borderId="34" xfId="1" applyFont="1" applyBorder="1" applyAlignment="1" applyProtection="1">
      <alignment horizontal="right" vertical="center" wrapText="1"/>
    </xf>
    <xf numFmtId="0" fontId="12" fillId="0" borderId="34" xfId="0" applyFont="1" applyBorder="1" applyAlignment="1">
      <alignment horizontal="right" vertical="center"/>
    </xf>
    <xf numFmtId="0" fontId="181" fillId="0" borderId="73" xfId="1" applyFont="1" applyFill="1" applyBorder="1" applyAlignment="1" applyProtection="1">
      <alignment horizontal="right" vertical="center"/>
    </xf>
    <xf numFmtId="0" fontId="66" fillId="14" borderId="71" xfId="0" applyFont="1" applyFill="1" applyBorder="1" applyAlignment="1">
      <alignment vertical="center" wrapText="1"/>
    </xf>
    <xf numFmtId="0" fontId="66" fillId="14" borderId="32" xfId="0" applyFont="1" applyFill="1" applyBorder="1" applyAlignment="1">
      <alignment vertical="center" wrapText="1"/>
    </xf>
    <xf numFmtId="0" fontId="14" fillId="14" borderId="32" xfId="0" applyFont="1" applyFill="1" applyBorder="1" applyAlignment="1">
      <alignment vertical="center" wrapText="1"/>
    </xf>
    <xf numFmtId="0" fontId="66" fillId="14" borderId="32" xfId="0" applyFont="1" applyFill="1" applyBorder="1" applyAlignment="1">
      <alignment horizontal="right" vertical="center" wrapText="1"/>
    </xf>
    <xf numFmtId="0" fontId="13" fillId="0" borderId="31" xfId="0" applyFont="1" applyBorder="1" applyAlignment="1">
      <alignment vertical="center" wrapText="1"/>
    </xf>
    <xf numFmtId="0" fontId="12" fillId="0" borderId="31" xfId="0" applyFont="1" applyBorder="1" applyAlignment="1">
      <alignment horizontal="right" vertical="center" wrapText="1"/>
    </xf>
    <xf numFmtId="0" fontId="12" fillId="0" borderId="31" xfId="0" applyFont="1" applyBorder="1" applyAlignment="1">
      <alignment horizontal="right" vertical="center"/>
    </xf>
    <xf numFmtId="0" fontId="12" fillId="0" borderId="31" xfId="0" applyFont="1" applyBorder="1" applyAlignment="1">
      <alignment vertical="center"/>
    </xf>
    <xf numFmtId="0" fontId="14" fillId="14" borderId="30" xfId="0" applyFont="1" applyFill="1" applyBorder="1" applyAlignment="1">
      <alignment vertical="center" wrapText="1"/>
    </xf>
    <xf numFmtId="0" fontId="66" fillId="14" borderId="30" xfId="0" applyFont="1" applyFill="1" applyBorder="1" applyAlignment="1">
      <alignment horizontal="right" vertical="center" wrapText="1"/>
    </xf>
    <xf numFmtId="0" fontId="66" fillId="14" borderId="30" xfId="0" applyFont="1" applyFill="1" applyBorder="1" applyAlignment="1">
      <alignment vertical="center" wrapText="1"/>
    </xf>
    <xf numFmtId="0" fontId="8" fillId="0" borderId="0" xfId="0" applyFont="1" applyAlignment="1">
      <alignment vertical="center" wrapText="1"/>
    </xf>
    <xf numFmtId="0" fontId="181" fillId="0" borderId="32" xfId="1" applyFont="1" applyBorder="1" applyAlignment="1" applyProtection="1">
      <alignment horizontal="right" vertical="center" wrapText="1"/>
    </xf>
    <xf numFmtId="0" fontId="12" fillId="0" borderId="32" xfId="0" applyFont="1" applyBorder="1" applyAlignment="1">
      <alignment vertical="center"/>
    </xf>
    <xf numFmtId="0" fontId="155" fillId="0" borderId="31" xfId="1" applyFont="1" applyBorder="1" applyAlignment="1" applyProtection="1">
      <alignment horizontal="righ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 fillId="0" borderId="30" xfId="1" applyBorder="1" applyAlignment="1" applyProtection="1">
      <alignment horizontal="right" vertical="center" wrapText="1"/>
    </xf>
    <xf numFmtId="0" fontId="12" fillId="0" borderId="32" xfId="0" applyFont="1" applyBorder="1" applyAlignment="1">
      <alignment horizontal="right" vertical="center"/>
    </xf>
    <xf numFmtId="0" fontId="12" fillId="0" borderId="32" xfId="0" applyFont="1" applyBorder="1" applyAlignment="1">
      <alignment horizontal="right" vertical="center" wrapText="1"/>
    </xf>
    <xf numFmtId="0" fontId="1" fillId="0" borderId="31" xfId="1" applyBorder="1" applyAlignment="1" applyProtection="1">
      <alignment horizontal="right" vertical="center" wrapText="1"/>
    </xf>
    <xf numFmtId="0" fontId="7" fillId="0" borderId="0" xfId="0" applyFont="1" applyAlignment="1">
      <alignment horizontal="right" vertical="center"/>
    </xf>
    <xf numFmtId="0" fontId="73" fillId="2" borderId="0" xfId="0" applyFont="1" applyFill="1" applyAlignment="1">
      <alignment vertical="center"/>
    </xf>
    <xf numFmtId="0" fontId="184" fillId="0" borderId="0" xfId="0" applyFont="1" applyAlignment="1">
      <alignment horizontal="right"/>
    </xf>
    <xf numFmtId="0" fontId="155" fillId="0" borderId="30" xfId="1" applyFont="1" applyBorder="1" applyAlignment="1" applyProtection="1">
      <alignment horizontal="right" vertical="center"/>
    </xf>
    <xf numFmtId="0" fontId="1" fillId="0" borderId="30" xfId="1" applyBorder="1" applyAlignment="1" applyProtection="1">
      <alignment horizontal="right" vertical="center"/>
    </xf>
    <xf numFmtId="0" fontId="72" fillId="2" borderId="0" xfId="0" applyFont="1" applyFill="1" applyAlignment="1">
      <alignment vertical="center"/>
    </xf>
    <xf numFmtId="0" fontId="12" fillId="2" borderId="0" xfId="0" applyFont="1" applyFill="1" applyAlignment="1">
      <alignment vertical="center"/>
    </xf>
    <xf numFmtId="0" fontId="132" fillId="2" borderId="0" xfId="0" applyFont="1" applyFill="1" applyAlignment="1">
      <alignment vertical="center"/>
    </xf>
    <xf numFmtId="0" fontId="80" fillId="2" borderId="0" xfId="0" applyFont="1" applyFill="1" applyAlignment="1">
      <alignment horizontal="left" vertical="center" wrapText="1"/>
    </xf>
    <xf numFmtId="0" fontId="162" fillId="0" borderId="30" xfId="1" applyFont="1" applyFill="1" applyBorder="1" applyAlignment="1" applyProtection="1">
      <alignment horizontal="right" vertical="center" wrapText="1"/>
    </xf>
    <xf numFmtId="0" fontId="181" fillId="0" borderId="30" xfId="1" applyFont="1" applyFill="1" applyBorder="1" applyAlignment="1" applyProtection="1">
      <alignment horizontal="right" vertical="center"/>
    </xf>
    <xf numFmtId="0" fontId="162" fillId="0" borderId="30" xfId="1" applyFont="1" applyFill="1" applyBorder="1" applyAlignment="1" applyProtection="1">
      <alignment horizontal="right" vertical="center"/>
    </xf>
    <xf numFmtId="0" fontId="12" fillId="20" borderId="30" xfId="0" applyFont="1" applyFill="1" applyBorder="1" applyAlignment="1">
      <alignment vertical="center"/>
    </xf>
    <xf numFmtId="0" fontId="87" fillId="0" borderId="0" xfId="0" applyFont="1" applyAlignment="1">
      <alignment vertical="center"/>
    </xf>
    <xf numFmtId="0" fontId="25" fillId="35" borderId="30" xfId="0" applyFont="1" applyFill="1" applyBorder="1" applyAlignment="1">
      <alignment horizontal="left" vertical="center"/>
    </xf>
    <xf numFmtId="0" fontId="25" fillId="35" borderId="30" xfId="0" applyFont="1" applyFill="1" applyBorder="1" applyAlignment="1">
      <alignment vertical="center"/>
    </xf>
    <xf numFmtId="0" fontId="25" fillId="35" borderId="30" xfId="0" applyFont="1" applyFill="1" applyBorder="1" applyAlignment="1">
      <alignment horizontal="right" vertical="center"/>
    </xf>
    <xf numFmtId="0" fontId="13" fillId="0" borderId="30" xfId="0" applyFont="1" applyBorder="1" applyAlignment="1">
      <alignment vertical="center"/>
    </xf>
    <xf numFmtId="0" fontId="13" fillId="2" borderId="30" xfId="0" applyFont="1" applyFill="1" applyBorder="1" applyAlignment="1">
      <alignment horizontal="right" vertical="center" wrapText="1"/>
    </xf>
    <xf numFmtId="0" fontId="8" fillId="2" borderId="30" xfId="0" applyFont="1" applyFill="1" applyBorder="1" applyAlignment="1">
      <alignment vertical="center"/>
    </xf>
    <xf numFmtId="0" fontId="14" fillId="0" borderId="30" xfId="0" applyFont="1" applyBorder="1" applyAlignment="1">
      <alignment horizontal="left" vertical="center" wrapText="1"/>
    </xf>
    <xf numFmtId="0" fontId="66" fillId="0" borderId="30" xfId="0" applyFont="1" applyBorder="1" applyAlignment="1">
      <alignment horizontal="left" vertical="center" wrapText="1"/>
    </xf>
    <xf numFmtId="0" fontId="8" fillId="0" borderId="30" xfId="0" applyFont="1" applyBorder="1" applyAlignment="1">
      <alignment vertical="center"/>
    </xf>
    <xf numFmtId="0" fontId="66" fillId="0" borderId="30" xfId="0" applyFont="1" applyBorder="1" applyAlignment="1">
      <alignment vertical="center" wrapText="1"/>
    </xf>
    <xf numFmtId="164" fontId="12" fillId="2" borderId="30" xfId="0" applyNumberFormat="1" applyFont="1" applyFill="1" applyBorder="1" applyAlignment="1">
      <alignment horizontal="right" vertical="center" wrapText="1"/>
    </xf>
    <xf numFmtId="164" fontId="155" fillId="2" borderId="30" xfId="1" applyNumberFormat="1" applyFont="1" applyFill="1" applyBorder="1" applyAlignment="1" applyProtection="1">
      <alignment horizontal="right" vertical="center" wrapText="1"/>
    </xf>
    <xf numFmtId="0" fontId="60" fillId="5" borderId="0" xfId="0" applyFont="1" applyFill="1"/>
    <xf numFmtId="0" fontId="102" fillId="5" borderId="0" xfId="0" applyFont="1" applyFill="1" applyAlignment="1">
      <alignment horizontal="left"/>
    </xf>
    <xf numFmtId="0" fontId="102" fillId="7" borderId="0" xfId="0" applyFont="1" applyFill="1" applyAlignment="1">
      <alignment horizontal="left"/>
    </xf>
    <xf numFmtId="0" fontId="102" fillId="29" borderId="0" xfId="0" applyFont="1" applyFill="1" applyAlignment="1">
      <alignment horizontal="left"/>
    </xf>
    <xf numFmtId="0" fontId="114" fillId="2" borderId="0" xfId="0" applyFont="1" applyFill="1" applyAlignment="1">
      <alignment horizontal="center"/>
    </xf>
    <xf numFmtId="0" fontId="154" fillId="35" borderId="30" xfId="0" applyFont="1" applyFill="1" applyBorder="1" applyAlignment="1">
      <alignment horizontal="left" vertical="center"/>
    </xf>
    <xf numFmtId="0" fontId="154" fillId="35" borderId="30" xfId="0" applyFont="1" applyFill="1" applyBorder="1" applyAlignment="1">
      <alignment horizontal="left" vertical="center" wrapText="1"/>
    </xf>
    <xf numFmtId="0" fontId="63" fillId="35" borderId="30" xfId="0" applyFont="1" applyFill="1" applyBorder="1" applyAlignment="1">
      <alignment horizontal="right" vertical="center" wrapText="1"/>
    </xf>
    <xf numFmtId="0" fontId="67" fillId="7" borderId="0" xfId="0" applyFont="1" applyFill="1" applyAlignment="1">
      <alignment horizontal="left"/>
    </xf>
    <xf numFmtId="0" fontId="114" fillId="19" borderId="0" xfId="0" applyFont="1" applyFill="1"/>
    <xf numFmtId="0" fontId="105" fillId="2" borderId="0" xfId="0" applyFont="1" applyFill="1" applyAlignment="1">
      <alignment horizontal="center"/>
    </xf>
    <xf numFmtId="0" fontId="114" fillId="0" borderId="30" xfId="0" applyFont="1" applyBorder="1"/>
    <xf numFmtId="0" fontId="114" fillId="2" borderId="30" xfId="0" applyFont="1" applyFill="1" applyBorder="1"/>
    <xf numFmtId="0" fontId="13" fillId="19" borderId="0" xfId="0" applyFont="1" applyFill="1"/>
    <xf numFmtId="0" fontId="115" fillId="2" borderId="30" xfId="0" applyFont="1" applyFill="1" applyBorder="1"/>
    <xf numFmtId="0" fontId="115" fillId="3" borderId="30" xfId="0" applyFont="1" applyFill="1" applyBorder="1"/>
    <xf numFmtId="0" fontId="13" fillId="3" borderId="0" xfId="0" applyFont="1" applyFill="1"/>
    <xf numFmtId="0" fontId="89" fillId="5" borderId="0" xfId="0" applyFont="1" applyFill="1" applyAlignment="1">
      <alignment vertical="center"/>
    </xf>
    <xf numFmtId="0" fontId="22" fillId="2" borderId="0" xfId="0" applyFont="1" applyFill="1" applyAlignment="1">
      <alignment vertical="center"/>
    </xf>
    <xf numFmtId="0" fontId="134" fillId="37" borderId="0" xfId="0" applyFont="1" applyFill="1" applyAlignment="1">
      <alignment horizontal="left" vertical="center"/>
    </xf>
    <xf numFmtId="0" fontId="41" fillId="37" borderId="0" xfId="0" applyFont="1" applyFill="1" applyAlignment="1">
      <alignment horizontal="left" vertical="center" wrapText="1"/>
    </xf>
    <xf numFmtId="0" fontId="42" fillId="37" borderId="0" xfId="0" applyFont="1" applyFill="1" applyAlignment="1">
      <alignment horizontal="right" vertical="center"/>
    </xf>
    <xf numFmtId="0" fontId="43" fillId="37" borderId="0" xfId="0" applyFont="1" applyFill="1" applyAlignment="1">
      <alignment vertical="center"/>
    </xf>
    <xf numFmtId="0" fontId="134" fillId="2" borderId="0" xfId="0" applyFont="1" applyFill="1" applyAlignment="1">
      <alignment horizontal="left" vertical="center"/>
    </xf>
    <xf numFmtId="0" fontId="41" fillId="2" borderId="0" xfId="0" applyFont="1" applyFill="1" applyAlignment="1">
      <alignment horizontal="left" vertical="center" wrapText="1"/>
    </xf>
    <xf numFmtId="0" fontId="49" fillId="2" borderId="0" xfId="0" applyFont="1" applyFill="1" applyAlignment="1">
      <alignment horizontal="right" vertical="center" wrapText="1"/>
    </xf>
    <xf numFmtId="0" fontId="49" fillId="2" borderId="0" xfId="0" applyFont="1" applyFill="1" applyAlignment="1">
      <alignment horizontal="right" vertical="center"/>
    </xf>
    <xf numFmtId="0" fontId="42" fillId="2" borderId="0" xfId="0" applyFont="1" applyFill="1" applyAlignment="1">
      <alignment horizontal="right" vertical="center"/>
    </xf>
    <xf numFmtId="0" fontId="43" fillId="2" borderId="0" xfId="0" applyFont="1" applyFill="1" applyAlignment="1">
      <alignment horizontal="center" vertical="center"/>
    </xf>
    <xf numFmtId="0" fontId="37" fillId="2" borderId="0" xfId="0" applyFont="1" applyFill="1" applyAlignment="1">
      <alignment vertical="center" wrapText="1"/>
    </xf>
    <xf numFmtId="0" fontId="52" fillId="10" borderId="30" xfId="0" applyFont="1" applyFill="1" applyBorder="1" applyAlignment="1">
      <alignment horizontal="left" vertical="center" wrapText="1"/>
    </xf>
    <xf numFmtId="0" fontId="149" fillId="10" borderId="30" xfId="0" applyFont="1" applyFill="1" applyBorder="1" applyAlignment="1">
      <alignment horizontal="right" vertical="center" wrapText="1"/>
    </xf>
    <xf numFmtId="0" fontId="7" fillId="10" borderId="30" xfId="0" applyFont="1" applyFill="1" applyBorder="1" applyAlignment="1">
      <alignment horizontal="right" vertical="center"/>
    </xf>
    <xf numFmtId="0" fontId="148" fillId="10" borderId="30" xfId="0" applyFont="1" applyFill="1" applyBorder="1" applyAlignment="1">
      <alignment horizontal="right" vertical="center" wrapText="1"/>
    </xf>
    <xf numFmtId="0" fontId="148" fillId="10" borderId="30" xfId="0" applyFont="1" applyFill="1" applyBorder="1" applyAlignment="1">
      <alignment horizontal="right" vertical="center"/>
    </xf>
    <xf numFmtId="3" fontId="150" fillId="43" borderId="62" xfId="0" applyNumberFormat="1" applyFont="1" applyFill="1" applyBorder="1"/>
    <xf numFmtId="9" fontId="151" fillId="4" borderId="30" xfId="3" applyFont="1" applyFill="1" applyBorder="1" applyAlignment="1" applyProtection="1">
      <alignment horizontal="right" vertical="center"/>
    </xf>
    <xf numFmtId="164" fontId="151" fillId="4" borderId="30" xfId="3" applyNumberFormat="1" applyFont="1" applyFill="1" applyBorder="1" applyAlignment="1" applyProtection="1">
      <alignment horizontal="right" vertical="center"/>
    </xf>
    <xf numFmtId="3" fontId="150" fillId="43" borderId="63" xfId="0" applyNumberFormat="1" applyFont="1" applyFill="1" applyBorder="1"/>
    <xf numFmtId="3" fontId="120" fillId="5" borderId="30" xfId="0" applyNumberFormat="1" applyFont="1" applyFill="1" applyBorder="1" applyAlignment="1">
      <alignment horizontal="right" vertical="center"/>
    </xf>
    <xf numFmtId="166" fontId="35" fillId="5" borderId="0" xfId="2" applyNumberFormat="1" applyFont="1" applyFill="1" applyAlignment="1" applyProtection="1">
      <alignment vertical="center" wrapText="1"/>
    </xf>
    <xf numFmtId="166" fontId="8" fillId="2" borderId="0" xfId="2" applyNumberFormat="1" applyFont="1" applyFill="1" applyAlignment="1" applyProtection="1">
      <alignment vertical="center"/>
    </xf>
    <xf numFmtId="3" fontId="8" fillId="2" borderId="0" xfId="0" applyNumberFormat="1" applyFont="1" applyFill="1" applyAlignment="1">
      <alignment vertical="center"/>
    </xf>
    <xf numFmtId="174" fontId="8" fillId="2" borderId="0" xfId="3" applyNumberFormat="1" applyFont="1" applyFill="1" applyAlignment="1" applyProtection="1">
      <alignment vertical="center"/>
    </xf>
    <xf numFmtId="0" fontId="10" fillId="5" borderId="30" xfId="0" applyFont="1" applyFill="1" applyBorder="1" applyAlignment="1">
      <alignment horizontal="left" vertical="center" wrapText="1"/>
    </xf>
    <xf numFmtId="171" fontId="120" fillId="5" borderId="30" xfId="0" applyNumberFormat="1" applyFont="1" applyFill="1" applyBorder="1" applyAlignment="1">
      <alignment horizontal="right" vertical="center"/>
    </xf>
    <xf numFmtId="10" fontId="151" fillId="4" borderId="30" xfId="3" applyNumberFormat="1" applyFont="1" applyFill="1" applyBorder="1" applyAlignment="1" applyProtection="1">
      <alignment horizontal="right" vertical="center"/>
    </xf>
    <xf numFmtId="0" fontId="45" fillId="2" borderId="0" xfId="0" applyFont="1" applyFill="1" applyAlignment="1">
      <alignment horizontal="left" vertical="center"/>
    </xf>
    <xf numFmtId="9" fontId="45" fillId="2" borderId="0" xfId="3" applyFont="1" applyFill="1" applyAlignment="1" applyProtection="1">
      <alignment horizontal="right" vertical="center"/>
    </xf>
    <xf numFmtId="2" fontId="45" fillId="2" borderId="0" xfId="0" applyNumberFormat="1" applyFont="1" applyFill="1" applyAlignment="1">
      <alignment horizontal="right" vertical="center"/>
    </xf>
    <xf numFmtId="164" fontId="35" fillId="5" borderId="0" xfId="3" applyNumberFormat="1" applyFont="1" applyFill="1" applyAlignment="1" applyProtection="1">
      <alignment horizontal="center" vertical="center" wrapText="1"/>
    </xf>
    <xf numFmtId="164" fontId="35" fillId="5" borderId="0" xfId="3" applyNumberFormat="1" applyFont="1" applyFill="1" applyAlignment="1" applyProtection="1">
      <alignment horizontal="right" vertical="center"/>
    </xf>
    <xf numFmtId="0" fontId="153" fillId="10" borderId="30" xfId="0" applyFont="1" applyFill="1" applyBorder="1" applyAlignment="1">
      <alignment horizontal="left" vertical="center" wrapText="1"/>
    </xf>
    <xf numFmtId="0" fontId="81" fillId="10" borderId="30" xfId="0" applyFont="1" applyFill="1" applyBorder="1" applyAlignment="1">
      <alignment horizontal="right" vertical="center" wrapText="1"/>
    </xf>
    <xf numFmtId="0" fontId="118" fillId="0" borderId="30" xfId="0" applyFont="1" applyBorder="1" applyAlignment="1">
      <alignment horizontal="left" vertical="center" wrapText="1"/>
    </xf>
    <xf numFmtId="3" fontId="87" fillId="4" borderId="30" xfId="0" applyNumberFormat="1" applyFont="1" applyFill="1" applyBorder="1" applyAlignment="1">
      <alignment horizontal="right" vertical="center" wrapText="1"/>
    </xf>
    <xf numFmtId="3" fontId="115" fillId="0" borderId="30" xfId="0" applyNumberFormat="1" applyFont="1" applyBorder="1" applyAlignment="1">
      <alignment horizontal="right" vertical="center"/>
    </xf>
    <xf numFmtId="3" fontId="115" fillId="0" borderId="30" xfId="0" applyNumberFormat="1" applyFont="1" applyBorder="1" applyAlignment="1">
      <alignment horizontal="right" vertical="center" wrapText="1"/>
    </xf>
    <xf numFmtId="164" fontId="37" fillId="4" borderId="30" xfId="3" applyNumberFormat="1" applyFont="1" applyFill="1" applyBorder="1" applyAlignment="1" applyProtection="1">
      <alignment horizontal="right" vertical="center"/>
    </xf>
    <xf numFmtId="164" fontId="8" fillId="2" borderId="0" xfId="3" applyNumberFormat="1" applyFont="1" applyFill="1" applyAlignment="1" applyProtection="1">
      <alignment vertical="center"/>
    </xf>
    <xf numFmtId="9" fontId="35" fillId="5" borderId="0" xfId="3" applyFont="1" applyFill="1" applyAlignment="1" applyProtection="1">
      <alignment vertical="center" wrapText="1"/>
    </xf>
    <xf numFmtId="3" fontId="35" fillId="5" borderId="0" xfId="0" applyNumberFormat="1" applyFont="1" applyFill="1" applyAlignment="1">
      <alignment vertical="center" wrapText="1"/>
    </xf>
    <xf numFmtId="3" fontId="115" fillId="2" borderId="30" xfId="0" applyNumberFormat="1" applyFont="1" applyFill="1" applyBorder="1" applyAlignment="1">
      <alignment horizontal="right" vertical="center" wrapText="1"/>
    </xf>
    <xf numFmtId="9" fontId="35" fillId="5" borderId="0" xfId="3" applyFont="1" applyFill="1" applyAlignment="1" applyProtection="1">
      <alignment horizontal="center" vertical="center" wrapText="1"/>
    </xf>
    <xf numFmtId="0" fontId="119" fillId="0" borderId="30" xfId="0" applyFont="1" applyBorder="1" applyAlignment="1">
      <alignment horizontal="left" vertical="center" wrapText="1"/>
    </xf>
    <xf numFmtId="0" fontId="119" fillId="0" borderId="30" xfId="0" applyFont="1" applyBorder="1" applyAlignment="1">
      <alignment vertical="center" wrapText="1"/>
    </xf>
    <xf numFmtId="0" fontId="30" fillId="5" borderId="0" xfId="0" applyFont="1" applyFill="1" applyAlignment="1">
      <alignment horizontal="left" vertical="center"/>
    </xf>
    <xf numFmtId="0" fontId="30" fillId="5" borderId="0" xfId="0" applyFont="1" applyFill="1" applyAlignment="1">
      <alignment horizontal="right" vertical="center"/>
    </xf>
    <xf numFmtId="164" fontId="8" fillId="2" borderId="0" xfId="3" applyNumberFormat="1" applyFont="1" applyFill="1" applyBorder="1" applyAlignment="1" applyProtection="1">
      <alignment horizontal="right" vertical="center"/>
    </xf>
    <xf numFmtId="0" fontId="7" fillId="8" borderId="30" xfId="0" applyFont="1" applyFill="1" applyBorder="1" applyAlignment="1">
      <alignment horizontal="right" vertical="center" wrapText="1"/>
    </xf>
    <xf numFmtId="3" fontId="8" fillId="4" borderId="30" xfId="0" applyNumberFormat="1" applyFont="1" applyFill="1" applyBorder="1" applyAlignment="1">
      <alignment horizontal="right" vertical="center" wrapText="1"/>
    </xf>
    <xf numFmtId="3" fontId="8" fillId="0" borderId="30" xfId="0" applyNumberFormat="1" applyFont="1" applyBorder="1" applyAlignment="1">
      <alignment horizontal="right" vertical="center" wrapText="1"/>
    </xf>
    <xf numFmtId="164" fontId="8" fillId="4" borderId="30" xfId="3" applyNumberFormat="1" applyFont="1" applyFill="1" applyBorder="1" applyAlignment="1" applyProtection="1">
      <alignment horizontal="right" vertical="center"/>
    </xf>
    <xf numFmtId="9" fontId="8" fillId="2" borderId="0" xfId="3" applyFont="1" applyFill="1" applyAlignment="1" applyProtection="1">
      <alignment vertical="center"/>
    </xf>
    <xf numFmtId="3" fontId="7" fillId="4" borderId="30" xfId="0" applyNumberFormat="1" applyFont="1" applyFill="1" applyBorder="1" applyAlignment="1">
      <alignment horizontal="right" vertical="center" wrapText="1"/>
    </xf>
    <xf numFmtId="3" fontId="7" fillId="0" borderId="30" xfId="0" applyNumberFormat="1" applyFont="1" applyBorder="1" applyAlignment="1">
      <alignment horizontal="right" vertical="center" wrapText="1"/>
    </xf>
    <xf numFmtId="0" fontId="120" fillId="0" borderId="30" xfId="0" applyFont="1" applyBorder="1" applyAlignment="1">
      <alignment vertical="center" wrapText="1"/>
    </xf>
    <xf numFmtId="164" fontId="45" fillId="5" borderId="0" xfId="3" applyNumberFormat="1" applyFont="1" applyFill="1" applyAlignment="1" applyProtection="1">
      <alignment horizontal="right" vertical="center"/>
    </xf>
    <xf numFmtId="164" fontId="49" fillId="5" borderId="0" xfId="3" applyNumberFormat="1" applyFont="1" applyFill="1" applyAlignment="1" applyProtection="1">
      <alignment horizontal="right" vertical="center"/>
    </xf>
    <xf numFmtId="165" fontId="87" fillId="4" borderId="30" xfId="0" applyNumberFormat="1" applyFont="1" applyFill="1" applyBorder="1" applyAlignment="1">
      <alignment horizontal="right" vertical="center" wrapText="1"/>
    </xf>
    <xf numFmtId="171" fontId="114" fillId="5" borderId="30" xfId="0" applyNumberFormat="1" applyFont="1" applyFill="1" applyBorder="1" applyAlignment="1">
      <alignment horizontal="right" vertical="center"/>
    </xf>
    <xf numFmtId="0" fontId="115" fillId="0" borderId="0" xfId="0" applyFont="1" applyAlignment="1">
      <alignment vertical="center" wrapText="1"/>
    </xf>
    <xf numFmtId="0" fontId="115" fillId="0" borderId="0" xfId="0" applyFont="1" applyAlignment="1">
      <alignment horizontal="left" vertical="center" wrapText="1"/>
    </xf>
    <xf numFmtId="165" fontId="87" fillId="0" borderId="0" xfId="0" applyNumberFormat="1" applyFont="1" applyAlignment="1">
      <alignment horizontal="right" vertical="center" wrapText="1"/>
    </xf>
    <xf numFmtId="171" fontId="114" fillId="0" borderId="0" xfId="0" applyNumberFormat="1" applyFont="1" applyAlignment="1">
      <alignment horizontal="right" vertical="center"/>
    </xf>
    <xf numFmtId="171" fontId="114" fillId="5" borderId="0" xfId="0" applyNumberFormat="1" applyFont="1" applyFill="1" applyAlignment="1">
      <alignment horizontal="right" vertical="center"/>
    </xf>
    <xf numFmtId="164" fontId="37" fillId="4" borderId="0" xfId="3" applyNumberFormat="1" applyFont="1" applyFill="1" applyBorder="1" applyAlignment="1" applyProtection="1">
      <alignment horizontal="right" vertical="center"/>
    </xf>
    <xf numFmtId="3" fontId="115" fillId="40" borderId="30" xfId="0" applyNumberFormat="1" applyFont="1" applyFill="1" applyBorder="1" applyAlignment="1">
      <alignment horizontal="right" vertical="center" wrapText="1"/>
    </xf>
    <xf numFmtId="0" fontId="135" fillId="37" borderId="0" xfId="0" applyFont="1" applyFill="1" applyAlignment="1">
      <alignment horizontal="left" vertical="center"/>
    </xf>
    <xf numFmtId="0" fontId="30" fillId="5" borderId="0" xfId="0" applyFont="1" applyFill="1" applyAlignment="1">
      <alignment horizontal="left" vertical="center" wrapText="1"/>
    </xf>
    <xf numFmtId="0" fontId="35" fillId="5" borderId="0" xfId="0" applyFont="1" applyFill="1" applyAlignment="1">
      <alignment horizontal="right" vertical="center" wrapText="1"/>
    </xf>
    <xf numFmtId="166" fontId="87" fillId="23" borderId="30" xfId="2" applyNumberFormat="1" applyFont="1" applyFill="1" applyBorder="1" applyAlignment="1" applyProtection="1">
      <alignment horizontal="right" vertical="center"/>
    </xf>
    <xf numFmtId="166" fontId="115" fillId="7" borderId="30" xfId="2" applyNumberFormat="1" applyFont="1" applyFill="1" applyBorder="1" applyAlignment="1" applyProtection="1">
      <alignment horizontal="right" vertical="center"/>
    </xf>
    <xf numFmtId="164" fontId="67" fillId="4" borderId="30" xfId="3" applyNumberFormat="1" applyFont="1" applyFill="1" applyBorder="1" applyAlignment="1" applyProtection="1">
      <alignment horizontal="right" vertical="center"/>
    </xf>
    <xf numFmtId="171" fontId="115" fillId="4" borderId="30" xfId="0" applyNumberFormat="1" applyFont="1" applyFill="1" applyBorder="1" applyAlignment="1">
      <alignment horizontal="right" vertical="center"/>
    </xf>
    <xf numFmtId="9" fontId="87" fillId="4" borderId="30" xfId="0" applyNumberFormat="1" applyFont="1" applyFill="1" applyBorder="1" applyAlignment="1">
      <alignment horizontal="right" vertical="center"/>
    </xf>
    <xf numFmtId="9" fontId="115" fillId="0" borderId="30" xfId="0" applyNumberFormat="1" applyFont="1" applyBorder="1" applyAlignment="1">
      <alignment horizontal="right" vertical="center"/>
    </xf>
    <xf numFmtId="10" fontId="7" fillId="2" borderId="0" xfId="0" applyNumberFormat="1" applyFont="1" applyFill="1" applyAlignment="1">
      <alignment horizontal="right" vertical="center"/>
    </xf>
    <xf numFmtId="166" fontId="30" fillId="5" borderId="0" xfId="0" applyNumberFormat="1" applyFont="1" applyFill="1" applyAlignment="1">
      <alignment horizontal="right" vertical="center"/>
    </xf>
    <xf numFmtId="168" fontId="110" fillId="5" borderId="0" xfId="0" applyNumberFormat="1" applyFont="1" applyFill="1" applyAlignment="1">
      <alignment horizontal="right" vertical="center"/>
    </xf>
    <xf numFmtId="169" fontId="83" fillId="8" borderId="30" xfId="0" applyNumberFormat="1" applyFont="1" applyFill="1" applyBorder="1" applyAlignment="1">
      <alignment vertical="center" wrapText="1"/>
    </xf>
    <xf numFmtId="0" fontId="52" fillId="8" borderId="30" xfId="0" applyFont="1" applyFill="1" applyBorder="1" applyAlignment="1">
      <alignment horizontal="left" vertical="center"/>
    </xf>
    <xf numFmtId="0" fontId="7" fillId="0" borderId="30" xfId="0" applyFont="1" applyBorder="1" applyAlignment="1">
      <alignment vertical="center"/>
    </xf>
    <xf numFmtId="0" fontId="7" fillId="0" borderId="30" xfId="0" applyFont="1" applyBorder="1" applyAlignment="1">
      <alignment horizontal="left" vertical="center"/>
    </xf>
    <xf numFmtId="3" fontId="10" fillId="4" borderId="30" xfId="0" applyNumberFormat="1" applyFont="1" applyFill="1" applyBorder="1" applyAlignment="1">
      <alignment horizontal="right" vertical="center"/>
    </xf>
    <xf numFmtId="3" fontId="7" fillId="0" borderId="30" xfId="0" applyNumberFormat="1" applyFont="1" applyBorder="1" applyAlignment="1">
      <alignment horizontal="right" vertical="center"/>
    </xf>
    <xf numFmtId="170" fontId="7" fillId="0" borderId="30" xfId="0" applyNumberFormat="1" applyFont="1" applyBorder="1" applyAlignment="1">
      <alignment horizontal="right" vertical="center"/>
    </xf>
    <xf numFmtId="0" fontId="7" fillId="0" borderId="30" xfId="0" applyFont="1" applyBorder="1" applyAlignment="1">
      <alignment horizontal="left" vertical="center" indent="1"/>
    </xf>
    <xf numFmtId="0" fontId="7" fillId="0" borderId="30" xfId="0" applyFont="1" applyBorder="1" applyAlignment="1">
      <alignment horizontal="left" vertical="center" wrapText="1" indent="1"/>
    </xf>
    <xf numFmtId="0" fontId="8" fillId="2" borderId="30" xfId="0" applyFont="1" applyFill="1" applyBorder="1" applyAlignment="1">
      <alignment horizontal="left" vertical="center"/>
    </xf>
    <xf numFmtId="0" fontId="8" fillId="2" borderId="30" xfId="0" applyFont="1" applyFill="1" applyBorder="1" applyAlignment="1">
      <alignment horizontal="right" vertical="center"/>
    </xf>
    <xf numFmtId="0" fontId="8" fillId="4" borderId="30" xfId="0" applyFont="1" applyFill="1" applyBorder="1" applyAlignment="1">
      <alignment horizontal="right" vertical="center"/>
    </xf>
    <xf numFmtId="3" fontId="87" fillId="4" borderId="30" xfId="0" applyNumberFormat="1" applyFont="1" applyFill="1" applyBorder="1" applyAlignment="1">
      <alignment horizontal="right" vertical="center"/>
    </xf>
    <xf numFmtId="170" fontId="115" fillId="0" borderId="30" xfId="0" applyNumberFormat="1" applyFont="1" applyBorder="1" applyAlignment="1">
      <alignment horizontal="right" vertical="center"/>
    </xf>
    <xf numFmtId="0" fontId="115" fillId="0" borderId="30" xfId="0" applyFont="1" applyBorder="1" applyAlignment="1">
      <alignment horizontal="left" vertical="center" indent="1"/>
    </xf>
    <xf numFmtId="0" fontId="7" fillId="2" borderId="0" xfId="0" applyFont="1" applyFill="1" applyAlignment="1">
      <alignment horizontal="left" vertical="center" indent="1"/>
    </xf>
    <xf numFmtId="0" fontId="115" fillId="0" borderId="30" xfId="0" applyFont="1" applyBorder="1" applyAlignment="1">
      <alignment horizontal="left" vertical="center" wrapText="1" indent="1"/>
    </xf>
    <xf numFmtId="0" fontId="7" fillId="2" borderId="0" xfId="0" applyFont="1" applyFill="1" applyAlignment="1">
      <alignment horizontal="left" vertical="center" wrapText="1" indent="1"/>
    </xf>
    <xf numFmtId="0" fontId="115" fillId="2" borderId="30" xfId="0" applyFont="1" applyFill="1" applyBorder="1" applyAlignment="1">
      <alignment horizontal="left" vertical="center"/>
    </xf>
    <xf numFmtId="3" fontId="120" fillId="4" borderId="30" xfId="0" applyNumberFormat="1" applyFont="1" applyFill="1" applyBorder="1" applyAlignment="1">
      <alignment horizontal="right" vertical="center"/>
    </xf>
    <xf numFmtId="0" fontId="7" fillId="2" borderId="0" xfId="0" applyFont="1" applyFill="1" applyAlignment="1">
      <alignment horizontal="left" vertical="center"/>
    </xf>
    <xf numFmtId="0" fontId="115" fillId="2" borderId="30" xfId="0" applyFont="1" applyFill="1" applyBorder="1" applyAlignment="1">
      <alignment horizontal="left" vertical="center" indent="1"/>
    </xf>
    <xf numFmtId="3" fontId="52" fillId="4" borderId="30" xfId="0" applyNumberFormat="1" applyFont="1" applyFill="1" applyBorder="1" applyAlignment="1">
      <alignment horizontal="right" vertical="center"/>
    </xf>
    <xf numFmtId="0" fontId="46" fillId="2" borderId="0" xfId="0" applyFont="1" applyFill="1" applyAlignment="1">
      <alignment vertical="center"/>
    </xf>
    <xf numFmtId="0" fontId="7" fillId="2" borderId="1" xfId="0" applyFont="1" applyFill="1" applyBorder="1" applyAlignment="1">
      <alignment horizontal="left" vertical="center" wrapText="1"/>
    </xf>
    <xf numFmtId="175" fontId="10" fillId="2" borderId="1" xfId="3" applyNumberFormat="1" applyFont="1" applyFill="1" applyBorder="1" applyAlignment="1" applyProtection="1">
      <alignment horizontal="right" vertical="center"/>
    </xf>
    <xf numFmtId="0" fontId="10" fillId="2" borderId="1" xfId="2" applyNumberFormat="1" applyFont="1" applyFill="1" applyBorder="1" applyAlignment="1" applyProtection="1">
      <alignment horizontal="right" vertical="center"/>
    </xf>
    <xf numFmtId="0" fontId="83" fillId="8" borderId="30" xfId="0" applyFont="1" applyFill="1" applyBorder="1" applyAlignment="1">
      <alignment vertical="center"/>
    </xf>
    <xf numFmtId="0" fontId="7" fillId="8" borderId="30" xfId="0" applyFont="1" applyFill="1" applyBorder="1" applyAlignment="1">
      <alignment horizontal="right" vertical="center"/>
    </xf>
    <xf numFmtId="0" fontId="7" fillId="8" borderId="30" xfId="2" applyNumberFormat="1" applyFont="1" applyFill="1" applyBorder="1" applyAlignment="1" applyProtection="1">
      <alignment horizontal="right" vertical="center"/>
    </xf>
    <xf numFmtId="0" fontId="72" fillId="4" borderId="30" xfId="0" applyFont="1" applyFill="1" applyBorder="1" applyAlignment="1">
      <alignment vertical="center"/>
    </xf>
    <xf numFmtId="0" fontId="21" fillId="4" borderId="30" xfId="0" applyFont="1" applyFill="1" applyBorder="1" applyAlignment="1">
      <alignment horizontal="left" vertical="center"/>
    </xf>
    <xf numFmtId="166" fontId="117" fillId="4" borderId="30" xfId="2" applyNumberFormat="1" applyFont="1" applyFill="1" applyBorder="1" applyAlignment="1" applyProtection="1">
      <alignment horizontal="right" vertical="center"/>
    </xf>
    <xf numFmtId="164" fontId="114" fillId="4" borderId="30" xfId="3" applyNumberFormat="1" applyFont="1" applyFill="1" applyBorder="1" applyAlignment="1" applyProtection="1">
      <alignment horizontal="right" vertical="center"/>
    </xf>
    <xf numFmtId="166" fontId="158" fillId="4" borderId="30" xfId="2" applyNumberFormat="1" applyFont="1" applyFill="1" applyBorder="1" applyAlignment="1" applyProtection="1">
      <alignment horizontal="right" vertical="center"/>
    </xf>
    <xf numFmtId="166" fontId="115" fillId="2" borderId="30" xfId="2" applyNumberFormat="1" applyFont="1" applyFill="1" applyBorder="1" applyAlignment="1" applyProtection="1">
      <alignment horizontal="right" vertical="center"/>
    </xf>
    <xf numFmtId="164" fontId="87" fillId="4" borderId="30" xfId="3" applyNumberFormat="1" applyFont="1" applyFill="1" applyBorder="1" applyAlignment="1" applyProtection="1">
      <alignment horizontal="right" vertical="center"/>
    </xf>
    <xf numFmtId="0" fontId="114" fillId="2" borderId="30" xfId="0" applyFont="1" applyFill="1" applyBorder="1" applyAlignment="1">
      <alignment horizontal="left" vertical="center"/>
    </xf>
    <xf numFmtId="1" fontId="158" fillId="4" borderId="30" xfId="2" applyNumberFormat="1" applyFont="1" applyFill="1" applyBorder="1" applyAlignment="1" applyProtection="1">
      <alignment horizontal="right" vertical="center"/>
    </xf>
    <xf numFmtId="3" fontId="114" fillId="0" borderId="30" xfId="0" applyNumberFormat="1" applyFont="1" applyBorder="1" applyAlignment="1">
      <alignment horizontal="right" vertical="center"/>
    </xf>
    <xf numFmtId="167" fontId="114" fillId="2" borderId="30" xfId="2" applyNumberFormat="1" applyFont="1" applyFill="1" applyBorder="1" applyAlignment="1" applyProtection="1">
      <alignment horizontal="right" vertical="center"/>
    </xf>
    <xf numFmtId="166" fontId="114" fillId="2" borderId="30" xfId="2" applyNumberFormat="1" applyFont="1" applyFill="1" applyBorder="1" applyAlignment="1" applyProtection="1">
      <alignment horizontal="right" vertical="center"/>
    </xf>
    <xf numFmtId="166" fontId="114" fillId="0" borderId="30" xfId="2" applyNumberFormat="1" applyFont="1" applyFill="1" applyBorder="1" applyAlignment="1" applyProtection="1">
      <alignment horizontal="right" vertical="center"/>
    </xf>
    <xf numFmtId="0" fontId="117" fillId="2" borderId="30" xfId="0" applyFont="1" applyFill="1" applyBorder="1" applyAlignment="1">
      <alignment vertical="center"/>
    </xf>
    <xf numFmtId="166" fontId="117" fillId="2" borderId="30" xfId="2" applyNumberFormat="1" applyFont="1" applyFill="1" applyBorder="1" applyAlignment="1" applyProtection="1">
      <alignment horizontal="right" vertical="center"/>
    </xf>
    <xf numFmtId="166" fontId="87" fillId="4" borderId="30" xfId="2" applyNumberFormat="1" applyFont="1" applyFill="1" applyBorder="1" applyAlignment="1" applyProtection="1">
      <alignment horizontal="right" vertical="center"/>
    </xf>
    <xf numFmtId="9" fontId="87" fillId="2" borderId="0" xfId="3" applyFont="1" applyFill="1" applyBorder="1" applyAlignment="1" applyProtection="1">
      <alignment horizontal="right" vertical="center"/>
    </xf>
    <xf numFmtId="166" fontId="117" fillId="2" borderId="0" xfId="2" applyNumberFormat="1" applyFont="1" applyFill="1" applyBorder="1" applyAlignment="1" applyProtection="1">
      <alignment horizontal="right" vertical="center"/>
    </xf>
    <xf numFmtId="0" fontId="114" fillId="2" borderId="0" xfId="0" applyFont="1" applyFill="1" applyAlignment="1">
      <alignment horizontal="right" vertical="center"/>
    </xf>
    <xf numFmtId="164" fontId="114" fillId="2" borderId="0" xfId="3" applyNumberFormat="1" applyFont="1" applyFill="1" applyBorder="1" applyAlignment="1" applyProtection="1">
      <alignment horizontal="right" vertical="center"/>
    </xf>
    <xf numFmtId="9" fontId="117" fillId="4" borderId="30" xfId="3" applyFont="1" applyFill="1" applyBorder="1" applyAlignment="1" applyProtection="1">
      <alignment horizontal="right" vertical="center"/>
    </xf>
    <xf numFmtId="2" fontId="114" fillId="2" borderId="0" xfId="0" applyNumberFormat="1" applyFont="1" applyFill="1" applyAlignment="1">
      <alignment horizontal="right" vertical="center"/>
    </xf>
    <xf numFmtId="2" fontId="114" fillId="2" borderId="0" xfId="3" applyNumberFormat="1" applyFont="1" applyFill="1" applyBorder="1" applyAlignment="1" applyProtection="1">
      <alignment horizontal="right" vertical="center"/>
    </xf>
    <xf numFmtId="0" fontId="87" fillId="4" borderId="30" xfId="0" applyFont="1" applyFill="1" applyBorder="1" applyAlignment="1">
      <alignment horizontal="right" vertical="center"/>
    </xf>
    <xf numFmtId="0" fontId="117" fillId="0" borderId="30" xfId="0" applyFont="1" applyBorder="1" applyAlignment="1">
      <alignment horizontal="right" vertical="center"/>
    </xf>
    <xf numFmtId="2" fontId="114" fillId="2" borderId="0" xfId="3" applyNumberFormat="1" applyFont="1" applyFill="1" applyAlignment="1" applyProtection="1">
      <alignment horizontal="right" vertical="center"/>
    </xf>
    <xf numFmtId="9" fontId="117" fillId="0" borderId="30" xfId="3" applyFont="1" applyBorder="1" applyAlignment="1" applyProtection="1">
      <alignment horizontal="right" vertical="center"/>
    </xf>
    <xf numFmtId="164" fontId="114" fillId="2" borderId="0" xfId="3" applyNumberFormat="1" applyFont="1" applyFill="1" applyAlignment="1" applyProtection="1">
      <alignment horizontal="right" vertical="center"/>
    </xf>
    <xf numFmtId="0" fontId="117" fillId="2" borderId="0" xfId="0" applyFont="1" applyFill="1" applyAlignment="1">
      <alignment vertical="center"/>
    </xf>
    <xf numFmtId="9" fontId="87" fillId="2" borderId="0" xfId="0" applyNumberFormat="1" applyFont="1" applyFill="1" applyAlignment="1">
      <alignment horizontal="right" vertical="center"/>
    </xf>
    <xf numFmtId="9" fontId="117" fillId="2" borderId="0" xfId="3" applyFont="1" applyFill="1" applyBorder="1" applyAlignment="1" applyProtection="1">
      <alignment horizontal="right" vertical="center"/>
    </xf>
    <xf numFmtId="166" fontId="120" fillId="0" borderId="30" xfId="2" applyNumberFormat="1" applyFont="1" applyBorder="1" applyAlignment="1" applyProtection="1">
      <alignment horizontal="right" vertical="center"/>
    </xf>
    <xf numFmtId="43" fontId="8" fillId="2" borderId="0" xfId="0" applyNumberFormat="1" applyFont="1" applyFill="1" applyAlignment="1">
      <alignment vertical="center"/>
    </xf>
    <xf numFmtId="166" fontId="115" fillId="0" borderId="30" xfId="2" applyNumberFormat="1" applyFont="1" applyFill="1" applyBorder="1" applyAlignment="1" applyProtection="1">
      <alignment horizontal="right" vertical="center"/>
    </xf>
    <xf numFmtId="9" fontId="115" fillId="0" borderId="31" xfId="3" applyFont="1" applyFill="1" applyBorder="1" applyAlignment="1" applyProtection="1">
      <alignment horizontal="right" vertical="center"/>
    </xf>
    <xf numFmtId="9" fontId="115" fillId="0" borderId="30" xfId="3" applyFont="1" applyFill="1" applyBorder="1" applyAlignment="1" applyProtection="1">
      <alignment horizontal="right" vertical="center"/>
    </xf>
    <xf numFmtId="166" fontId="158" fillId="4" borderId="34" xfId="2" applyNumberFormat="1" applyFont="1" applyFill="1" applyBorder="1" applyAlignment="1" applyProtection="1">
      <alignment horizontal="right" vertical="center"/>
    </xf>
    <xf numFmtId="9" fontId="112" fillId="44" borderId="64" xfId="3" applyFont="1" applyFill="1" applyBorder="1" applyAlignment="1" applyProtection="1">
      <alignment vertical="center"/>
    </xf>
    <xf numFmtId="166" fontId="120" fillId="0" borderId="35" xfId="2" applyNumberFormat="1" applyFont="1" applyBorder="1" applyAlignment="1" applyProtection="1">
      <alignment horizontal="right" vertical="center"/>
    </xf>
    <xf numFmtId="164" fontId="158" fillId="4" borderId="30" xfId="3" applyNumberFormat="1" applyFont="1" applyFill="1" applyBorder="1" applyAlignment="1" applyProtection="1">
      <alignment horizontal="right" vertical="center"/>
    </xf>
    <xf numFmtId="1" fontId="6" fillId="2" borderId="0" xfId="0" applyNumberFormat="1" applyFont="1" applyFill="1" applyAlignment="1">
      <alignment vertical="center"/>
    </xf>
    <xf numFmtId="0" fontId="80" fillId="4" borderId="30" xfId="0" applyFont="1" applyFill="1" applyBorder="1" applyAlignment="1">
      <alignment vertical="center"/>
    </xf>
    <xf numFmtId="0" fontId="10" fillId="4" borderId="30" xfId="0" applyFont="1" applyFill="1" applyBorder="1" applyAlignment="1">
      <alignment horizontal="left" vertical="center"/>
    </xf>
    <xf numFmtId="166" fontId="120" fillId="4" borderId="30" xfId="2" applyNumberFormat="1" applyFont="1" applyFill="1" applyBorder="1" applyAlignment="1" applyProtection="1">
      <alignment horizontal="right" vertical="center"/>
    </xf>
    <xf numFmtId="0" fontId="114" fillId="4" borderId="30" xfId="0" applyFont="1" applyFill="1" applyBorder="1" applyAlignment="1">
      <alignment horizontal="right" vertical="center"/>
    </xf>
    <xf numFmtId="9" fontId="114" fillId="4" borderId="30" xfId="3" applyFont="1" applyFill="1" applyBorder="1" applyAlignment="1" applyProtection="1">
      <alignment horizontal="right" vertical="center"/>
    </xf>
    <xf numFmtId="166" fontId="151" fillId="4" borderId="30" xfId="2" applyNumberFormat="1" applyFont="1" applyFill="1" applyBorder="1" applyAlignment="1" applyProtection="1">
      <alignment horizontal="right" vertical="center"/>
    </xf>
    <xf numFmtId="3" fontId="114" fillId="0" borderId="30" xfId="0" applyNumberFormat="1" applyFont="1" applyBorder="1" applyAlignment="1">
      <alignment horizontal="right" vertical="center" wrapText="1"/>
    </xf>
    <xf numFmtId="166" fontId="115" fillId="0" borderId="30" xfId="2" applyNumberFormat="1" applyFont="1" applyBorder="1" applyAlignment="1" applyProtection="1">
      <alignment horizontal="right" vertical="center"/>
    </xf>
    <xf numFmtId="166" fontId="150" fillId="4" borderId="30" xfId="2" applyNumberFormat="1" applyFont="1" applyFill="1" applyBorder="1" applyAlignment="1" applyProtection="1">
      <alignment horizontal="right" vertical="center"/>
    </xf>
    <xf numFmtId="3" fontId="117" fillId="0" borderId="30" xfId="0" applyNumberFormat="1" applyFont="1" applyBorder="1" applyAlignment="1">
      <alignment horizontal="right" vertical="center" wrapText="1"/>
    </xf>
    <xf numFmtId="166" fontId="120" fillId="2" borderId="30" xfId="2" applyNumberFormat="1" applyFont="1" applyFill="1" applyBorder="1" applyAlignment="1" applyProtection="1">
      <alignment horizontal="right" vertical="center"/>
    </xf>
    <xf numFmtId="0" fontId="150" fillId="2" borderId="0" xfId="0" applyFont="1" applyFill="1" applyAlignment="1">
      <alignment horizontal="right" vertical="center"/>
    </xf>
    <xf numFmtId="166" fontId="120" fillId="2" borderId="0" xfId="2" applyNumberFormat="1" applyFont="1" applyFill="1" applyBorder="1" applyAlignment="1" applyProtection="1">
      <alignment horizontal="right" vertical="center"/>
    </xf>
    <xf numFmtId="176" fontId="120" fillId="2" borderId="0" xfId="2" applyNumberFormat="1" applyFont="1" applyFill="1" applyBorder="1" applyAlignment="1" applyProtection="1">
      <alignment horizontal="right" vertical="center"/>
    </xf>
    <xf numFmtId="164" fontId="8" fillId="2" borderId="0" xfId="3" applyNumberFormat="1" applyFont="1" applyFill="1" applyBorder="1" applyAlignment="1" applyProtection="1">
      <alignment vertical="center"/>
    </xf>
    <xf numFmtId="9" fontId="87" fillId="4" borderId="30" xfId="3" applyFont="1" applyFill="1" applyBorder="1" applyAlignment="1" applyProtection="1">
      <alignment horizontal="right" vertical="center"/>
    </xf>
    <xf numFmtId="166" fontId="86" fillId="4" borderId="30" xfId="2" applyNumberFormat="1" applyFont="1" applyFill="1" applyBorder="1" applyAlignment="1" applyProtection="1">
      <alignment horizontal="right" vertical="center"/>
    </xf>
    <xf numFmtId="166" fontId="86" fillId="4" borderId="30" xfId="0" applyNumberFormat="1" applyFont="1" applyFill="1" applyBorder="1" applyAlignment="1">
      <alignment horizontal="right" vertical="center"/>
    </xf>
    <xf numFmtId="166" fontId="114" fillId="2" borderId="30" xfId="0" applyNumberFormat="1" applyFont="1" applyFill="1" applyBorder="1" applyAlignment="1">
      <alignment horizontal="right" vertical="center"/>
    </xf>
    <xf numFmtId="166" fontId="87" fillId="4" borderId="30" xfId="0" applyNumberFormat="1" applyFont="1" applyFill="1" applyBorder="1" applyAlignment="1">
      <alignment horizontal="right" vertical="center"/>
    </xf>
    <xf numFmtId="166" fontId="117" fillId="2" borderId="30" xfId="0" applyNumberFormat="1" applyFont="1" applyFill="1" applyBorder="1" applyAlignment="1">
      <alignment horizontal="right" vertical="center"/>
    </xf>
    <xf numFmtId="0" fontId="8" fillId="2" borderId="0" xfId="0" applyFont="1" applyFill="1" applyAlignment="1">
      <alignment horizontal="right" vertical="center"/>
    </xf>
    <xf numFmtId="0" fontId="114" fillId="0" borderId="7" xfId="0" applyFont="1" applyBorder="1" applyAlignment="1">
      <alignment vertical="center" wrapText="1"/>
    </xf>
    <xf numFmtId="0" fontId="115" fillId="0" borderId="7" xfId="0" applyFont="1" applyBorder="1" applyAlignment="1">
      <alignment horizontal="left" vertical="center"/>
    </xf>
    <xf numFmtId="166" fontId="115" fillId="4" borderId="7" xfId="2" applyNumberFormat="1" applyFont="1" applyFill="1" applyBorder="1" applyAlignment="1" applyProtection="1">
      <alignment horizontal="right" vertical="center"/>
    </xf>
    <xf numFmtId="166" fontId="115" fillId="0" borderId="7" xfId="2" applyNumberFormat="1" applyFont="1" applyBorder="1" applyAlignment="1" applyProtection="1">
      <alignment horizontal="right" vertical="center"/>
    </xf>
    <xf numFmtId="10" fontId="114" fillId="2" borderId="0" xfId="0" applyNumberFormat="1" applyFont="1" applyFill="1" applyAlignment="1">
      <alignment horizontal="right" vertical="center"/>
    </xf>
    <xf numFmtId="0" fontId="120" fillId="0" borderId="7" xfId="0" applyFont="1" applyBorder="1" applyAlignment="1">
      <alignment horizontal="left" vertical="center"/>
    </xf>
    <xf numFmtId="166" fontId="120" fillId="4" borderId="7" xfId="2" applyNumberFormat="1" applyFont="1" applyFill="1" applyBorder="1" applyAlignment="1" applyProtection="1">
      <alignment horizontal="right" vertical="center"/>
    </xf>
    <xf numFmtId="166" fontId="120" fillId="0" borderId="7" xfId="2" applyNumberFormat="1" applyFont="1" applyBorder="1" applyAlignment="1" applyProtection="1">
      <alignment horizontal="right" vertical="center"/>
    </xf>
    <xf numFmtId="0" fontId="114" fillId="0" borderId="7" xfId="0" applyFont="1" applyBorder="1" applyAlignment="1">
      <alignment vertical="center"/>
    </xf>
    <xf numFmtId="166" fontId="118" fillId="4" borderId="7" xfId="2" applyNumberFormat="1" applyFont="1" applyFill="1" applyBorder="1" applyAlignment="1" applyProtection="1">
      <alignment horizontal="right" vertical="center"/>
    </xf>
    <xf numFmtId="166" fontId="118" fillId="0" borderId="7" xfId="2" applyNumberFormat="1" applyFont="1" applyBorder="1" applyAlignment="1" applyProtection="1">
      <alignment horizontal="right" vertical="center"/>
    </xf>
    <xf numFmtId="166" fontId="114" fillId="2" borderId="0" xfId="0" applyNumberFormat="1" applyFont="1" applyFill="1" applyAlignment="1">
      <alignment horizontal="right" vertical="center"/>
    </xf>
    <xf numFmtId="164" fontId="115" fillId="4" borderId="7" xfId="2" applyNumberFormat="1" applyFont="1" applyFill="1" applyBorder="1" applyAlignment="1" applyProtection="1">
      <alignment horizontal="right" vertical="center"/>
    </xf>
    <xf numFmtId="164" fontId="115" fillId="0" borderId="7" xfId="2" applyNumberFormat="1" applyFont="1" applyBorder="1" applyAlignment="1" applyProtection="1">
      <alignment horizontal="right" vertical="center"/>
    </xf>
    <xf numFmtId="0" fontId="114" fillId="2" borderId="7" xfId="0" applyFont="1" applyFill="1" applyBorder="1" applyAlignment="1">
      <alignment vertical="center"/>
    </xf>
    <xf numFmtId="0" fontId="115" fillId="2" borderId="7" xfId="0" applyFont="1" applyFill="1" applyBorder="1" applyAlignment="1">
      <alignment horizontal="left" vertical="center"/>
    </xf>
    <xf numFmtId="0" fontId="118" fillId="0" borderId="7" xfId="0" applyFont="1" applyBorder="1" applyAlignment="1">
      <alignment vertical="center"/>
    </xf>
    <xf numFmtId="166" fontId="115" fillId="0" borderId="7" xfId="2" applyNumberFormat="1" applyFont="1" applyFill="1" applyBorder="1" applyAlignment="1" applyProtection="1">
      <alignment horizontal="right" vertical="center"/>
    </xf>
    <xf numFmtId="1" fontId="118" fillId="4" borderId="7" xfId="2" applyNumberFormat="1" applyFont="1" applyFill="1" applyBorder="1" applyAlignment="1" applyProtection="1">
      <alignment horizontal="right" vertical="center"/>
    </xf>
    <xf numFmtId="1" fontId="118" fillId="0" borderId="7" xfId="2" applyNumberFormat="1" applyFont="1" applyFill="1" applyBorder="1" applyAlignment="1" applyProtection="1">
      <alignment horizontal="right" vertical="center"/>
    </xf>
    <xf numFmtId="1" fontId="115" fillId="0" borderId="7" xfId="2" applyNumberFormat="1" applyFont="1" applyFill="1" applyBorder="1" applyAlignment="1" applyProtection="1">
      <alignment horizontal="right" vertical="center"/>
    </xf>
    <xf numFmtId="0" fontId="119" fillId="0" borderId="7" xfId="0" applyFont="1" applyBorder="1" applyAlignment="1">
      <alignment vertical="center"/>
    </xf>
    <xf numFmtId="166" fontId="120" fillId="0" borderId="7" xfId="2" applyNumberFormat="1" applyFont="1" applyFill="1" applyBorder="1" applyAlignment="1" applyProtection="1">
      <alignment horizontal="right" vertical="center"/>
    </xf>
    <xf numFmtId="0" fontId="54" fillId="2" borderId="0" xfId="0" applyFont="1" applyFill="1" applyAlignment="1">
      <alignment horizontal="left" vertical="center"/>
    </xf>
    <xf numFmtId="168" fontId="10" fillId="2" borderId="0" xfId="2" applyNumberFormat="1" applyFont="1" applyFill="1" applyAlignment="1" applyProtection="1">
      <alignment horizontal="right" vertical="center"/>
    </xf>
    <xf numFmtId="0" fontId="153" fillId="8" borderId="30" xfId="0" applyFont="1" applyFill="1" applyBorder="1" applyAlignment="1">
      <alignment vertical="center"/>
    </xf>
    <xf numFmtId="1" fontId="87" fillId="4" borderId="30" xfId="0" applyNumberFormat="1" applyFont="1" applyFill="1" applyBorder="1" applyAlignment="1">
      <alignment horizontal="right" vertical="center"/>
    </xf>
    <xf numFmtId="9" fontId="10" fillId="2" borderId="0" xfId="3" applyFont="1" applyFill="1" applyAlignment="1" applyProtection="1">
      <alignment horizontal="right" vertical="center"/>
    </xf>
    <xf numFmtId="9" fontId="7" fillId="2" borderId="0" xfId="3" applyFont="1" applyFill="1" applyAlignment="1" applyProtection="1">
      <alignment horizontal="right" vertical="center"/>
    </xf>
    <xf numFmtId="0" fontId="7" fillId="2" borderId="0" xfId="0" applyFont="1" applyFill="1" applyAlignment="1">
      <alignment horizontal="right" vertical="center"/>
    </xf>
    <xf numFmtId="3" fontId="7" fillId="0" borderId="30" xfId="0" applyNumberFormat="1" applyFont="1" applyBorder="1" applyAlignment="1">
      <alignment vertical="center" wrapText="1"/>
    </xf>
    <xf numFmtId="1" fontId="86" fillId="4" borderId="30" xfId="0" applyNumberFormat="1" applyFont="1" applyFill="1" applyBorder="1" applyAlignment="1">
      <alignment horizontal="right" vertical="center"/>
    </xf>
    <xf numFmtId="167" fontId="87" fillId="4" borderId="30" xfId="2" applyNumberFormat="1" applyFont="1" applyFill="1" applyBorder="1" applyAlignment="1" applyProtection="1">
      <alignment horizontal="right" vertical="center"/>
    </xf>
    <xf numFmtId="9" fontId="86" fillId="4" borderId="30" xfId="3" applyFont="1" applyFill="1" applyBorder="1" applyAlignment="1" applyProtection="1">
      <alignment horizontal="right" vertical="center"/>
    </xf>
    <xf numFmtId="9" fontId="115" fillId="0" borderId="30" xfId="3" applyFont="1" applyBorder="1" applyAlignment="1" applyProtection="1">
      <alignment horizontal="right" vertical="center"/>
    </xf>
    <xf numFmtId="9" fontId="8" fillId="2" borderId="0" xfId="3" applyFont="1" applyFill="1" applyAlignment="1" applyProtection="1">
      <alignment vertical="center" wrapText="1"/>
    </xf>
    <xf numFmtId="178" fontId="8" fillId="2" borderId="0" xfId="0" applyNumberFormat="1" applyFont="1" applyFill="1" applyAlignment="1">
      <alignment vertical="center" wrapText="1"/>
    </xf>
    <xf numFmtId="0" fontId="117" fillId="2" borderId="30" xfId="0" applyFont="1" applyFill="1" applyBorder="1" applyAlignment="1">
      <alignment horizontal="left" vertical="center"/>
    </xf>
    <xf numFmtId="0" fontId="117" fillId="4" borderId="30" xfId="0" applyFont="1" applyFill="1" applyBorder="1" applyAlignment="1">
      <alignment horizontal="left" vertical="center"/>
    </xf>
    <xf numFmtId="0" fontId="117" fillId="2" borderId="0" xfId="0" applyFont="1" applyFill="1" applyAlignment="1">
      <alignment horizontal="left" vertical="center"/>
    </xf>
    <xf numFmtId="0" fontId="117" fillId="0" borderId="30" xfId="0" applyFont="1" applyBorder="1" applyAlignment="1">
      <alignment horizontal="left" vertical="center"/>
    </xf>
    <xf numFmtId="0" fontId="120" fillId="0" borderId="30" xfId="0" applyFont="1" applyBorder="1" applyAlignment="1">
      <alignment horizontal="left" vertical="center"/>
    </xf>
    <xf numFmtId="0" fontId="87" fillId="2" borderId="0" xfId="0" applyFont="1" applyFill="1" applyAlignment="1">
      <alignment horizontal="left" vertical="center" wrapText="1"/>
    </xf>
    <xf numFmtId="0" fontId="120" fillId="4" borderId="30" xfId="0" applyFont="1" applyFill="1" applyBorder="1" applyAlignment="1">
      <alignment horizontal="left" vertical="center"/>
    </xf>
    <xf numFmtId="0" fontId="117" fillId="0" borderId="7" xfId="0" applyFont="1" applyBorder="1" applyAlignment="1">
      <alignment vertical="center" wrapText="1"/>
    </xf>
    <xf numFmtId="0" fontId="117" fillId="0" borderId="7" xfId="0" applyFont="1" applyBorder="1" applyAlignment="1">
      <alignment vertical="center"/>
    </xf>
    <xf numFmtId="0" fontId="193" fillId="4" borderId="7" xfId="0" applyFont="1" applyFill="1" applyBorder="1" applyAlignment="1">
      <alignment vertical="center"/>
    </xf>
    <xf numFmtId="0" fontId="88" fillId="5" borderId="0" xfId="0" applyFont="1" applyFill="1" applyAlignment="1">
      <alignment vertical="center" wrapText="1"/>
    </xf>
    <xf numFmtId="0" fontId="81" fillId="0" borderId="0" xfId="0" applyFont="1" applyAlignment="1">
      <alignment vertical="center" wrapText="1"/>
    </xf>
    <xf numFmtId="0" fontId="81" fillId="2" borderId="0" xfId="0" applyFont="1" applyFill="1" applyAlignment="1">
      <alignment horizontal="left" vertical="center" wrapText="1"/>
    </xf>
    <xf numFmtId="0" fontId="58" fillId="35" borderId="30" xfId="0" applyFont="1" applyFill="1" applyBorder="1" applyAlignment="1">
      <alignment horizontal="left" vertical="center" wrapText="1"/>
    </xf>
    <xf numFmtId="0" fontId="119" fillId="2" borderId="30" xfId="0" applyFont="1" applyFill="1" applyBorder="1" applyAlignment="1">
      <alignment vertical="center" wrapText="1"/>
    </xf>
    <xf numFmtId="166" fontId="87" fillId="20" borderId="30" xfId="0" applyNumberFormat="1" applyFont="1" applyFill="1" applyBorder="1" applyAlignment="1">
      <alignment vertical="center"/>
    </xf>
    <xf numFmtId="3" fontId="119" fillId="0" borderId="30" xfId="0" applyNumberFormat="1" applyFont="1" applyBorder="1" applyAlignment="1">
      <alignment vertical="center" wrapText="1"/>
    </xf>
    <xf numFmtId="3" fontId="117" fillId="2" borderId="30" xfId="0" applyNumberFormat="1" applyFont="1" applyFill="1" applyBorder="1" applyAlignment="1">
      <alignment vertical="center" wrapText="1"/>
    </xf>
    <xf numFmtId="43" fontId="8" fillId="2" borderId="0" xfId="0" applyNumberFormat="1" applyFont="1" applyFill="1"/>
    <xf numFmtId="0" fontId="114" fillId="2" borderId="30" xfId="0" applyFont="1" applyFill="1" applyBorder="1" applyAlignment="1">
      <alignment horizontal="left" vertical="center" indent="2"/>
    </xf>
    <xf numFmtId="166" fontId="86" fillId="20" borderId="30" xfId="0" applyNumberFormat="1" applyFont="1" applyFill="1" applyBorder="1" applyAlignment="1">
      <alignment vertical="center"/>
    </xf>
    <xf numFmtId="166" fontId="118" fillId="0" borderId="30" xfId="0" applyNumberFormat="1" applyFont="1" applyBorder="1" applyAlignment="1">
      <alignment vertical="center"/>
    </xf>
    <xf numFmtId="166" fontId="114" fillId="2" borderId="30" xfId="0" applyNumberFormat="1" applyFont="1" applyFill="1" applyBorder="1" applyAlignment="1">
      <alignment vertical="center"/>
    </xf>
    <xf numFmtId="166" fontId="114" fillId="2" borderId="31" xfId="0" applyNumberFormat="1" applyFont="1" applyFill="1" applyBorder="1" applyAlignment="1">
      <alignment vertical="center"/>
    </xf>
    <xf numFmtId="166" fontId="114" fillId="2" borderId="34" xfId="0" applyNumberFormat="1" applyFont="1" applyFill="1" applyBorder="1" applyAlignment="1">
      <alignment vertical="center"/>
    </xf>
    <xf numFmtId="164" fontId="8" fillId="2" borderId="0" xfId="3" applyNumberFormat="1" applyFont="1" applyFill="1" applyProtection="1"/>
    <xf numFmtId="166" fontId="118" fillId="0" borderId="30" xfId="2" applyNumberFormat="1" applyFont="1" applyFill="1" applyBorder="1" applyAlignment="1" applyProtection="1">
      <alignment vertical="center"/>
    </xf>
    <xf numFmtId="166" fontId="115" fillId="0" borderId="34" xfId="2" applyNumberFormat="1" applyFont="1" applyBorder="1" applyAlignment="1" applyProtection="1">
      <alignment vertical="center"/>
    </xf>
    <xf numFmtId="166" fontId="115" fillId="2" borderId="30" xfId="2" applyNumberFormat="1" applyFont="1" applyFill="1" applyBorder="1" applyAlignment="1" applyProtection="1">
      <alignment vertical="center"/>
    </xf>
    <xf numFmtId="166" fontId="115" fillId="2" borderId="32" xfId="2" applyNumberFormat="1" applyFont="1" applyFill="1" applyBorder="1" applyAlignment="1" applyProtection="1">
      <alignment vertical="center"/>
    </xf>
    <xf numFmtId="164" fontId="81" fillId="2" borderId="0" xfId="3" applyNumberFormat="1" applyFont="1" applyFill="1" applyAlignment="1" applyProtection="1">
      <alignment horizontal="left" vertical="center" wrapText="1"/>
    </xf>
    <xf numFmtId="10" fontId="8" fillId="2" borderId="0" xfId="3" applyNumberFormat="1" applyFont="1" applyFill="1" applyAlignment="1" applyProtection="1">
      <alignment horizontal="left" vertical="center" wrapText="1"/>
    </xf>
    <xf numFmtId="0" fontId="58" fillId="35" borderId="30" xfId="0" applyFont="1" applyFill="1" applyBorder="1" applyAlignment="1">
      <alignment vertical="center" wrapText="1"/>
    </xf>
    <xf numFmtId="0" fontId="120" fillId="21" borderId="30" xfId="0" applyFont="1" applyFill="1" applyBorder="1" applyAlignment="1">
      <alignment horizontal="left" vertical="center"/>
    </xf>
    <xf numFmtId="0" fontId="115" fillId="21" borderId="30" xfId="0" applyFont="1" applyFill="1" applyBorder="1" applyAlignment="1">
      <alignment horizontal="center" vertical="center" wrapText="1"/>
    </xf>
    <xf numFmtId="0" fontId="6" fillId="2" borderId="0" xfId="0" applyFont="1" applyFill="1" applyAlignment="1">
      <alignment horizontal="left" vertical="center" wrapText="1"/>
    </xf>
    <xf numFmtId="0" fontId="120" fillId="0" borderId="30" xfId="0" applyFont="1" applyBorder="1" applyAlignment="1">
      <alignment vertical="center"/>
    </xf>
    <xf numFmtId="0" fontId="120" fillId="20" borderId="30" xfId="0" applyFont="1" applyFill="1" applyBorder="1" applyAlignment="1">
      <alignment vertical="center"/>
    </xf>
    <xf numFmtId="0" fontId="114" fillId="0" borderId="30" xfId="0" applyFont="1" applyBorder="1" applyAlignment="1">
      <alignment horizontal="right" wrapText="1"/>
    </xf>
    <xf numFmtId="9" fontId="82" fillId="23" borderId="30" xfId="3" applyFont="1" applyFill="1" applyBorder="1" applyAlignment="1" applyProtection="1">
      <alignment vertical="center" wrapText="1"/>
    </xf>
    <xf numFmtId="0" fontId="114" fillId="20" borderId="30" xfId="0" applyFont="1" applyFill="1" applyBorder="1" applyAlignment="1">
      <alignment horizontal="left" indent="2"/>
    </xf>
    <xf numFmtId="166" fontId="114" fillId="0" borderId="30" xfId="2" applyNumberFormat="1" applyFont="1" applyBorder="1" applyAlignment="1" applyProtection="1">
      <alignment horizontal="center" vertical="center" wrapText="1"/>
    </xf>
    <xf numFmtId="166" fontId="6" fillId="2" borderId="0" xfId="0" applyNumberFormat="1" applyFont="1" applyFill="1"/>
    <xf numFmtId="9" fontId="6" fillId="2" borderId="0" xfId="0" applyNumberFormat="1" applyFont="1" applyFill="1" applyAlignment="1">
      <alignment vertical="center" wrapText="1"/>
    </xf>
    <xf numFmtId="0" fontId="117" fillId="2" borderId="30" xfId="0" applyFont="1" applyFill="1" applyBorder="1" applyAlignment="1">
      <alignment horizontal="left" wrapText="1" indent="2"/>
    </xf>
    <xf numFmtId="0" fontId="117" fillId="20" borderId="30" xfId="0" applyFont="1" applyFill="1" applyBorder="1" applyAlignment="1">
      <alignment horizontal="left" wrapText="1" indent="2"/>
    </xf>
    <xf numFmtId="166" fontId="115" fillId="0" borderId="30" xfId="2" applyNumberFormat="1" applyFont="1" applyBorder="1" applyAlignment="1" applyProtection="1">
      <alignment horizontal="center" vertical="center" wrapText="1"/>
    </xf>
    <xf numFmtId="0" fontId="174" fillId="0" borderId="0" xfId="0" applyFont="1"/>
    <xf numFmtId="164" fontId="6" fillId="2" borderId="0" xfId="0" applyNumberFormat="1" applyFont="1" applyFill="1"/>
    <xf numFmtId="9" fontId="6" fillId="2" borderId="0" xfId="3" applyFont="1" applyFill="1" applyProtection="1"/>
    <xf numFmtId="9" fontId="6" fillId="2" borderId="0" xfId="0" applyNumberFormat="1" applyFont="1" applyFill="1" applyAlignment="1">
      <alignment horizontal="left" vertical="center" wrapText="1"/>
    </xf>
    <xf numFmtId="0" fontId="164" fillId="2" borderId="0" xfId="0" applyFont="1" applyFill="1"/>
    <xf numFmtId="9" fontId="6" fillId="2" borderId="0" xfId="0" applyNumberFormat="1" applyFont="1" applyFill="1"/>
    <xf numFmtId="0" fontId="115" fillId="20" borderId="30" xfId="0" applyFont="1" applyFill="1" applyBorder="1" applyAlignment="1">
      <alignment horizontal="center" vertical="center" wrapText="1"/>
    </xf>
    <xf numFmtId="9" fontId="82" fillId="38" borderId="30" xfId="3" applyFont="1" applyFill="1" applyBorder="1" applyAlignment="1" applyProtection="1">
      <alignment vertical="center" wrapText="1"/>
    </xf>
    <xf numFmtId="166" fontId="86" fillId="20" borderId="30" xfId="2" applyNumberFormat="1" applyFont="1" applyFill="1" applyBorder="1" applyAlignment="1" applyProtection="1">
      <alignment horizontal="right" vertical="center" wrapText="1"/>
    </xf>
    <xf numFmtId="166" fontId="118" fillId="0" borderId="30" xfId="2" applyNumberFormat="1" applyFont="1" applyFill="1" applyBorder="1" applyAlignment="1" applyProtection="1">
      <alignment horizontal="right" vertical="center" wrapText="1"/>
    </xf>
    <xf numFmtId="166" fontId="115" fillId="0" borderId="30" xfId="2" applyNumberFormat="1" applyFont="1" applyBorder="1" applyAlignment="1" applyProtection="1">
      <alignment horizontal="right" vertical="center" wrapText="1"/>
    </xf>
    <xf numFmtId="9" fontId="86" fillId="38" borderId="30" xfId="3" applyFont="1" applyFill="1" applyBorder="1" applyAlignment="1" applyProtection="1">
      <alignment vertical="center" wrapText="1"/>
    </xf>
    <xf numFmtId="164" fontId="6" fillId="2" borderId="0" xfId="3" applyNumberFormat="1" applyFont="1" applyFill="1" applyProtection="1"/>
    <xf numFmtId="9" fontId="25" fillId="2" borderId="0" xfId="3" applyFont="1" applyFill="1" applyProtection="1"/>
    <xf numFmtId="0" fontId="6" fillId="0" borderId="0" xfId="0" applyFont="1"/>
    <xf numFmtId="0" fontId="120" fillId="2" borderId="30" xfId="0" applyFont="1" applyFill="1" applyBorder="1" applyAlignment="1">
      <alignment horizontal="left" wrapText="1"/>
    </xf>
    <xf numFmtId="166" fontId="87" fillId="20" borderId="30" xfId="2" applyNumberFormat="1" applyFont="1" applyFill="1" applyBorder="1" applyAlignment="1" applyProtection="1">
      <alignment horizontal="right" vertical="center" wrapText="1"/>
    </xf>
    <xf numFmtId="166" fontId="119" fillId="0" borderId="30" xfId="2" applyNumberFormat="1" applyFont="1" applyFill="1" applyBorder="1" applyAlignment="1" applyProtection="1">
      <alignment horizontal="right" vertical="center" wrapText="1"/>
    </xf>
    <xf numFmtId="166" fontId="120" fillId="0" borderId="30" xfId="2" applyNumberFormat="1" applyFont="1" applyBorder="1" applyAlignment="1" applyProtection="1">
      <alignment horizontal="right" vertical="center" wrapText="1"/>
    </xf>
    <xf numFmtId="9" fontId="87" fillId="38" borderId="30" xfId="3" applyFont="1" applyFill="1" applyBorder="1" applyAlignment="1" applyProtection="1">
      <alignment vertical="center" wrapText="1"/>
    </xf>
    <xf numFmtId="0" fontId="114" fillId="0" borderId="30" xfId="0" applyFont="1" applyBorder="1" applyAlignment="1">
      <alignment vertical="center" wrapText="1"/>
    </xf>
    <xf numFmtId="9" fontId="128" fillId="38" borderId="30" xfId="3" applyFont="1" applyFill="1" applyBorder="1" applyAlignment="1" applyProtection="1">
      <alignment vertical="center" wrapText="1"/>
    </xf>
    <xf numFmtId="0" fontId="164" fillId="2" borderId="0" xfId="0" applyFont="1" applyFill="1" applyAlignment="1">
      <alignment wrapText="1"/>
    </xf>
    <xf numFmtId="10" fontId="8" fillId="2" borderId="0" xfId="3" applyNumberFormat="1" applyFont="1" applyFill="1" applyAlignment="1" applyProtection="1">
      <alignment wrapText="1"/>
    </xf>
    <xf numFmtId="9" fontId="8" fillId="2" borderId="0" xfId="3" applyFont="1" applyFill="1" applyAlignment="1" applyProtection="1">
      <alignment horizontal="left" vertical="center" wrapText="1"/>
    </xf>
    <xf numFmtId="166" fontId="7" fillId="2" borderId="0" xfId="2" applyNumberFormat="1" applyFont="1" applyFill="1" applyAlignment="1" applyProtection="1">
      <alignment horizontal="center" vertical="center" wrapText="1"/>
    </xf>
    <xf numFmtId="9" fontId="7" fillId="2" borderId="0" xfId="3" applyFont="1" applyFill="1" applyAlignment="1" applyProtection="1">
      <alignment horizontal="center" vertical="center" wrapText="1"/>
    </xf>
    <xf numFmtId="9" fontId="82" fillId="7" borderId="0" xfId="3" applyFont="1" applyFill="1" applyAlignment="1" applyProtection="1">
      <alignment vertical="center" wrapText="1"/>
    </xf>
    <xf numFmtId="0" fontId="58" fillId="35" borderId="30" xfId="0" applyFont="1" applyFill="1" applyBorder="1" applyAlignment="1">
      <alignment vertical="center"/>
    </xf>
    <xf numFmtId="0" fontId="114" fillId="20" borderId="30" xfId="0" applyFont="1" applyFill="1" applyBorder="1" applyAlignment="1">
      <alignment horizontal="right" wrapText="1"/>
    </xf>
    <xf numFmtId="0" fontId="118" fillId="2" borderId="30" xfId="0" applyFont="1" applyFill="1" applyBorder="1" applyAlignment="1">
      <alignment horizontal="right" wrapText="1"/>
    </xf>
    <xf numFmtId="0" fontId="114" fillId="2" borderId="30" xfId="0" applyFont="1" applyFill="1" applyBorder="1" applyAlignment="1">
      <alignment horizontal="right" wrapText="1"/>
    </xf>
    <xf numFmtId="0" fontId="8" fillId="0" borderId="30" xfId="0" applyFont="1" applyBorder="1" applyAlignment="1">
      <alignment horizontal="right" wrapText="1"/>
    </xf>
    <xf numFmtId="0" fontId="115" fillId="2" borderId="30" xfId="0" applyFont="1" applyFill="1" applyBorder="1" applyAlignment="1">
      <alignment horizontal="left" wrapText="1" indent="1"/>
    </xf>
    <xf numFmtId="166" fontId="128" fillId="20" borderId="30" xfId="2" applyNumberFormat="1" applyFont="1" applyFill="1" applyBorder="1" applyAlignment="1" applyProtection="1">
      <alignment horizontal="right" vertical="center" wrapText="1"/>
    </xf>
    <xf numFmtId="166" fontId="118" fillId="2" borderId="30" xfId="2" applyNumberFormat="1" applyFont="1" applyFill="1" applyBorder="1" applyAlignment="1" applyProtection="1">
      <alignment horizontal="right" vertical="center" wrapText="1"/>
    </xf>
    <xf numFmtId="166" fontId="115" fillId="2" borderId="30" xfId="2" applyNumberFormat="1" applyFont="1" applyFill="1" applyBorder="1" applyAlignment="1" applyProtection="1">
      <alignment horizontal="right" vertical="center" wrapText="1"/>
    </xf>
    <xf numFmtId="0" fontId="114" fillId="20" borderId="30" xfId="0" applyFont="1" applyFill="1" applyBorder="1" applyAlignment="1">
      <alignment horizontal="left" vertical="center" wrapText="1"/>
    </xf>
    <xf numFmtId="0" fontId="120" fillId="2" borderId="30" xfId="0" applyFont="1" applyFill="1" applyBorder="1" applyAlignment="1">
      <alignment vertical="center" wrapText="1"/>
    </xf>
    <xf numFmtId="166" fontId="158" fillId="20" borderId="30" xfId="2" applyNumberFormat="1" applyFont="1" applyFill="1" applyBorder="1" applyAlignment="1" applyProtection="1">
      <alignment horizontal="right" vertical="center" wrapText="1"/>
    </xf>
    <xf numFmtId="166" fontId="119" fillId="2" borderId="30" xfId="2" applyNumberFormat="1" applyFont="1" applyFill="1" applyBorder="1" applyAlignment="1" applyProtection="1">
      <alignment horizontal="right" vertical="center" wrapText="1"/>
    </xf>
    <xf numFmtId="166" fontId="120" fillId="2" borderId="30" xfId="2" applyNumberFormat="1" applyFont="1" applyFill="1" applyBorder="1" applyAlignment="1" applyProtection="1">
      <alignment horizontal="right" vertical="center" wrapText="1"/>
    </xf>
    <xf numFmtId="9" fontId="158" fillId="38" borderId="30" xfId="3" applyFont="1" applyFill="1" applyBorder="1" applyAlignment="1" applyProtection="1">
      <alignment vertical="center" wrapText="1"/>
    </xf>
    <xf numFmtId="0" fontId="115" fillId="2" borderId="30" xfId="0" applyFont="1" applyFill="1" applyBorder="1" applyAlignment="1">
      <alignment horizontal="left" vertical="center" wrapText="1"/>
    </xf>
    <xf numFmtId="0" fontId="165" fillId="2" borderId="0" xfId="0" applyFont="1" applyFill="1"/>
    <xf numFmtId="0" fontId="115" fillId="2" borderId="0" xfId="0" applyFont="1" applyFill="1" applyAlignment="1">
      <alignment horizontal="left" vertical="center" wrapText="1"/>
    </xf>
    <xf numFmtId="166" fontId="86" fillId="2" borderId="0" xfId="2" applyNumberFormat="1" applyFont="1" applyFill="1" applyAlignment="1" applyProtection="1">
      <alignment horizontal="right" vertical="center" wrapText="1"/>
    </xf>
    <xf numFmtId="10" fontId="86" fillId="2" borderId="0" xfId="3" applyNumberFormat="1" applyFont="1" applyFill="1" applyAlignment="1" applyProtection="1">
      <alignment horizontal="right" vertical="center" wrapText="1"/>
    </xf>
    <xf numFmtId="166" fontId="115" fillId="2" borderId="0" xfId="2" applyNumberFormat="1" applyFont="1" applyFill="1" applyAlignment="1" applyProtection="1">
      <alignment horizontal="right" vertical="center" wrapText="1"/>
    </xf>
    <xf numFmtId="0" fontId="58" fillId="35" borderId="64" xfId="0" applyFont="1" applyFill="1" applyBorder="1" applyAlignment="1">
      <alignment vertical="center"/>
    </xf>
    <xf numFmtId="0" fontId="120" fillId="21" borderId="64" xfId="0" applyFont="1" applyFill="1" applyBorder="1" applyAlignment="1">
      <alignment horizontal="left" vertical="center" wrapText="1"/>
    </xf>
    <xf numFmtId="0" fontId="8" fillId="21" borderId="64" xfId="0" applyFont="1" applyFill="1" applyBorder="1" applyAlignment="1">
      <alignment horizontal="center" vertical="center" wrapText="1"/>
    </xf>
    <xf numFmtId="0" fontId="115" fillId="0" borderId="64" xfId="0" applyFont="1" applyBorder="1" applyAlignment="1">
      <alignment vertical="center"/>
    </xf>
    <xf numFmtId="166" fontId="128" fillId="20" borderId="64" xfId="2" applyNumberFormat="1" applyFont="1" applyFill="1" applyBorder="1" applyAlignment="1" applyProtection="1">
      <alignment horizontal="right" vertical="center" wrapText="1"/>
    </xf>
    <xf numFmtId="9" fontId="128" fillId="20" borderId="64" xfId="3" applyFont="1" applyFill="1" applyBorder="1" applyAlignment="1" applyProtection="1">
      <alignment horizontal="right" vertical="center" wrapText="1"/>
    </xf>
    <xf numFmtId="0" fontId="128" fillId="20" borderId="64" xfId="2" applyNumberFormat="1" applyFont="1" applyFill="1" applyBorder="1" applyAlignment="1" applyProtection="1">
      <alignment horizontal="right" vertical="center" wrapText="1"/>
    </xf>
    <xf numFmtId="10" fontId="115" fillId="2" borderId="0" xfId="3" applyNumberFormat="1" applyFont="1" applyFill="1" applyAlignment="1" applyProtection="1">
      <alignment horizontal="right" vertical="center" wrapText="1"/>
    </xf>
    <xf numFmtId="0" fontId="115" fillId="0" borderId="64" xfId="0" applyFont="1" applyBorder="1" applyAlignment="1">
      <alignment horizontal="left" vertical="center"/>
    </xf>
    <xf numFmtId="0" fontId="115" fillId="2" borderId="64" xfId="0" applyFont="1" applyFill="1" applyBorder="1" applyAlignment="1">
      <alignment horizontal="left" vertical="center" wrapText="1"/>
    </xf>
    <xf numFmtId="0" fontId="120" fillId="2" borderId="64" xfId="0" applyFont="1" applyFill="1" applyBorder="1" applyAlignment="1">
      <alignment horizontal="right" vertical="center" wrapText="1"/>
    </xf>
    <xf numFmtId="166" fontId="119" fillId="0" borderId="64" xfId="0" applyNumberFormat="1" applyFont="1" applyBorder="1" applyAlignment="1">
      <alignment horizontal="right" vertical="center" wrapText="1"/>
    </xf>
    <xf numFmtId="9" fontId="119" fillId="0" borderId="64" xfId="3" applyFont="1" applyBorder="1" applyAlignment="1" applyProtection="1">
      <alignment horizontal="right" vertical="center" wrapText="1"/>
    </xf>
    <xf numFmtId="9" fontId="86" fillId="2" borderId="0" xfId="3" applyFont="1" applyFill="1" applyAlignment="1" applyProtection="1">
      <alignment vertical="center" wrapText="1"/>
    </xf>
    <xf numFmtId="0" fontId="120" fillId="21" borderId="30" xfId="0" applyFont="1" applyFill="1" applyBorder="1" applyAlignment="1">
      <alignment horizontal="left" vertical="center" wrapText="1"/>
    </xf>
    <xf numFmtId="0" fontId="8" fillId="21" borderId="30" xfId="0" applyFont="1" applyFill="1" applyBorder="1" applyAlignment="1">
      <alignment horizontal="center" vertical="center" wrapText="1"/>
    </xf>
    <xf numFmtId="9" fontId="86" fillId="20" borderId="30" xfId="3" applyFont="1" applyFill="1" applyBorder="1" applyAlignment="1" applyProtection="1">
      <alignment horizontal="right" vertical="center" wrapText="1"/>
    </xf>
    <xf numFmtId="1" fontId="118" fillId="2" borderId="30" xfId="2" applyNumberFormat="1" applyFont="1" applyFill="1" applyBorder="1" applyAlignment="1" applyProtection="1">
      <alignment horizontal="right" vertical="center" wrapText="1"/>
    </xf>
    <xf numFmtId="1" fontId="115" fillId="2" borderId="30" xfId="2" applyNumberFormat="1" applyFont="1" applyFill="1" applyBorder="1" applyAlignment="1" applyProtection="1">
      <alignment horizontal="right" vertical="center" wrapText="1"/>
    </xf>
    <xf numFmtId="9" fontId="115" fillId="2" borderId="0" xfId="3" applyFont="1" applyFill="1" applyAlignment="1" applyProtection="1">
      <alignment horizontal="right" vertical="center" wrapText="1"/>
    </xf>
    <xf numFmtId="164" fontId="115" fillId="2" borderId="0" xfId="3" applyNumberFormat="1" applyFont="1" applyFill="1" applyAlignment="1" applyProtection="1">
      <alignment horizontal="right" vertical="center" wrapText="1"/>
    </xf>
    <xf numFmtId="0" fontId="115" fillId="2" borderId="31" xfId="0" applyFont="1" applyFill="1" applyBorder="1" applyAlignment="1">
      <alignment horizontal="left" vertical="center" wrapText="1"/>
    </xf>
    <xf numFmtId="166" fontId="86" fillId="20" borderId="31" xfId="2" applyNumberFormat="1" applyFont="1" applyFill="1" applyBorder="1" applyAlignment="1" applyProtection="1">
      <alignment horizontal="right" vertical="center" wrapText="1"/>
    </xf>
    <xf numFmtId="166" fontId="118" fillId="2" borderId="31" xfId="2" applyNumberFormat="1" applyFont="1" applyFill="1" applyBorder="1" applyAlignment="1" applyProtection="1">
      <alignment horizontal="right" vertical="center" wrapText="1"/>
    </xf>
    <xf numFmtId="1" fontId="118" fillId="2" borderId="31" xfId="2" applyNumberFormat="1" applyFont="1" applyFill="1" applyBorder="1" applyAlignment="1" applyProtection="1">
      <alignment horizontal="right" vertical="center" wrapText="1"/>
    </xf>
    <xf numFmtId="166" fontId="115" fillId="2" borderId="31" xfId="2" applyNumberFormat="1" applyFont="1" applyFill="1" applyBorder="1" applyAlignment="1" applyProtection="1">
      <alignment horizontal="right" vertical="center" wrapText="1"/>
    </xf>
    <xf numFmtId="1" fontId="115" fillId="2" borderId="31" xfId="2" applyNumberFormat="1" applyFont="1" applyFill="1" applyBorder="1" applyAlignment="1" applyProtection="1">
      <alignment horizontal="right" vertical="center" wrapText="1"/>
    </xf>
    <xf numFmtId="0" fontId="120" fillId="0" borderId="30" xfId="0" applyFont="1" applyBorder="1" applyAlignment="1">
      <alignment horizontal="right" vertical="center"/>
    </xf>
    <xf numFmtId="9" fontId="87" fillId="20" borderId="30" xfId="3" applyFont="1" applyFill="1" applyBorder="1" applyAlignment="1" applyProtection="1">
      <alignment horizontal="right" vertical="center" wrapText="1"/>
    </xf>
    <xf numFmtId="1" fontId="119" fillId="2" borderId="30" xfId="2" applyNumberFormat="1" applyFont="1" applyFill="1" applyBorder="1" applyAlignment="1" applyProtection="1">
      <alignment horizontal="right" vertical="center" wrapText="1"/>
    </xf>
    <xf numFmtId="1" fontId="120" fillId="0" borderId="30" xfId="2" applyNumberFormat="1" applyFont="1" applyBorder="1" applyAlignment="1" applyProtection="1">
      <alignment horizontal="right" vertical="center" wrapText="1"/>
    </xf>
    <xf numFmtId="9" fontId="86" fillId="20" borderId="30" xfId="2" applyNumberFormat="1" applyFont="1" applyFill="1" applyBorder="1" applyAlignment="1" applyProtection="1">
      <alignment horizontal="right" vertical="center" wrapText="1"/>
    </xf>
    <xf numFmtId="0" fontId="118" fillId="0" borderId="30" xfId="0" applyFont="1" applyBorder="1" applyAlignment="1">
      <alignment horizontal="right" vertical="center" wrapText="1"/>
    </xf>
    <xf numFmtId="1" fontId="118" fillId="0" borderId="30" xfId="0" applyNumberFormat="1" applyFont="1" applyBorder="1" applyAlignment="1">
      <alignment horizontal="right" vertical="center" wrapText="1"/>
    </xf>
    <xf numFmtId="0" fontId="114" fillId="2" borderId="30" xfId="0" applyFont="1" applyFill="1" applyBorder="1" applyAlignment="1">
      <alignment horizontal="right" vertical="center" wrapText="1"/>
    </xf>
    <xf numFmtId="1" fontId="114" fillId="2" borderId="30" xfId="0" applyNumberFormat="1" applyFont="1" applyFill="1" applyBorder="1" applyAlignment="1">
      <alignment horizontal="right" vertical="center" wrapText="1"/>
    </xf>
    <xf numFmtId="1" fontId="118" fillId="0" borderId="30" xfId="2" applyNumberFormat="1" applyFont="1" applyFill="1" applyBorder="1" applyAlignment="1" applyProtection="1">
      <alignment horizontal="right" vertical="center" wrapText="1"/>
    </xf>
    <xf numFmtId="0" fontId="115" fillId="2" borderId="30" xfId="2" applyNumberFormat="1" applyFont="1" applyFill="1" applyBorder="1" applyAlignment="1" applyProtection="1">
      <alignment horizontal="right" vertical="center" wrapText="1"/>
    </xf>
    <xf numFmtId="9" fontId="87" fillId="20" borderId="30" xfId="2" applyNumberFormat="1" applyFont="1" applyFill="1" applyBorder="1" applyAlignment="1" applyProtection="1">
      <alignment horizontal="right" vertical="center" wrapText="1"/>
    </xf>
    <xf numFmtId="1" fontId="119" fillId="0" borderId="30" xfId="2" applyNumberFormat="1" applyFont="1" applyFill="1" applyBorder="1" applyAlignment="1" applyProtection="1">
      <alignment horizontal="right" vertical="center" wrapText="1"/>
    </xf>
    <xf numFmtId="164" fontId="86" fillId="20" borderId="30" xfId="2" applyNumberFormat="1" applyFont="1" applyFill="1" applyBorder="1" applyAlignment="1" applyProtection="1">
      <alignment horizontal="right" vertical="center" wrapText="1"/>
    </xf>
    <xf numFmtId="0" fontId="115" fillId="2" borderId="30" xfId="0" applyFont="1" applyFill="1" applyBorder="1" applyAlignment="1">
      <alignment horizontal="right" vertical="center" wrapText="1"/>
    </xf>
    <xf numFmtId="1" fontId="115" fillId="2" borderId="30" xfId="0" applyNumberFormat="1" applyFont="1" applyFill="1" applyBorder="1" applyAlignment="1">
      <alignment horizontal="right" vertical="center" wrapText="1"/>
    </xf>
    <xf numFmtId="1" fontId="115" fillId="0" borderId="30" xfId="0" applyNumberFormat="1" applyFont="1" applyBorder="1" applyAlignment="1">
      <alignment horizontal="right" vertical="center" wrapText="1"/>
    </xf>
    <xf numFmtId="0" fontId="86" fillId="20" borderId="30" xfId="2" applyNumberFormat="1" applyFont="1" applyFill="1" applyBorder="1" applyAlignment="1" applyProtection="1">
      <alignment horizontal="right" vertical="center" wrapText="1"/>
    </xf>
    <xf numFmtId="0" fontId="120" fillId="2" borderId="30" xfId="0" applyFont="1" applyFill="1" applyBorder="1" applyAlignment="1">
      <alignment horizontal="right" vertical="center" wrapText="1"/>
    </xf>
    <xf numFmtId="0" fontId="119" fillId="0" borderId="30" xfId="0" applyFont="1" applyBorder="1" applyAlignment="1">
      <alignment horizontal="right" vertical="center" wrapText="1"/>
    </xf>
    <xf numFmtId="9" fontId="119" fillId="0" borderId="30" xfId="3" applyFont="1" applyBorder="1" applyAlignment="1" applyProtection="1">
      <alignment horizontal="right" vertical="center" wrapText="1"/>
    </xf>
    <xf numFmtId="1" fontId="119" fillId="0" borderId="30" xfId="0" applyNumberFormat="1" applyFont="1" applyBorder="1" applyAlignment="1">
      <alignment horizontal="right" vertical="center" wrapText="1"/>
    </xf>
    <xf numFmtId="0" fontId="120" fillId="0" borderId="30" xfId="0" applyFont="1" applyBorder="1" applyAlignment="1">
      <alignment horizontal="right" vertical="center" wrapText="1"/>
    </xf>
    <xf numFmtId="1" fontId="120" fillId="0" borderId="30" xfId="0" applyNumberFormat="1" applyFont="1" applyBorder="1" applyAlignment="1">
      <alignment horizontal="right" vertical="center" wrapText="1"/>
    </xf>
    <xf numFmtId="0" fontId="10" fillId="2" borderId="0" xfId="0" applyFont="1" applyFill="1" applyAlignment="1">
      <alignment vertical="center"/>
    </xf>
    <xf numFmtId="0" fontId="64" fillId="2" borderId="0" xfId="0" applyFont="1" applyFill="1" applyAlignment="1">
      <alignment vertical="center" wrapText="1"/>
    </xf>
    <xf numFmtId="166" fontId="10" fillId="2" borderId="0" xfId="2" applyNumberFormat="1" applyFont="1" applyFill="1" applyAlignment="1" applyProtection="1">
      <alignment horizontal="center" vertical="center" wrapText="1"/>
    </xf>
    <xf numFmtId="0" fontId="7" fillId="21" borderId="30" xfId="0" applyFont="1" applyFill="1" applyBorder="1" applyAlignment="1">
      <alignment horizontal="center" vertical="center" wrapText="1"/>
    </xf>
    <xf numFmtId="166" fontId="115" fillId="2" borderId="30" xfId="2" applyNumberFormat="1" applyFont="1" applyFill="1" applyBorder="1" applyAlignment="1" applyProtection="1">
      <alignment horizontal="right" vertical="top" wrapText="1"/>
    </xf>
    <xf numFmtId="9" fontId="118" fillId="0" borderId="30" xfId="2" applyNumberFormat="1" applyFont="1" applyFill="1" applyBorder="1" applyAlignment="1" applyProtection="1">
      <alignment horizontal="right" vertical="center" wrapText="1"/>
    </xf>
    <xf numFmtId="9" fontId="115" fillId="2" borderId="30" xfId="2" applyNumberFormat="1" applyFont="1" applyFill="1" applyBorder="1" applyAlignment="1" applyProtection="1">
      <alignment horizontal="right" vertical="center" wrapText="1"/>
    </xf>
    <xf numFmtId="9" fontId="119" fillId="0" borderId="30" xfId="2" applyNumberFormat="1" applyFont="1" applyFill="1" applyBorder="1" applyAlignment="1" applyProtection="1">
      <alignment horizontal="right" vertical="center" wrapText="1"/>
    </xf>
    <xf numFmtId="164" fontId="119" fillId="0" borderId="30" xfId="2" applyNumberFormat="1" applyFont="1" applyFill="1" applyBorder="1" applyAlignment="1" applyProtection="1">
      <alignment horizontal="right" vertical="center" wrapText="1"/>
    </xf>
    <xf numFmtId="9" fontId="120" fillId="2" borderId="30" xfId="2" applyNumberFormat="1" applyFont="1" applyFill="1" applyBorder="1" applyAlignment="1" applyProtection="1">
      <alignment horizontal="right" vertical="center" wrapText="1"/>
    </xf>
    <xf numFmtId="164" fontId="120" fillId="2" borderId="30" xfId="2" applyNumberFormat="1" applyFont="1" applyFill="1" applyBorder="1" applyAlignment="1" applyProtection="1">
      <alignment horizontal="right" vertical="center" wrapText="1"/>
    </xf>
    <xf numFmtId="0" fontId="12" fillId="5" borderId="0" xfId="0" applyFont="1" applyFill="1"/>
    <xf numFmtId="9" fontId="6" fillId="2" borderId="0" xfId="0" applyNumberFormat="1" applyFont="1" applyFill="1" applyAlignment="1">
      <alignment wrapText="1"/>
    </xf>
    <xf numFmtId="0" fontId="58" fillId="42" borderId="30" xfId="0" applyFont="1" applyFill="1" applyBorder="1" applyAlignment="1">
      <alignment horizontal="left" vertical="center" wrapText="1"/>
    </xf>
    <xf numFmtId="0" fontId="97" fillId="35" borderId="30" xfId="0" applyFont="1" applyFill="1" applyBorder="1" applyAlignment="1">
      <alignment horizontal="center" vertical="center" wrapText="1"/>
    </xf>
    <xf numFmtId="166" fontId="86" fillId="20" borderId="30" xfId="0" applyNumberFormat="1" applyFont="1" applyFill="1" applyBorder="1" applyAlignment="1">
      <alignment horizontal="right" wrapText="1"/>
    </xf>
    <xf numFmtId="166" fontId="86" fillId="20" borderId="30" xfId="2" applyNumberFormat="1" applyFont="1" applyFill="1" applyBorder="1" applyAlignment="1" applyProtection="1">
      <alignment horizontal="right" vertical="center"/>
    </xf>
    <xf numFmtId="9" fontId="87" fillId="20" borderId="30" xfId="3" applyFont="1" applyFill="1" applyBorder="1" applyAlignment="1" applyProtection="1">
      <alignment horizontal="right" wrapText="1"/>
    </xf>
    <xf numFmtId="166" fontId="115" fillId="2" borderId="30" xfId="0" applyNumberFormat="1" applyFont="1" applyFill="1" applyBorder="1" applyAlignment="1">
      <alignment horizontal="right" wrapText="1"/>
    </xf>
    <xf numFmtId="9" fontId="120" fillId="2" borderId="30" xfId="3" applyFont="1" applyFill="1" applyBorder="1" applyAlignment="1" applyProtection="1">
      <alignment horizontal="right" wrapText="1"/>
    </xf>
    <xf numFmtId="9" fontId="6" fillId="2" borderId="0" xfId="3" applyFont="1" applyFill="1" applyAlignment="1" applyProtection="1">
      <alignment wrapText="1"/>
    </xf>
    <xf numFmtId="0" fontId="114" fillId="2" borderId="30" xfId="0" applyFont="1" applyFill="1" applyBorder="1" applyAlignment="1">
      <alignment wrapText="1"/>
    </xf>
    <xf numFmtId="0" fontId="25" fillId="26" borderId="30" xfId="0" applyFont="1" applyFill="1" applyBorder="1" applyAlignment="1">
      <alignment horizontal="center" vertical="center" wrapText="1"/>
    </xf>
    <xf numFmtId="0" fontId="97" fillId="26" borderId="30" xfId="0" applyFont="1" applyFill="1" applyBorder="1" applyAlignment="1">
      <alignment horizontal="center" vertical="center" wrapText="1"/>
    </xf>
    <xf numFmtId="166" fontId="118" fillId="0" borderId="30" xfId="0" applyNumberFormat="1" applyFont="1" applyBorder="1" applyAlignment="1">
      <alignment horizontal="right" wrapText="1"/>
    </xf>
    <xf numFmtId="166" fontId="118" fillId="0" borderId="30" xfId="2" applyNumberFormat="1" applyFont="1" applyFill="1" applyBorder="1" applyAlignment="1" applyProtection="1">
      <alignment horizontal="right" vertical="center"/>
    </xf>
    <xf numFmtId="9" fontId="119" fillId="0" borderId="30" xfId="3" applyFont="1" applyFill="1" applyBorder="1" applyAlignment="1" applyProtection="1">
      <alignment horizontal="right" wrapText="1"/>
    </xf>
    <xf numFmtId="9" fontId="119" fillId="0" borderId="30" xfId="3" applyFont="1" applyFill="1" applyBorder="1" applyAlignment="1" applyProtection="1">
      <alignment horizontal="right" vertical="center" wrapText="1"/>
    </xf>
    <xf numFmtId="9" fontId="120" fillId="2" borderId="30" xfId="3" applyFont="1" applyFill="1" applyBorder="1" applyAlignment="1" applyProtection="1">
      <alignment horizontal="right" vertical="center" wrapText="1"/>
    </xf>
    <xf numFmtId="166" fontId="86" fillId="20" borderId="30" xfId="2" applyNumberFormat="1" applyFont="1" applyFill="1" applyBorder="1" applyAlignment="1" applyProtection="1">
      <alignment horizontal="right" wrapText="1"/>
    </xf>
    <xf numFmtId="166" fontId="118" fillId="0" borderId="30" xfId="2" applyNumberFormat="1" applyFont="1" applyFill="1" applyBorder="1" applyAlignment="1" applyProtection="1">
      <alignment horizontal="right" wrapText="1"/>
    </xf>
    <xf numFmtId="166" fontId="115" fillId="2" borderId="30" xfId="2" applyNumberFormat="1" applyFont="1" applyFill="1" applyBorder="1" applyAlignment="1" applyProtection="1">
      <alignment horizontal="right" wrapText="1"/>
    </xf>
    <xf numFmtId="166" fontId="6" fillId="19" borderId="13" xfId="2" applyNumberFormat="1" applyFont="1" applyFill="1" applyBorder="1" applyAlignment="1" applyProtection="1">
      <alignment horizontal="right" vertical="center" wrapText="1"/>
    </xf>
    <xf numFmtId="49" fontId="6" fillId="19" borderId="13" xfId="2" applyNumberFormat="1" applyFont="1" applyFill="1" applyBorder="1" applyAlignment="1" applyProtection="1">
      <alignment horizontal="right" vertical="center" wrapText="1"/>
    </xf>
    <xf numFmtId="49" fontId="6" fillId="2" borderId="0" xfId="2" applyNumberFormat="1" applyFont="1" applyFill="1" applyAlignment="1" applyProtection="1">
      <alignment horizontal="right" vertical="center" wrapText="1"/>
    </xf>
    <xf numFmtId="166" fontId="6" fillId="2" borderId="0" xfId="2" applyNumberFormat="1" applyFont="1" applyFill="1" applyAlignment="1" applyProtection="1">
      <alignment horizontal="right" vertical="center" wrapText="1"/>
    </xf>
    <xf numFmtId="3" fontId="151" fillId="20" borderId="30" xfId="0" applyNumberFormat="1" applyFont="1" applyFill="1" applyBorder="1" applyAlignment="1">
      <alignment horizontal="right" vertical="center" wrapText="1"/>
    </xf>
    <xf numFmtId="0" fontId="151" fillId="20" borderId="30" xfId="0" applyFont="1" applyFill="1" applyBorder="1" applyAlignment="1">
      <alignment horizontal="right" vertical="center" wrapText="1"/>
    </xf>
    <xf numFmtId="9" fontId="151" fillId="20" borderId="30" xfId="0" applyNumberFormat="1" applyFont="1" applyFill="1" applyBorder="1" applyAlignment="1">
      <alignment horizontal="right" vertical="center" wrapText="1"/>
    </xf>
    <xf numFmtId="9" fontId="115" fillId="2" borderId="30" xfId="3" applyFont="1" applyFill="1" applyBorder="1" applyAlignment="1" applyProtection="1">
      <alignment horizontal="right" vertical="center" wrapText="1"/>
    </xf>
    <xf numFmtId="166" fontId="151" fillId="20" borderId="30" xfId="2" applyNumberFormat="1" applyFont="1" applyFill="1" applyBorder="1" applyAlignment="1" applyProtection="1">
      <alignment horizontal="right" vertical="center" wrapText="1"/>
    </xf>
    <xf numFmtId="3" fontId="150" fillId="20" borderId="30" xfId="0" applyNumberFormat="1" applyFont="1" applyFill="1" applyBorder="1" applyAlignment="1">
      <alignment horizontal="right" vertical="center" wrapText="1"/>
    </xf>
    <xf numFmtId="9" fontId="150" fillId="20" borderId="30" xfId="0" applyNumberFormat="1" applyFont="1" applyFill="1" applyBorder="1" applyAlignment="1">
      <alignment horizontal="right" vertical="center" wrapText="1"/>
    </xf>
    <xf numFmtId="164" fontId="8" fillId="2" borderId="0" xfId="3" applyNumberFormat="1" applyFont="1" applyFill="1" applyAlignment="1" applyProtection="1">
      <alignment wrapText="1"/>
    </xf>
    <xf numFmtId="0" fontId="11" fillId="2" borderId="0" xfId="0" applyFont="1" applyFill="1"/>
    <xf numFmtId="0" fontId="114" fillId="2" borderId="34" xfId="0" applyFont="1" applyFill="1" applyBorder="1" applyAlignment="1">
      <alignment horizontal="left" vertical="center" wrapText="1"/>
    </xf>
    <xf numFmtId="171" fontId="151" fillId="20" borderId="30" xfId="0" applyNumberFormat="1" applyFont="1" applyFill="1" applyBorder="1" applyAlignment="1">
      <alignment horizontal="right" vertical="center" wrapText="1"/>
    </xf>
    <xf numFmtId="168" fontId="118" fillId="0" borderId="30" xfId="2" applyNumberFormat="1" applyFont="1" applyFill="1" applyBorder="1" applyAlignment="1" applyProtection="1">
      <alignment horizontal="right" vertical="center" wrapText="1"/>
    </xf>
    <xf numFmtId="166" fontId="118" fillId="0" borderId="30" xfId="0" applyNumberFormat="1" applyFont="1" applyBorder="1" applyAlignment="1">
      <alignment horizontal="right" vertical="center" wrapText="1"/>
    </xf>
    <xf numFmtId="166" fontId="115" fillId="2" borderId="30" xfId="0" applyNumberFormat="1" applyFont="1" applyFill="1" applyBorder="1" applyAlignment="1">
      <alignment horizontal="right" vertical="center" wrapText="1"/>
    </xf>
    <xf numFmtId="166" fontId="86" fillId="0" borderId="0" xfId="0" applyNumberFormat="1" applyFont="1" applyAlignment="1">
      <alignment horizontal="right" vertical="center" wrapText="1"/>
    </xf>
    <xf numFmtId="166" fontId="115" fillId="2" borderId="0" xfId="0" applyNumberFormat="1" applyFont="1" applyFill="1" applyAlignment="1">
      <alignment horizontal="right" vertical="center" wrapText="1"/>
    </xf>
    <xf numFmtId="166" fontId="118" fillId="2" borderId="30" xfId="0" applyNumberFormat="1" applyFont="1" applyFill="1" applyBorder="1" applyAlignment="1">
      <alignment horizontal="right" vertical="center" wrapText="1"/>
    </xf>
    <xf numFmtId="9" fontId="118" fillId="2" borderId="30" xfId="0" applyNumberFormat="1" applyFont="1" applyFill="1" applyBorder="1" applyAlignment="1">
      <alignment horizontal="right" vertical="center" wrapText="1"/>
    </xf>
    <xf numFmtId="0" fontId="8" fillId="2" borderId="0" xfId="0" applyFont="1" applyFill="1" applyAlignment="1">
      <alignment horizontal="right" wrapText="1"/>
    </xf>
    <xf numFmtId="166" fontId="24" fillId="2" borderId="0" xfId="0" applyNumberFormat="1" applyFont="1" applyFill="1" applyAlignment="1">
      <alignment horizontal="right" vertical="center" wrapText="1"/>
    </xf>
    <xf numFmtId="166" fontId="115" fillId="8" borderId="30" xfId="0" applyNumberFormat="1" applyFont="1" applyFill="1" applyBorder="1" applyAlignment="1">
      <alignment horizontal="right" vertical="center" wrapText="1"/>
    </xf>
    <xf numFmtId="9" fontId="115" fillId="8" borderId="30" xfId="3" applyFont="1" applyFill="1" applyBorder="1" applyAlignment="1" applyProtection="1">
      <alignment horizontal="right" vertical="center" wrapText="1"/>
    </xf>
    <xf numFmtId="166" fontId="118" fillId="8" borderId="30" xfId="0" applyNumberFormat="1" applyFont="1" applyFill="1" applyBorder="1" applyAlignment="1">
      <alignment horizontal="right" vertical="center" wrapText="1"/>
    </xf>
    <xf numFmtId="9" fontId="118" fillId="8" borderId="30" xfId="0" applyNumberFormat="1" applyFont="1" applyFill="1" applyBorder="1" applyAlignment="1">
      <alignment horizontal="right" vertical="center" wrapText="1"/>
    </xf>
    <xf numFmtId="1" fontId="24" fillId="2" borderId="0" xfId="0" applyNumberFormat="1" applyFont="1" applyFill="1" applyAlignment="1">
      <alignment horizontal="right" vertical="center" wrapText="1"/>
    </xf>
    <xf numFmtId="9" fontId="114" fillId="2" borderId="34" xfId="3" applyFont="1" applyFill="1" applyBorder="1" applyAlignment="1" applyProtection="1">
      <alignment horizontal="right"/>
    </xf>
    <xf numFmtId="9" fontId="114" fillId="0" borderId="35" xfId="3" applyFont="1" applyBorder="1" applyProtection="1"/>
    <xf numFmtId="9" fontId="114" fillId="0" borderId="30" xfId="3" applyFont="1" applyBorder="1" applyProtection="1"/>
    <xf numFmtId="9" fontId="112" fillId="44" borderId="65" xfId="3" applyFont="1" applyFill="1" applyBorder="1" applyAlignment="1" applyProtection="1">
      <alignment vertical="center"/>
    </xf>
    <xf numFmtId="165" fontId="151" fillId="20" borderId="30" xfId="0" applyNumberFormat="1" applyFont="1" applyFill="1" applyBorder="1" applyAlignment="1">
      <alignment horizontal="right" vertical="center" wrapText="1"/>
    </xf>
    <xf numFmtId="173" fontId="114" fillId="2" borderId="34" xfId="3" applyNumberFormat="1" applyFont="1" applyFill="1" applyBorder="1" applyAlignment="1" applyProtection="1">
      <alignment horizontal="right"/>
    </xf>
    <xf numFmtId="9" fontId="112" fillId="44" borderId="66" xfId="3" applyFont="1" applyFill="1" applyBorder="1" applyAlignment="1" applyProtection="1">
      <alignment vertical="center"/>
    </xf>
    <xf numFmtId="0" fontId="151" fillId="41" borderId="30" xfId="0" applyFont="1" applyFill="1" applyBorder="1" applyAlignment="1">
      <alignment horizontal="right" vertical="center" wrapText="1"/>
    </xf>
    <xf numFmtId="9" fontId="114" fillId="41" borderId="34" xfId="3" applyFont="1" applyFill="1" applyBorder="1" applyAlignment="1" applyProtection="1">
      <alignment horizontal="right"/>
    </xf>
    <xf numFmtId="9" fontId="114" fillId="41" borderId="35" xfId="3" applyFont="1" applyFill="1" applyBorder="1" applyAlignment="1" applyProtection="1">
      <alignment horizontal="right"/>
    </xf>
    <xf numFmtId="9" fontId="114" fillId="41" borderId="30" xfId="3" applyFont="1" applyFill="1" applyBorder="1" applyAlignment="1" applyProtection="1">
      <alignment horizontal="right"/>
    </xf>
    <xf numFmtId="0" fontId="115" fillId="2" borderId="30" xfId="0" applyFont="1" applyFill="1" applyBorder="1" applyAlignment="1">
      <alignment horizontal="right" wrapText="1"/>
    </xf>
    <xf numFmtId="9" fontId="114" fillId="0" borderId="30" xfId="3" applyFont="1" applyBorder="1" applyAlignment="1" applyProtection="1">
      <alignment horizontal="right"/>
    </xf>
    <xf numFmtId="0" fontId="114" fillId="2" borderId="30" xfId="0" applyFont="1" applyFill="1" applyBorder="1" applyAlignment="1">
      <alignment horizontal="right"/>
    </xf>
    <xf numFmtId="49" fontId="114" fillId="2" borderId="30" xfId="0" applyNumberFormat="1" applyFont="1" applyFill="1" applyBorder="1" applyAlignment="1">
      <alignment horizontal="right"/>
    </xf>
    <xf numFmtId="49" fontId="118" fillId="2" borderId="30" xfId="0" applyNumberFormat="1" applyFont="1" applyFill="1" applyBorder="1" applyAlignment="1">
      <alignment horizontal="right"/>
    </xf>
    <xf numFmtId="49" fontId="118" fillId="0" borderId="30" xfId="3" applyNumberFormat="1" applyFont="1" applyBorder="1" applyAlignment="1" applyProtection="1">
      <alignment horizontal="right"/>
    </xf>
    <xf numFmtId="49" fontId="118" fillId="0" borderId="30" xfId="2" applyNumberFormat="1" applyFont="1" applyBorder="1" applyAlignment="1" applyProtection="1">
      <alignment horizontal="right" wrapText="1"/>
    </xf>
    <xf numFmtId="0" fontId="118" fillId="2" borderId="30" xfId="0" applyFont="1" applyFill="1" applyBorder="1" applyAlignment="1">
      <alignment horizontal="right"/>
    </xf>
    <xf numFmtId="9" fontId="118" fillId="0" borderId="30" xfId="3" applyFont="1" applyBorder="1" applyAlignment="1" applyProtection="1">
      <alignment horizontal="right"/>
    </xf>
    <xf numFmtId="168" fontId="118" fillId="0" borderId="30" xfId="2" applyNumberFormat="1" applyFont="1" applyBorder="1" applyAlignment="1" applyProtection="1">
      <alignment horizontal="right" vertical="center" wrapText="1"/>
    </xf>
    <xf numFmtId="0" fontId="114" fillId="2" borderId="30" xfId="0" applyFont="1" applyFill="1" applyBorder="1" applyAlignment="1">
      <alignment horizontal="left" indent="4"/>
    </xf>
    <xf numFmtId="0" fontId="16" fillId="35" borderId="30" xfId="0" applyFont="1" applyFill="1" applyBorder="1" applyAlignment="1">
      <alignment horizontal="center" vertical="center"/>
    </xf>
    <xf numFmtId="0" fontId="25" fillId="35" borderId="30" xfId="0" applyFont="1" applyFill="1" applyBorder="1" applyAlignment="1">
      <alignment horizontal="center" vertical="center"/>
    </xf>
    <xf numFmtId="0" fontId="20" fillId="35" borderId="30" xfId="0" applyFont="1" applyFill="1" applyBorder="1" applyAlignment="1">
      <alignment horizontal="center" vertical="center"/>
    </xf>
    <xf numFmtId="0" fontId="25" fillId="35" borderId="31" xfId="0" applyFont="1" applyFill="1" applyBorder="1" applyAlignment="1">
      <alignment horizontal="center" vertical="center"/>
    </xf>
    <xf numFmtId="0" fontId="13" fillId="2" borderId="0" xfId="0" applyFont="1" applyFill="1" applyAlignment="1">
      <alignment vertical="top" wrapText="1"/>
    </xf>
    <xf numFmtId="0" fontId="155" fillId="0" borderId="0" xfId="1" applyFont="1" applyProtection="1"/>
    <xf numFmtId="1" fontId="118" fillId="20" borderId="30" xfId="0" applyNumberFormat="1" applyFont="1" applyFill="1" applyBorder="1" applyAlignment="1">
      <alignment horizontal="center" wrapText="1"/>
    </xf>
    <xf numFmtId="1" fontId="118" fillId="0" borderId="30" xfId="0" applyNumberFormat="1" applyFont="1" applyBorder="1" applyAlignment="1">
      <alignment horizontal="center" wrapText="1"/>
    </xf>
    <xf numFmtId="9" fontId="118" fillId="20" borderId="30" xfId="0" applyNumberFormat="1" applyFont="1" applyFill="1" applyBorder="1" applyAlignment="1">
      <alignment horizontal="center" wrapText="1"/>
    </xf>
    <xf numFmtId="0" fontId="118" fillId="0" borderId="30" xfId="0" applyFont="1" applyBorder="1" applyAlignment="1">
      <alignment horizontal="left" wrapText="1"/>
    </xf>
    <xf numFmtId="10" fontId="118" fillId="20" borderId="30" xfId="0" applyNumberFormat="1" applyFont="1" applyFill="1" applyBorder="1" applyAlignment="1">
      <alignment horizontal="center" wrapText="1"/>
    </xf>
    <xf numFmtId="9" fontId="118" fillId="0" borderId="30" xfId="0" applyNumberFormat="1" applyFont="1" applyBorder="1" applyAlignment="1">
      <alignment horizontal="center" wrapText="1"/>
    </xf>
    <xf numFmtId="164" fontId="118" fillId="0" borderId="30" xfId="0" applyNumberFormat="1" applyFont="1" applyBorder="1" applyAlignment="1">
      <alignment horizontal="center" wrapText="1"/>
    </xf>
    <xf numFmtId="0" fontId="171" fillId="0" borderId="30" xfId="0" applyFont="1" applyBorder="1" applyAlignment="1">
      <alignment horizontal="left" vertical="center" wrapText="1"/>
    </xf>
    <xf numFmtId="1" fontId="118" fillId="0" borderId="30" xfId="3" applyNumberFormat="1" applyFont="1" applyBorder="1" applyAlignment="1" applyProtection="1">
      <alignment horizontal="center" wrapText="1"/>
    </xf>
    <xf numFmtId="0" fontId="183" fillId="0" borderId="30" xfId="0" applyFont="1" applyBorder="1" applyAlignment="1">
      <alignment horizontal="left" vertical="center" wrapText="1"/>
    </xf>
    <xf numFmtId="9" fontId="115" fillId="20" borderId="30" xfId="3" applyFont="1" applyFill="1" applyBorder="1" applyAlignment="1" applyProtection="1">
      <alignment horizontal="center" wrapText="1"/>
    </xf>
    <xf numFmtId="0" fontId="182" fillId="2" borderId="0" xfId="0" applyFont="1" applyFill="1"/>
    <xf numFmtId="0" fontId="102" fillId="4" borderId="0" xfId="0" applyFont="1" applyFill="1" applyAlignment="1">
      <alignment horizontal="left" vertical="top" wrapText="1" indent="1"/>
    </xf>
    <xf numFmtId="0" fontId="12" fillId="4" borderId="0" xfId="0" applyFont="1" applyFill="1" applyAlignment="1">
      <alignment horizontal="left" vertical="top" wrapText="1" indent="1"/>
    </xf>
    <xf numFmtId="0" fontId="7" fillId="35" borderId="0" xfId="0" applyFont="1" applyFill="1" applyAlignment="1">
      <alignment horizontal="left" vertical="top" wrapText="1"/>
    </xf>
    <xf numFmtId="0" fontId="50" fillId="35" borderId="0" xfId="0" applyFont="1" applyFill="1" applyAlignment="1">
      <alignment horizontal="lef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top" wrapText="1"/>
    </xf>
    <xf numFmtId="0" fontId="12" fillId="4" borderId="0" xfId="0" applyFont="1" applyFill="1" applyAlignment="1">
      <alignment horizontal="left" vertical="top" wrapText="1" indent="4"/>
    </xf>
    <xf numFmtId="0" fontId="148" fillId="2" borderId="0" xfId="0" applyFont="1" applyFill="1" applyAlignment="1">
      <alignment horizontal="left" vertical="top" wrapText="1"/>
    </xf>
    <xf numFmtId="0" fontId="63" fillId="32" borderId="57" xfId="0" applyFont="1" applyFill="1" applyBorder="1" applyAlignment="1">
      <alignment horizontal="center" vertical="center"/>
    </xf>
    <xf numFmtId="0" fontId="63" fillId="32" borderId="58" xfId="0" applyFont="1" applyFill="1" applyBorder="1" applyAlignment="1">
      <alignment horizontal="center" vertical="center"/>
    </xf>
    <xf numFmtId="0" fontId="63" fillId="32" borderId="59" xfId="0" applyFont="1" applyFill="1" applyBorder="1" applyAlignment="1">
      <alignment horizontal="center" vertical="center"/>
    </xf>
    <xf numFmtId="0" fontId="63" fillId="36" borderId="57" xfId="0" applyFont="1" applyFill="1" applyBorder="1" applyAlignment="1">
      <alignment horizontal="center" vertical="center"/>
    </xf>
    <xf numFmtId="0" fontId="63" fillId="36" borderId="58" xfId="0" applyFont="1" applyFill="1" applyBorder="1" applyAlignment="1">
      <alignment horizontal="center" vertical="center"/>
    </xf>
    <xf numFmtId="0" fontId="21" fillId="31" borderId="54" xfId="0" applyFont="1" applyFill="1" applyBorder="1" applyAlignment="1">
      <alignment horizontal="left" vertical="center" indent="1"/>
    </xf>
    <xf numFmtId="0" fontId="21" fillId="31" borderId="55" xfId="0" applyFont="1" applyFill="1" applyBorder="1" applyAlignment="1">
      <alignment horizontal="left" vertical="center" indent="1"/>
    </xf>
    <xf numFmtId="0" fontId="117" fillId="36" borderId="31" xfId="0" applyFont="1" applyFill="1" applyBorder="1" applyAlignment="1">
      <alignment horizontal="center" vertical="center" wrapText="1"/>
    </xf>
    <xf numFmtId="0" fontId="117" fillId="36" borderId="33" xfId="0" applyFont="1" applyFill="1" applyBorder="1" applyAlignment="1">
      <alignment horizontal="center" vertical="center" wrapText="1"/>
    </xf>
    <xf numFmtId="0" fontId="117" fillId="36" borderId="32" xfId="0" applyFont="1" applyFill="1" applyBorder="1" applyAlignment="1">
      <alignment horizontal="center" vertical="center" wrapText="1"/>
    </xf>
    <xf numFmtId="0" fontId="117" fillId="31" borderId="31" xfId="0" applyFont="1" applyFill="1" applyBorder="1" applyAlignment="1">
      <alignment horizontal="center" vertical="center" wrapText="1"/>
    </xf>
    <xf numFmtId="0" fontId="117" fillId="31" borderId="33" xfId="0" applyFont="1" applyFill="1" applyBorder="1" applyAlignment="1">
      <alignment horizontal="center" vertical="center" wrapText="1"/>
    </xf>
    <xf numFmtId="0" fontId="117" fillId="31" borderId="32" xfId="0" applyFont="1" applyFill="1" applyBorder="1" applyAlignment="1">
      <alignment horizontal="center" vertical="center" wrapText="1"/>
    </xf>
    <xf numFmtId="0" fontId="117" fillId="32" borderId="31" xfId="0" applyFont="1" applyFill="1" applyBorder="1" applyAlignment="1">
      <alignment horizontal="center" vertical="center"/>
    </xf>
    <xf numFmtId="0" fontId="117" fillId="32" borderId="33" xfId="0" applyFont="1" applyFill="1" applyBorder="1" applyAlignment="1">
      <alignment horizontal="center" vertical="center"/>
    </xf>
    <xf numFmtId="0" fontId="117" fillId="32" borderId="32" xfId="0" applyFont="1" applyFill="1" applyBorder="1" applyAlignment="1">
      <alignment horizontal="center" vertical="center"/>
    </xf>
    <xf numFmtId="0" fontId="117" fillId="36" borderId="31" xfId="0" applyFont="1" applyFill="1" applyBorder="1" applyAlignment="1">
      <alignment horizontal="center" vertical="center"/>
    </xf>
    <xf numFmtId="0" fontId="117" fillId="36" borderId="33" xfId="0" applyFont="1" applyFill="1" applyBorder="1" applyAlignment="1">
      <alignment horizontal="center" vertical="center"/>
    </xf>
    <xf numFmtId="0" fontId="117" fillId="36" borderId="32" xfId="0" applyFont="1" applyFill="1" applyBorder="1" applyAlignment="1">
      <alignment horizontal="center" vertical="center"/>
    </xf>
    <xf numFmtId="0" fontId="7" fillId="0" borderId="30" xfId="1" applyFont="1" applyFill="1" applyBorder="1" applyAlignment="1" applyProtection="1">
      <alignment horizontal="center" vertical="center" wrapText="1"/>
    </xf>
    <xf numFmtId="0" fontId="6" fillId="0" borderId="30" xfId="1" applyFont="1" applyFill="1" applyBorder="1" applyAlignment="1" applyProtection="1">
      <alignment horizontal="center"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17" fillId="12" borderId="31" xfId="0" applyFont="1" applyFill="1" applyBorder="1" applyAlignment="1">
      <alignment horizontal="left" vertical="center" wrapText="1"/>
    </xf>
    <xf numFmtId="0" fontId="117" fillId="12" borderId="32" xfId="0" applyFont="1" applyFill="1" applyBorder="1" applyAlignment="1">
      <alignment horizontal="left" vertical="center" wrapText="1"/>
    </xf>
    <xf numFmtId="0" fontId="66" fillId="14" borderId="35" xfId="0" applyFont="1" applyFill="1" applyBorder="1" applyAlignment="1">
      <alignment horizontal="left" vertical="center" wrapText="1"/>
    </xf>
    <xf numFmtId="0" fontId="66" fillId="14" borderId="30" xfId="0" applyFont="1" applyFill="1" applyBorder="1" applyAlignment="1">
      <alignment horizontal="left" vertical="center" wrapText="1"/>
    </xf>
    <xf numFmtId="0" fontId="12" fillId="2" borderId="30" xfId="0" applyFont="1" applyFill="1" applyBorder="1" applyAlignment="1">
      <alignment horizontal="right" vertical="center" wrapText="1"/>
    </xf>
    <xf numFmtId="0" fontId="12" fillId="0" borderId="30" xfId="0" applyFont="1" applyBorder="1" applyAlignment="1">
      <alignment horizontal="center" vertical="center"/>
    </xf>
    <xf numFmtId="0" fontId="117" fillId="12" borderId="30" xfId="0" applyFont="1" applyFill="1" applyBorder="1" applyAlignment="1">
      <alignment horizontal="left" vertical="center" wrapText="1"/>
    </xf>
    <xf numFmtId="0" fontId="120" fillId="12" borderId="30" xfId="0" applyFont="1" applyFill="1" applyBorder="1" applyAlignment="1">
      <alignment horizontal="left" vertical="center" wrapText="1"/>
    </xf>
    <xf numFmtId="0" fontId="120" fillId="12" borderId="31" xfId="0" applyFont="1" applyFill="1" applyBorder="1" applyAlignment="1">
      <alignment horizontal="left" vertical="center" wrapText="1"/>
    </xf>
    <xf numFmtId="0" fontId="66" fillId="14" borderId="34" xfId="0" applyFont="1" applyFill="1" applyBorder="1" applyAlignment="1">
      <alignment horizontal="left" vertical="center" wrapText="1"/>
    </xf>
    <xf numFmtId="0" fontId="66" fillId="14" borderId="36" xfId="0" applyFont="1" applyFill="1" applyBorder="1" applyAlignment="1">
      <alignment horizontal="left" vertical="center"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0" xfId="0" applyFont="1" applyBorder="1" applyAlignment="1">
      <alignment horizontal="center" vertical="center" wrapText="1"/>
    </xf>
    <xf numFmtId="0" fontId="65" fillId="0" borderId="30" xfId="0" applyFont="1" applyBorder="1" applyAlignment="1">
      <alignment horizontal="left" vertical="center" wrapText="1"/>
    </xf>
    <xf numFmtId="0" fontId="117" fillId="12" borderId="30" xfId="0" applyFont="1" applyFill="1" applyBorder="1" applyAlignment="1">
      <alignment horizontal="center" vertical="center" wrapText="1"/>
    </xf>
    <xf numFmtId="0" fontId="13" fillId="15" borderId="30" xfId="0" applyFont="1" applyFill="1" applyBorder="1" applyAlignment="1">
      <alignment horizontal="center" vertical="center"/>
    </xf>
    <xf numFmtId="0" fontId="60" fillId="2" borderId="0" xfId="0" applyFont="1" applyFill="1" applyAlignment="1">
      <alignment horizontal="left" vertical="center"/>
    </xf>
    <xf numFmtId="0" fontId="66" fillId="14" borderId="71" xfId="0" applyFont="1" applyFill="1" applyBorder="1" applyAlignment="1">
      <alignment horizontal="left" vertical="center" wrapText="1"/>
    </xf>
    <xf numFmtId="0" fontId="66" fillId="14" borderId="32" xfId="0" applyFont="1" applyFill="1" applyBorder="1" applyAlignment="1">
      <alignment horizontal="left" vertical="center" wrapText="1"/>
    </xf>
    <xf numFmtId="0" fontId="66" fillId="14" borderId="72" xfId="0" applyFont="1" applyFill="1" applyBorder="1" applyAlignment="1">
      <alignment horizontal="left" vertical="center" wrapText="1"/>
    </xf>
    <xf numFmtId="0" fontId="117" fillId="12" borderId="35" xfId="0" applyFont="1" applyFill="1" applyBorder="1" applyAlignment="1">
      <alignment horizontal="left" vertical="center" wrapText="1"/>
    </xf>
    <xf numFmtId="0" fontId="117" fillId="12" borderId="39" xfId="0" applyFont="1" applyFill="1" applyBorder="1" applyAlignment="1">
      <alignment horizontal="left" vertical="center" wrapText="1"/>
    </xf>
    <xf numFmtId="0" fontId="115" fillId="0" borderId="60" xfId="0" applyFont="1" applyBorder="1" applyAlignment="1">
      <alignment horizontal="left" vertical="center" wrapText="1"/>
    </xf>
    <xf numFmtId="0" fontId="115" fillId="0" borderId="60" xfId="0" applyFont="1" applyBorder="1" applyAlignment="1">
      <alignment vertical="center"/>
    </xf>
    <xf numFmtId="0" fontId="13" fillId="0" borderId="30" xfId="0" applyFont="1" applyBorder="1" applyAlignment="1">
      <alignment horizontal="left" vertical="center" wrapText="1"/>
    </xf>
    <xf numFmtId="0" fontId="63" fillId="35" borderId="60" xfId="0" applyFont="1" applyFill="1" applyBorder="1" applyAlignment="1">
      <alignment horizontal="left" vertical="center" wrapText="1"/>
    </xf>
    <xf numFmtId="0" fontId="63" fillId="35" borderId="60" xfId="0" applyFont="1" applyFill="1" applyBorder="1" applyAlignment="1">
      <alignment horizontal="left" vertical="center"/>
    </xf>
    <xf numFmtId="0" fontId="104" fillId="35" borderId="31" xfId="0" applyFont="1" applyFill="1" applyBorder="1" applyAlignment="1">
      <alignment horizontal="center" vertical="center" wrapText="1"/>
    </xf>
    <xf numFmtId="0" fontId="117" fillId="32" borderId="30" xfId="0" applyFont="1" applyFill="1" applyBorder="1" applyAlignment="1">
      <alignment horizontal="center" vertical="center" wrapText="1"/>
    </xf>
    <xf numFmtId="0" fontId="117" fillId="32" borderId="44" xfId="0" applyFont="1" applyFill="1" applyBorder="1" applyAlignment="1">
      <alignment horizontal="center" vertical="center" wrapText="1"/>
    </xf>
    <xf numFmtId="0" fontId="80" fillId="31" borderId="48" xfId="0" applyFont="1" applyFill="1" applyBorder="1" applyAlignment="1">
      <alignment horizontal="center" vertical="center" wrapText="1"/>
    </xf>
    <xf numFmtId="0" fontId="117" fillId="32" borderId="31" xfId="0" applyFont="1" applyFill="1" applyBorder="1" applyAlignment="1">
      <alignment horizontal="center" vertical="center" wrapText="1"/>
    </xf>
    <xf numFmtId="0" fontId="117" fillId="32" borderId="46" xfId="0" applyFont="1" applyFill="1" applyBorder="1" applyAlignment="1">
      <alignment horizontal="center" vertical="center" wrapText="1"/>
    </xf>
    <xf numFmtId="0" fontId="12" fillId="2" borderId="31" xfId="0" applyFont="1" applyFill="1" applyBorder="1" applyAlignment="1">
      <alignment horizontal="right" vertical="center" wrapText="1"/>
    </xf>
    <xf numFmtId="0" fontId="176" fillId="12" borderId="30" xfId="0" applyFont="1" applyFill="1" applyBorder="1" applyAlignment="1">
      <alignment horizontal="left" vertical="center" wrapText="1"/>
    </xf>
    <xf numFmtId="0" fontId="19" fillId="13" borderId="68" xfId="0" applyFont="1" applyFill="1" applyBorder="1" applyAlignment="1">
      <alignment horizontal="left" vertical="center"/>
    </xf>
    <xf numFmtId="0" fontId="19" fillId="13" borderId="69" xfId="0" applyFont="1" applyFill="1" applyBorder="1" applyAlignment="1">
      <alignment horizontal="left" vertical="center"/>
    </xf>
    <xf numFmtId="0" fontId="19" fillId="13" borderId="38" xfId="0" applyFont="1" applyFill="1" applyBorder="1" applyAlignment="1">
      <alignment horizontal="left" vertical="center"/>
    </xf>
    <xf numFmtId="0" fontId="19" fillId="13" borderId="70" xfId="0" applyFont="1" applyFill="1" applyBorder="1" applyAlignment="1">
      <alignment horizontal="left" vertical="center"/>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17" fillId="12" borderId="33" xfId="0" applyFont="1" applyFill="1" applyBorder="1" applyAlignment="1">
      <alignment horizontal="left" vertical="center" wrapText="1"/>
    </xf>
    <xf numFmtId="0" fontId="12" fillId="0" borderId="33" xfId="0" applyFont="1" applyBorder="1" applyAlignment="1">
      <alignment horizontal="right" vertical="center"/>
    </xf>
    <xf numFmtId="0" fontId="12" fillId="0" borderId="32" xfId="0" applyFont="1" applyBorder="1" applyAlignment="1">
      <alignment horizontal="right" vertical="center"/>
    </xf>
    <xf numFmtId="0" fontId="12" fillId="0" borderId="31" xfId="0" applyFont="1" applyBorder="1" applyAlignment="1">
      <alignment horizontal="right" vertical="center" wrapText="1"/>
    </xf>
    <xf numFmtId="0" fontId="12" fillId="0" borderId="32" xfId="0" applyFont="1" applyBorder="1" applyAlignment="1">
      <alignment horizontal="right" vertical="center" wrapText="1"/>
    </xf>
    <xf numFmtId="0" fontId="13" fillId="0" borderId="33" xfId="0" applyFont="1" applyBorder="1" applyAlignment="1">
      <alignment horizontal="left" vertical="center" wrapText="1"/>
    </xf>
    <xf numFmtId="0" fontId="114" fillId="2" borderId="0" xfId="0" applyFont="1" applyFill="1" applyAlignment="1">
      <alignment horizontal="left" vertical="center" wrapText="1"/>
    </xf>
    <xf numFmtId="0" fontId="116" fillId="2" borderId="0" xfId="0" applyFont="1" applyFill="1" applyAlignment="1">
      <alignment horizontal="center" vertical="center" wrapText="1"/>
    </xf>
    <xf numFmtId="0" fontId="116" fillId="2" borderId="0" xfId="0" applyFont="1" applyFill="1" applyAlignment="1">
      <alignment horizontal="left" vertical="center" wrapText="1"/>
    </xf>
    <xf numFmtId="0" fontId="19" fillId="35" borderId="30" xfId="0" applyFont="1" applyFill="1" applyBorder="1" applyAlignment="1">
      <alignment horizontal="left" vertical="center" wrapText="1"/>
    </xf>
    <xf numFmtId="0" fontId="19" fillId="13" borderId="39" xfId="0" applyFont="1" applyFill="1" applyBorder="1" applyAlignment="1">
      <alignment horizontal="left" vertical="center"/>
    </xf>
    <xf numFmtId="0" fontId="104" fillId="35" borderId="30" xfId="0" applyFont="1" applyFill="1" applyBorder="1" applyAlignment="1">
      <alignment horizontal="center" vertical="center" wrapText="1"/>
    </xf>
    <xf numFmtId="0" fontId="19" fillId="35" borderId="30" xfId="0" applyFont="1" applyFill="1" applyBorder="1" applyAlignment="1">
      <alignment horizontal="center" vertical="center" wrapText="1"/>
    </xf>
    <xf numFmtId="0" fontId="13" fillId="15" borderId="30" xfId="0" applyFont="1" applyFill="1" applyBorder="1" applyAlignment="1">
      <alignment horizontal="center" vertical="center" wrapText="1"/>
    </xf>
    <xf numFmtId="0" fontId="12" fillId="15" borderId="37" xfId="0"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2" fillId="15" borderId="47" xfId="0" applyFont="1" applyFill="1" applyBorder="1" applyAlignment="1">
      <alignment horizontal="center" vertical="center" wrapText="1"/>
    </xf>
    <xf numFmtId="0" fontId="12" fillId="15" borderId="44" xfId="0" applyFont="1" applyFill="1" applyBorder="1" applyAlignment="1">
      <alignment horizontal="center" vertical="center" wrapText="1"/>
    </xf>
    <xf numFmtId="0" fontId="120" fillId="12" borderId="44" xfId="0" applyFont="1" applyFill="1" applyBorder="1" applyAlignment="1">
      <alignment horizontal="left" vertical="center" wrapText="1"/>
    </xf>
    <xf numFmtId="0" fontId="177" fillId="2" borderId="0" xfId="0" applyFont="1" applyFill="1" applyAlignment="1">
      <alignment horizontal="center" vertical="center" wrapText="1"/>
    </xf>
    <xf numFmtId="0" fontId="117" fillId="32" borderId="33" xfId="0" applyFont="1" applyFill="1" applyBorder="1" applyAlignment="1">
      <alignment horizontal="center" vertical="center" wrapText="1"/>
    </xf>
    <xf numFmtId="0" fontId="117" fillId="32" borderId="32" xfId="0" applyFont="1" applyFill="1" applyBorder="1" applyAlignment="1">
      <alignment horizontal="center" vertical="center" wrapText="1"/>
    </xf>
    <xf numFmtId="0" fontId="175" fillId="14" borderId="30" xfId="0" applyFont="1" applyFill="1" applyBorder="1" applyAlignment="1">
      <alignment horizontal="left" vertical="center" wrapText="1"/>
    </xf>
    <xf numFmtId="0" fontId="80" fillId="31" borderId="31" xfId="0" applyFont="1" applyFill="1" applyBorder="1" applyAlignment="1">
      <alignment horizontal="center" vertical="center" wrapText="1"/>
    </xf>
    <xf numFmtId="0" fontId="80" fillId="31" borderId="32" xfId="0" applyFont="1" applyFill="1" applyBorder="1" applyAlignment="1">
      <alignment horizontal="center" vertical="center" wrapText="1"/>
    </xf>
    <xf numFmtId="0" fontId="12" fillId="0" borderId="31" xfId="0" applyFont="1" applyBorder="1" applyAlignment="1">
      <alignment horizontal="right" vertical="center"/>
    </xf>
    <xf numFmtId="0" fontId="27" fillId="2" borderId="0" xfId="0" applyFont="1" applyFill="1" applyAlignment="1">
      <alignment horizontal="left" vertical="center" wrapText="1"/>
    </xf>
    <xf numFmtId="0" fontId="66" fillId="0" borderId="30" xfId="0" applyFont="1" applyBorder="1" applyAlignment="1">
      <alignment horizontal="left" vertical="center" wrapText="1"/>
    </xf>
    <xf numFmtId="0" fontId="146" fillId="0" borderId="0" xfId="0" applyFont="1" applyAlignment="1">
      <alignment horizontal="left" vertical="center"/>
    </xf>
    <xf numFmtId="0" fontId="66" fillId="2" borderId="30" xfId="0" applyFont="1" applyFill="1" applyBorder="1" applyAlignment="1">
      <alignment horizontal="left" vertical="center" wrapText="1"/>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66" fillId="0" borderId="31" xfId="0" applyFont="1" applyBorder="1" applyAlignment="1">
      <alignment horizontal="left" vertical="center" wrapText="1"/>
    </xf>
    <xf numFmtId="0" fontId="66" fillId="0" borderId="32" xfId="0" applyFont="1" applyBorder="1" applyAlignment="1">
      <alignment horizontal="left" vertical="center" wrapText="1"/>
    </xf>
    <xf numFmtId="0" fontId="117" fillId="2" borderId="42" xfId="0" applyFont="1" applyFill="1" applyBorder="1" applyAlignment="1">
      <alignment horizontal="left" vertical="center" wrapText="1"/>
    </xf>
    <xf numFmtId="0" fontId="117" fillId="2" borderId="7" xfId="0" applyFont="1" applyFill="1" applyBorder="1" applyAlignment="1">
      <alignment horizontal="left" vertical="center"/>
    </xf>
    <xf numFmtId="0" fontId="117" fillId="2" borderId="43" xfId="0" applyFont="1" applyFill="1" applyBorder="1" applyAlignment="1">
      <alignment horizontal="left" vertical="center"/>
    </xf>
    <xf numFmtId="0" fontId="152" fillId="0" borderId="0" xfId="0" applyFont="1" applyAlignment="1">
      <alignment horizontal="left" vertical="top" wrapText="1"/>
    </xf>
    <xf numFmtId="0" fontId="66" fillId="4" borderId="30" xfId="0" applyFont="1" applyFill="1" applyBorder="1" applyAlignment="1">
      <alignment horizontal="left" vertical="center"/>
    </xf>
    <xf numFmtId="0" fontId="13" fillId="19" borderId="30" xfId="0" applyFont="1" applyFill="1" applyBorder="1" applyAlignment="1">
      <alignment horizontal="left" vertical="center" wrapText="1"/>
    </xf>
    <xf numFmtId="0" fontId="66" fillId="4" borderId="30"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08" fillId="4" borderId="30" xfId="0" applyFont="1" applyFill="1" applyBorder="1" applyAlignment="1">
      <alignment horizontal="right" vertical="center" wrapText="1"/>
    </xf>
    <xf numFmtId="0" fontId="160" fillId="4" borderId="30" xfId="0" applyFont="1" applyFill="1" applyBorder="1" applyAlignment="1">
      <alignment horizontal="right" vertical="center" wrapText="1"/>
    </xf>
    <xf numFmtId="0" fontId="13" fillId="2" borderId="30" xfId="0" applyFont="1" applyFill="1" applyBorder="1" applyAlignment="1">
      <alignment horizontal="left" vertical="center"/>
    </xf>
    <xf numFmtId="0" fontId="155" fillId="2" borderId="30" xfId="1" applyFont="1" applyFill="1" applyBorder="1" applyAlignment="1" applyProtection="1">
      <alignment horizontal="right" vertical="center" wrapText="1"/>
    </xf>
    <xf numFmtId="0" fontId="155" fillId="2" borderId="31" xfId="1" applyFont="1" applyFill="1" applyBorder="1" applyAlignment="1" applyProtection="1">
      <alignment horizontal="right" vertical="center" wrapText="1"/>
    </xf>
    <xf numFmtId="0" fontId="155" fillId="2" borderId="32" xfId="1" applyFont="1" applyFill="1" applyBorder="1" applyAlignment="1" applyProtection="1">
      <alignment horizontal="right" vertical="center" wrapText="1"/>
    </xf>
    <xf numFmtId="0" fontId="150" fillId="10" borderId="34" xfId="0" applyFont="1" applyFill="1" applyBorder="1" applyAlignment="1">
      <alignment horizontal="center" vertical="center" wrapText="1"/>
    </xf>
    <xf numFmtId="0" fontId="150" fillId="10" borderId="36" xfId="0" applyFont="1" applyFill="1" applyBorder="1" applyAlignment="1">
      <alignment horizontal="center" vertical="center" wrapText="1"/>
    </xf>
    <xf numFmtId="0" fontId="150" fillId="10" borderId="35" xfId="0" applyFont="1" applyFill="1" applyBorder="1" applyAlignment="1">
      <alignment horizontal="center" vertical="center" wrapText="1"/>
    </xf>
    <xf numFmtId="0" fontId="114" fillId="8" borderId="64" xfId="0" applyFont="1" applyFill="1" applyBorder="1" applyAlignment="1">
      <alignment horizontal="center" vertical="center" wrapText="1"/>
    </xf>
    <xf numFmtId="0" fontId="87" fillId="10" borderId="64" xfId="0" applyFont="1" applyFill="1" applyBorder="1" applyAlignment="1">
      <alignment horizontal="left" vertical="center"/>
    </xf>
    <xf numFmtId="0" fontId="87" fillId="8" borderId="31" xfId="0" applyFont="1" applyFill="1" applyBorder="1" applyAlignment="1">
      <alignment horizontal="left" vertical="center"/>
    </xf>
    <xf numFmtId="0" fontId="87" fillId="8" borderId="32" xfId="0" applyFont="1" applyFill="1" applyBorder="1" applyAlignment="1">
      <alignment horizontal="left" vertical="center"/>
    </xf>
    <xf numFmtId="0" fontId="87" fillId="8" borderId="31" xfId="0" applyFont="1" applyFill="1" applyBorder="1" applyAlignment="1">
      <alignment horizontal="center" vertical="center"/>
    </xf>
    <xf numFmtId="0" fontId="87" fillId="8" borderId="32" xfId="0" applyFont="1" applyFill="1" applyBorder="1" applyAlignment="1">
      <alignment horizontal="center" vertical="center"/>
    </xf>
    <xf numFmtId="0" fontId="115" fillId="8" borderId="31" xfId="0" applyFont="1" applyFill="1" applyBorder="1" applyAlignment="1">
      <alignment horizontal="center" vertical="center"/>
    </xf>
    <xf numFmtId="0" fontId="115" fillId="8" borderId="32" xfId="0" applyFont="1" applyFill="1" applyBorder="1" applyAlignment="1">
      <alignment horizontal="center" vertical="center"/>
    </xf>
    <xf numFmtId="0" fontId="86" fillId="0" borderId="0" xfId="0" applyFont="1" applyAlignment="1">
      <alignment horizontal="left" vertical="center" wrapText="1"/>
    </xf>
    <xf numFmtId="0" fontId="115" fillId="10" borderId="34" xfId="0" applyFont="1" applyFill="1" applyBorder="1" applyAlignment="1">
      <alignment horizontal="center" vertical="center"/>
    </xf>
    <xf numFmtId="0" fontId="115" fillId="10" borderId="36" xfId="0" applyFont="1" applyFill="1" applyBorder="1" applyAlignment="1">
      <alignment horizontal="center" vertical="center"/>
    </xf>
    <xf numFmtId="0" fontId="87" fillId="10" borderId="31" xfId="0" applyFont="1" applyFill="1" applyBorder="1" applyAlignment="1">
      <alignment horizontal="left" vertical="center"/>
    </xf>
    <xf numFmtId="0" fontId="87" fillId="10" borderId="32" xfId="0" applyFont="1" applyFill="1" applyBorder="1" applyAlignment="1">
      <alignment horizontal="left" vertical="center"/>
    </xf>
    <xf numFmtId="0" fontId="115" fillId="10" borderId="35" xfId="0" applyFont="1" applyFill="1" applyBorder="1" applyAlignment="1">
      <alignment horizontal="center" vertical="center"/>
    </xf>
    <xf numFmtId="0" fontId="87" fillId="10" borderId="30" xfId="0" applyFont="1" applyFill="1" applyBorder="1" applyAlignment="1">
      <alignment horizontal="left" vertical="center"/>
    </xf>
    <xf numFmtId="0" fontId="87" fillId="10" borderId="30" xfId="0" applyFont="1" applyFill="1" applyBorder="1" applyAlignment="1">
      <alignment horizontal="left" vertical="center" wrapText="1"/>
    </xf>
    <xf numFmtId="0" fontId="160" fillId="2" borderId="0" xfId="0" applyFont="1" applyFill="1" applyAlignment="1">
      <alignment horizontal="left" wrapText="1"/>
    </xf>
    <xf numFmtId="0" fontId="146" fillId="5" borderId="0" xfId="0" applyFont="1" applyFill="1" applyAlignment="1">
      <alignment horizontal="left"/>
    </xf>
    <xf numFmtId="0" fontId="188" fillId="2" borderId="0" xfId="1" applyFont="1" applyFill="1" applyAlignment="1" applyProtection="1">
      <alignment horizontal="left" wrapText="1"/>
    </xf>
    <xf numFmtId="0" fontId="187" fillId="2" borderId="0" xfId="1" applyFont="1" applyFill="1" applyAlignment="1" applyProtection="1">
      <alignment horizontal="left" wrapText="1"/>
    </xf>
    <xf numFmtId="0" fontId="159" fillId="5" borderId="0" xfId="0" applyFont="1" applyFill="1" applyAlignment="1">
      <alignment horizontal="left" vertical="center" wrapText="1"/>
    </xf>
    <xf numFmtId="0" fontId="10" fillId="10" borderId="30" xfId="0" applyFont="1" applyFill="1" applyBorder="1" applyAlignment="1">
      <alignment horizontal="left" vertical="center" wrapText="1"/>
    </xf>
    <xf numFmtId="0" fontId="159" fillId="2" borderId="0" xfId="1" applyFont="1" applyFill="1" applyAlignment="1" applyProtection="1">
      <alignment horizontal="left" vertical="center" wrapText="1"/>
    </xf>
    <xf numFmtId="0" fontId="128" fillId="5" borderId="0" xfId="0" applyFont="1" applyFill="1" applyAlignment="1">
      <alignment horizontal="left" vertical="center" wrapText="1"/>
    </xf>
    <xf numFmtId="0" fontId="43" fillId="37" borderId="0" xfId="0" applyFont="1" applyFill="1" applyAlignment="1">
      <alignment horizontal="center" vertical="center"/>
    </xf>
    <xf numFmtId="0" fontId="83" fillId="10" borderId="30" xfId="0" applyFont="1" applyFill="1" applyBorder="1" applyAlignment="1">
      <alignment horizontal="left" vertical="center"/>
    </xf>
    <xf numFmtId="0" fontId="52" fillId="10" borderId="30" xfId="0" applyFont="1" applyFill="1" applyBorder="1" applyAlignment="1">
      <alignment horizontal="left" vertical="center" wrapText="1"/>
    </xf>
    <xf numFmtId="0" fontId="83" fillId="10" borderId="31" xfId="0" applyFont="1" applyFill="1" applyBorder="1" applyAlignment="1">
      <alignment horizontal="left" vertical="center"/>
    </xf>
    <xf numFmtId="0" fontId="52" fillId="8" borderId="31" xfId="0" applyFont="1" applyFill="1" applyBorder="1" applyAlignment="1">
      <alignment horizontal="left" vertical="center"/>
    </xf>
    <xf numFmtId="0" fontId="43" fillId="6" borderId="0" xfId="0" applyFont="1" applyFill="1" applyAlignment="1">
      <alignment horizontal="center" vertical="center"/>
    </xf>
    <xf numFmtId="0" fontId="81" fillId="10" borderId="7" xfId="0" applyFont="1" applyFill="1" applyBorder="1" applyAlignment="1">
      <alignment horizontal="center" vertical="center"/>
    </xf>
    <xf numFmtId="0" fontId="56" fillId="2" borderId="0" xfId="0" applyFont="1" applyFill="1" applyAlignment="1">
      <alignment horizontal="left" vertical="center" wrapText="1" indent="1"/>
    </xf>
    <xf numFmtId="0" fontId="60" fillId="5" borderId="0" xfId="0" applyFont="1" applyFill="1" applyAlignment="1">
      <alignment horizontal="left" vertical="center"/>
    </xf>
    <xf numFmtId="0" fontId="83" fillId="10" borderId="7" xfId="0" applyFont="1" applyFill="1" applyBorder="1" applyAlignment="1">
      <alignment horizontal="left" vertical="center"/>
    </xf>
    <xf numFmtId="0" fontId="52" fillId="10" borderId="7" xfId="0" applyFont="1" applyFill="1" applyBorder="1" applyAlignment="1">
      <alignment horizontal="left" vertical="center" wrapText="1"/>
    </xf>
    <xf numFmtId="0" fontId="52" fillId="10" borderId="8" xfId="0" applyFont="1" applyFill="1" applyBorder="1" applyAlignment="1">
      <alignment horizontal="center" vertical="center"/>
    </xf>
    <xf numFmtId="0" fontId="52" fillId="10" borderId="9" xfId="0" applyFont="1" applyFill="1" applyBorder="1" applyAlignment="1">
      <alignment horizontal="center" vertical="center"/>
    </xf>
    <xf numFmtId="0" fontId="52" fillId="22" borderId="10" xfId="0" applyFont="1" applyFill="1" applyBorder="1" applyAlignment="1">
      <alignment horizontal="center" vertical="center" wrapText="1"/>
    </xf>
    <xf numFmtId="0" fontId="52" fillId="22" borderId="11" xfId="0" applyFont="1" applyFill="1" applyBorder="1" applyAlignment="1">
      <alignment horizontal="center" vertical="center" wrapText="1"/>
    </xf>
    <xf numFmtId="0" fontId="52" fillId="22" borderId="12" xfId="0" applyFont="1" applyFill="1" applyBorder="1" applyAlignment="1">
      <alignment horizontal="center" vertical="center" wrapText="1"/>
    </xf>
    <xf numFmtId="0" fontId="81" fillId="22" borderId="10" xfId="0" applyFont="1" applyFill="1" applyBorder="1" applyAlignment="1">
      <alignment horizontal="center" vertical="center"/>
    </xf>
    <xf numFmtId="0" fontId="81" fillId="22" borderId="11" xfId="0" applyFont="1" applyFill="1" applyBorder="1" applyAlignment="1">
      <alignment horizontal="center" vertical="center"/>
    </xf>
    <xf numFmtId="0" fontId="81" fillId="22" borderId="12" xfId="0" applyFont="1" applyFill="1" applyBorder="1" applyAlignment="1">
      <alignment horizontal="center" vertical="center"/>
    </xf>
    <xf numFmtId="0" fontId="81" fillId="22" borderId="7" xfId="0" applyFont="1" applyFill="1" applyBorder="1" applyAlignment="1">
      <alignment horizontal="center" vertical="center"/>
    </xf>
    <xf numFmtId="0" fontId="37" fillId="5" borderId="0" xfId="0" applyFont="1" applyFill="1" applyAlignment="1">
      <alignment vertical="top" wrapText="1"/>
    </xf>
    <xf numFmtId="0" fontId="52" fillId="10" borderId="7" xfId="0" applyFont="1" applyFill="1" applyBorder="1" applyAlignment="1">
      <alignment horizontal="center" vertical="center" wrapText="1"/>
    </xf>
    <xf numFmtId="0" fontId="43" fillId="6" borderId="0" xfId="0" applyFont="1" applyFill="1" applyAlignment="1">
      <alignment horizontal="center"/>
    </xf>
    <xf numFmtId="0" fontId="16" fillId="35" borderId="64" xfId="0" applyFont="1" applyFill="1" applyBorder="1" applyAlignment="1">
      <alignment horizontal="center" vertical="center" wrapText="1"/>
    </xf>
    <xf numFmtId="0" fontId="25" fillId="35" borderId="30" xfId="0" applyFont="1" applyFill="1" applyBorder="1" applyAlignment="1">
      <alignment horizontal="center" vertical="center" wrapText="1"/>
    </xf>
    <xf numFmtId="0" fontId="43" fillId="37" borderId="30" xfId="0" applyFont="1" applyFill="1" applyBorder="1" applyAlignment="1">
      <alignment horizontal="center" vertical="center" wrapText="1"/>
    </xf>
    <xf numFmtId="166" fontId="115" fillId="0" borderId="30" xfId="2" applyNumberFormat="1" applyFont="1" applyBorder="1" applyAlignment="1" applyProtection="1">
      <alignment horizontal="right" vertical="center" wrapText="1"/>
    </xf>
    <xf numFmtId="166" fontId="114" fillId="0" borderId="30" xfId="2" applyNumberFormat="1" applyFont="1" applyBorder="1" applyAlignment="1" applyProtection="1">
      <alignment horizontal="center" vertical="center" wrapText="1"/>
    </xf>
    <xf numFmtId="0" fontId="86" fillId="38" borderId="30" xfId="0" applyFont="1" applyFill="1" applyBorder="1" applyAlignment="1">
      <alignment horizontal="center" vertical="center" wrapText="1"/>
    </xf>
    <xf numFmtId="166" fontId="115" fillId="2" borderId="30" xfId="2" applyNumberFormat="1" applyFont="1" applyFill="1" applyBorder="1" applyAlignment="1" applyProtection="1">
      <alignment horizontal="right" vertical="center" wrapText="1"/>
    </xf>
    <xf numFmtId="0" fontId="189"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9" fontId="6" fillId="2" borderId="0" xfId="0" applyNumberFormat="1" applyFont="1" applyFill="1" applyAlignment="1">
      <alignment horizontal="center" vertical="center" wrapText="1"/>
    </xf>
    <xf numFmtId="9" fontId="25" fillId="2" borderId="0" xfId="0" applyNumberFormat="1" applyFont="1" applyFill="1" applyAlignment="1">
      <alignment horizontal="center" vertical="center" wrapText="1"/>
    </xf>
    <xf numFmtId="0" fontId="25" fillId="35" borderId="34" xfId="0" applyFont="1" applyFill="1" applyBorder="1" applyAlignment="1">
      <alignment horizontal="center" vertical="center" wrapText="1"/>
    </xf>
    <xf numFmtId="0" fontId="25" fillId="35" borderId="61" xfId="0" applyFont="1" applyFill="1" applyBorder="1" applyAlignment="1">
      <alignment horizontal="center" vertical="center" wrapText="1"/>
    </xf>
    <xf numFmtId="0" fontId="58" fillId="42" borderId="30" xfId="0" applyFont="1" applyFill="1" applyBorder="1" applyAlignment="1">
      <alignment horizontal="left" vertical="center" wrapText="1"/>
    </xf>
    <xf numFmtId="0" fontId="16" fillId="35" borderId="30" xfId="0" applyFont="1" applyFill="1" applyBorder="1" applyAlignment="1">
      <alignment horizontal="center" vertical="center" wrapText="1"/>
    </xf>
    <xf numFmtId="9" fontId="120" fillId="2" borderId="30" xfId="2" applyNumberFormat="1" applyFont="1" applyFill="1" applyBorder="1" applyAlignment="1" applyProtection="1">
      <alignment horizontal="center" vertical="center" wrapText="1"/>
    </xf>
    <xf numFmtId="9" fontId="115" fillId="2" borderId="30" xfId="2" applyNumberFormat="1" applyFont="1" applyFill="1" applyBorder="1" applyAlignment="1" applyProtection="1">
      <alignment horizontal="center" vertical="center" wrapText="1"/>
    </xf>
    <xf numFmtId="0" fontId="58" fillId="35" borderId="31" xfId="0" applyFont="1" applyFill="1" applyBorder="1" applyAlignment="1">
      <alignment horizontal="left" vertical="center"/>
    </xf>
    <xf numFmtId="0" fontId="25" fillId="26" borderId="34" xfId="0" applyFont="1" applyFill="1" applyBorder="1" applyAlignment="1">
      <alignment horizontal="center" vertical="center"/>
    </xf>
    <xf numFmtId="0" fontId="16" fillId="35" borderId="34" xfId="0" applyFont="1" applyFill="1" applyBorder="1" applyAlignment="1">
      <alignment horizontal="center" vertical="center" wrapText="1"/>
    </xf>
    <xf numFmtId="0" fontId="16" fillId="35" borderId="36" xfId="0" applyFont="1" applyFill="1" applyBorder="1" applyAlignment="1">
      <alignment horizontal="center" vertical="center" wrapText="1"/>
    </xf>
    <xf numFmtId="0" fontId="16" fillId="35" borderId="35" xfId="0" applyFont="1" applyFill="1" applyBorder="1" applyAlignment="1">
      <alignment horizontal="center" vertical="center" wrapText="1"/>
    </xf>
    <xf numFmtId="0" fontId="16" fillId="26" borderId="34" xfId="0" applyFont="1" applyFill="1" applyBorder="1" applyAlignment="1">
      <alignment horizontal="center" vertical="center"/>
    </xf>
    <xf numFmtId="0" fontId="16" fillId="26" borderId="35" xfId="0" applyFont="1" applyFill="1" applyBorder="1" applyAlignment="1">
      <alignment horizontal="center" vertical="center"/>
    </xf>
    <xf numFmtId="0" fontId="25" fillId="26" borderId="30" xfId="0" applyFont="1" applyFill="1" applyBorder="1" applyAlignment="1">
      <alignment horizontal="center" vertical="center" wrapText="1"/>
    </xf>
    <xf numFmtId="0" fontId="8" fillId="2" borderId="0" xfId="0" applyFont="1" applyFill="1" applyAlignment="1">
      <alignment horizontal="center" wrapText="1"/>
    </xf>
    <xf numFmtId="168" fontId="115" fillId="2" borderId="39" xfId="2" applyNumberFormat="1" applyFont="1" applyFill="1" applyBorder="1" applyAlignment="1" applyProtection="1">
      <alignment horizontal="center" vertical="center" wrapText="1"/>
    </xf>
    <xf numFmtId="9" fontId="112" fillId="44" borderId="31" xfId="3" applyFont="1" applyFill="1" applyBorder="1" applyAlignment="1" applyProtection="1">
      <alignment horizontal="center" vertical="center"/>
    </xf>
    <xf numFmtId="9" fontId="112" fillId="44" borderId="33" xfId="3" applyFont="1" applyFill="1" applyBorder="1" applyAlignment="1" applyProtection="1">
      <alignment horizontal="center" vertical="center"/>
    </xf>
    <xf numFmtId="9" fontId="112" fillId="44" borderId="67" xfId="3" applyFont="1" applyFill="1" applyBorder="1" applyAlignment="1" applyProtection="1">
      <alignment horizontal="center" vertical="center"/>
    </xf>
    <xf numFmtId="0" fontId="13" fillId="2" borderId="0" xfId="0" applyFont="1" applyFill="1" applyAlignment="1">
      <alignment horizontal="left" vertical="top" wrapText="1"/>
    </xf>
    <xf numFmtId="9" fontId="114" fillId="41" borderId="64" xfId="3" applyFont="1" applyFill="1" applyBorder="1" applyAlignment="1" applyProtection="1">
      <alignment horizontal="center" vertical="center"/>
    </xf>
    <xf numFmtId="0" fontId="16" fillId="26" borderId="30" xfId="0" applyFont="1" applyFill="1" applyBorder="1" applyAlignment="1">
      <alignment horizontal="center" vertical="center" wrapText="1"/>
    </xf>
    <xf numFmtId="0" fontId="58" fillId="26" borderId="30" xfId="0" applyFont="1" applyFill="1" applyBorder="1" applyAlignment="1">
      <alignment horizontal="left" vertical="center" wrapText="1"/>
    </xf>
    <xf numFmtId="169" fontId="105" fillId="35" borderId="30" xfId="0" applyNumberFormat="1" applyFont="1" applyFill="1" applyBorder="1" applyAlignment="1">
      <alignment horizontal="center" vertical="center" wrapText="1"/>
    </xf>
    <xf numFmtId="169" fontId="104" fillId="35" borderId="30" xfId="0" applyNumberFormat="1" applyFont="1" applyFill="1" applyBorder="1" applyAlignment="1">
      <alignment horizontal="left" vertical="center"/>
    </xf>
    <xf numFmtId="0" fontId="65" fillId="2" borderId="0" xfId="0" applyFont="1" applyFill="1" applyAlignment="1">
      <alignment horizontal="center" vertical="top"/>
    </xf>
    <xf numFmtId="0" fontId="60" fillId="5" borderId="0" xfId="0" applyFont="1" applyFill="1" applyAlignment="1">
      <alignment horizontal="left" vertical="center" wrapText="1"/>
    </xf>
    <xf numFmtId="49" fontId="104" fillId="35" borderId="34" xfId="0" applyNumberFormat="1" applyFont="1" applyFill="1" applyBorder="1" applyAlignment="1">
      <alignment horizontal="center" vertical="center" wrapText="1"/>
    </xf>
    <xf numFmtId="49" fontId="104" fillId="35" borderId="35" xfId="0" applyNumberFormat="1" applyFont="1" applyFill="1" applyBorder="1" applyAlignment="1">
      <alignment horizontal="center" vertical="center" wrapText="1"/>
    </xf>
    <xf numFmtId="0" fontId="57" fillId="35" borderId="30" xfId="0" applyFont="1" applyFill="1" applyBorder="1" applyAlignment="1">
      <alignment horizontal="left" vertical="center"/>
    </xf>
    <xf numFmtId="0" fontId="63" fillId="35" borderId="30" xfId="0" applyFont="1" applyFill="1" applyBorder="1" applyAlignment="1">
      <alignment horizontal="left" vertical="center"/>
    </xf>
    <xf numFmtId="0" fontId="133" fillId="37" borderId="30" xfId="0" applyFont="1" applyFill="1" applyBorder="1" applyAlignment="1">
      <alignment vertical="center"/>
    </xf>
    <xf numFmtId="0" fontId="81" fillId="2" borderId="0" xfId="0" applyFont="1" applyFill="1" applyAlignment="1">
      <alignment horizontal="left" vertical="top" wrapText="1"/>
    </xf>
    <xf numFmtId="0" fontId="60" fillId="5" borderId="0" xfId="0" applyFont="1" applyFill="1" applyAlignment="1">
      <alignment horizontal="left" wrapText="1"/>
    </xf>
    <xf numFmtId="0" fontId="60" fillId="5" borderId="0" xfId="0" applyFont="1" applyFill="1" applyAlignment="1">
      <alignment horizontal="left"/>
    </xf>
    <xf numFmtId="0" fontId="159" fillId="2" borderId="0" xfId="0" applyFont="1" applyFill="1" applyAlignment="1">
      <alignment horizontal="left" vertical="top" wrapText="1"/>
    </xf>
    <xf numFmtId="0" fontId="140" fillId="0" borderId="31" xfId="0" applyFont="1" applyBorder="1" applyAlignment="1">
      <alignment horizontal="center" vertical="center" wrapText="1"/>
    </xf>
    <xf numFmtId="0" fontId="140" fillId="0" borderId="33" xfId="0" applyFont="1" applyBorder="1" applyAlignment="1">
      <alignment horizontal="center" vertical="center" wrapText="1"/>
    </xf>
    <xf numFmtId="0" fontId="140" fillId="0" borderId="32" xfId="0" applyFont="1" applyBorder="1" applyAlignment="1">
      <alignment horizontal="center" vertical="center" wrapText="1"/>
    </xf>
    <xf numFmtId="0" fontId="114" fillId="0" borderId="31" xfId="0" applyFont="1" applyBorder="1" applyAlignment="1">
      <alignment horizontal="left" vertical="center" wrapText="1"/>
    </xf>
    <xf numFmtId="0" fontId="114" fillId="0" borderId="33" xfId="0" applyFont="1" applyBorder="1" applyAlignment="1">
      <alignment horizontal="left" vertical="center" wrapText="1"/>
    </xf>
    <xf numFmtId="0" fontId="114" fillId="0" borderId="32" xfId="0" applyFont="1" applyBorder="1" applyAlignment="1">
      <alignment horizontal="left" vertical="center" wrapText="1"/>
    </xf>
    <xf numFmtId="0" fontId="160" fillId="2" borderId="0" xfId="0" applyFont="1" applyFill="1" applyAlignment="1">
      <alignment horizontal="left" vertical="top" wrapText="1"/>
    </xf>
    <xf numFmtId="0" fontId="13" fillId="0" borderId="34" xfId="0" applyFont="1" applyBorder="1" applyAlignment="1">
      <alignment horizontal="left" vertical="top" wrapText="1"/>
    </xf>
    <xf numFmtId="0" fontId="13" fillId="0" borderId="36" xfId="0" applyFont="1" applyBorder="1" applyAlignment="1">
      <alignment horizontal="left" vertical="top" wrapText="1"/>
    </xf>
    <xf numFmtId="0" fontId="13" fillId="0" borderId="35" xfId="0" applyFont="1" applyBorder="1" applyAlignment="1">
      <alignment horizontal="left" vertical="top" wrapText="1"/>
    </xf>
    <xf numFmtId="0" fontId="66" fillId="0" borderId="34" xfId="0" applyFont="1" applyBorder="1" applyAlignment="1">
      <alignment horizontal="left" vertical="top" wrapText="1"/>
    </xf>
    <xf numFmtId="0" fontId="66" fillId="0" borderId="36" xfId="0" applyFont="1" applyBorder="1" applyAlignment="1">
      <alignment horizontal="left" vertical="top" wrapText="1"/>
    </xf>
    <xf numFmtId="0" fontId="66" fillId="0" borderId="35" xfId="0" applyFont="1" applyBorder="1" applyAlignment="1">
      <alignment horizontal="left" vertical="top" wrapText="1"/>
    </xf>
    <xf numFmtId="0" fontId="66" fillId="0" borderId="34" xfId="0" applyFont="1" applyBorder="1" applyAlignment="1">
      <alignment vertical="top" wrapText="1"/>
    </xf>
    <xf numFmtId="0" fontId="66" fillId="0" borderId="36" xfId="0" applyFont="1" applyBorder="1" applyAlignment="1">
      <alignment vertical="top" wrapText="1"/>
    </xf>
    <xf numFmtId="0" fontId="66" fillId="0" borderId="35" xfId="0" applyFont="1" applyBorder="1" applyAlignment="1">
      <alignment vertical="top" wrapText="1"/>
    </xf>
    <xf numFmtId="0" fontId="88" fillId="5"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31"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59" fillId="2" borderId="0" xfId="0" applyFont="1" applyFill="1" applyAlignment="1">
      <alignment horizontal="left" vertical="center" wrapText="1"/>
    </xf>
    <xf numFmtId="0" fontId="89" fillId="5" borderId="0" xfId="0" applyFont="1" applyFill="1" applyAlignment="1">
      <alignment horizontal="left" vertical="center"/>
    </xf>
    <xf numFmtId="0" fontId="86" fillId="5" borderId="0" xfId="0" applyFont="1" applyFill="1" applyAlignment="1">
      <alignment vertical="center" wrapText="1"/>
    </xf>
    <xf numFmtId="0" fontId="37" fillId="5" borderId="0" xfId="0" applyFont="1" applyFill="1" applyAlignment="1">
      <alignment vertical="center" wrapText="1"/>
    </xf>
    <xf numFmtId="0" fontId="52" fillId="22" borderId="7" xfId="0" applyFont="1" applyFill="1" applyBorder="1" applyAlignment="1">
      <alignment horizontal="center" vertical="center" wrapText="1"/>
    </xf>
    <xf numFmtId="0" fontId="58" fillId="26" borderId="27" xfId="0" applyFont="1" applyFill="1" applyBorder="1" applyAlignment="1">
      <alignment horizontal="left" vertical="center" wrapText="1"/>
    </xf>
    <xf numFmtId="0" fontId="58" fillId="26" borderId="28" xfId="0" applyFont="1" applyFill="1" applyBorder="1" applyAlignment="1">
      <alignment horizontal="left" vertical="center" wrapText="1"/>
    </xf>
    <xf numFmtId="0" fontId="25" fillId="26" borderId="27" xfId="0" applyFont="1" applyFill="1" applyBorder="1" applyAlignment="1">
      <alignment horizontal="center" vertical="center"/>
    </xf>
    <xf numFmtId="0" fontId="25" fillId="26" borderId="28" xfId="0" applyFont="1" applyFill="1" applyBorder="1" applyAlignment="1">
      <alignment horizontal="center"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26" borderId="13" xfId="0" applyFont="1" applyFill="1" applyBorder="1" applyAlignment="1">
      <alignment horizontal="center" vertical="center"/>
    </xf>
    <xf numFmtId="0" fontId="99" fillId="0" borderId="16" xfId="0" applyFont="1" applyBorder="1" applyAlignment="1">
      <alignment vertical="center" wrapText="1"/>
    </xf>
    <xf numFmtId="0" fontId="65" fillId="0" borderId="16" xfId="0" applyFont="1" applyBorder="1" applyAlignment="1">
      <alignment vertical="center" wrapText="1"/>
    </xf>
    <xf numFmtId="0" fontId="16" fillId="19" borderId="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8" fillId="30" borderId="0" xfId="0" applyFont="1" applyFill="1" applyAlignment="1">
      <alignment horizontal="center" wrapText="1"/>
    </xf>
    <xf numFmtId="0" fontId="12" fillId="19" borderId="26" xfId="0" applyFont="1" applyFill="1" applyBorder="1" applyAlignment="1">
      <alignment horizontal="left" vertical="center" wrapText="1"/>
    </xf>
    <xf numFmtId="0" fontId="12" fillId="19" borderId="29" xfId="0" applyFont="1" applyFill="1" applyBorder="1" applyAlignment="1">
      <alignment horizontal="left" vertical="center" wrapText="1"/>
    </xf>
    <xf numFmtId="0" fontId="12" fillId="19" borderId="22" xfId="0" applyFont="1" applyFill="1" applyBorder="1" applyAlignment="1">
      <alignment horizontal="left" vertical="center" wrapText="1"/>
    </xf>
    <xf numFmtId="0" fontId="13" fillId="2" borderId="16" xfId="0" applyFont="1" applyFill="1" applyBorder="1" applyAlignment="1">
      <alignment horizontal="left" vertical="center" wrapText="1"/>
    </xf>
    <xf numFmtId="166" fontId="6" fillId="19" borderId="16" xfId="2" applyNumberFormat="1" applyFont="1" applyFill="1" applyBorder="1" applyAlignment="1">
      <alignment horizontal="center" vertical="center"/>
    </xf>
    <xf numFmtId="9" fontId="6" fillId="19" borderId="17" xfId="3" applyFont="1" applyFill="1" applyBorder="1" applyAlignment="1">
      <alignment horizontal="center" vertical="center"/>
    </xf>
    <xf numFmtId="9" fontId="6" fillId="19" borderId="18" xfId="3" applyFont="1" applyFill="1" applyBorder="1" applyAlignment="1">
      <alignment horizontal="center" vertical="center"/>
    </xf>
    <xf numFmtId="166" fontId="6" fillId="19" borderId="17" xfId="2" applyNumberFormat="1" applyFont="1" applyFill="1" applyBorder="1" applyAlignment="1">
      <alignment horizontal="center" vertical="center"/>
    </xf>
    <xf numFmtId="166" fontId="6" fillId="19" borderId="18" xfId="2" applyNumberFormat="1" applyFont="1" applyFill="1" applyBorder="1" applyAlignment="1">
      <alignment horizontal="center" vertical="center"/>
    </xf>
    <xf numFmtId="0" fontId="16" fillId="26" borderId="23" xfId="0" applyFont="1" applyFill="1" applyBorder="1" applyAlignment="1">
      <alignment horizontal="center" vertical="center" wrapText="1"/>
    </xf>
    <xf numFmtId="0" fontId="16" fillId="26" borderId="24" xfId="0" applyFont="1" applyFill="1" applyBorder="1" applyAlignment="1">
      <alignment horizontal="center" vertical="center" wrapText="1"/>
    </xf>
    <xf numFmtId="0" fontId="16" fillId="26" borderId="25" xfId="0" applyFont="1" applyFill="1" applyBorder="1" applyAlignment="1">
      <alignment horizontal="center" vertical="center" wrapText="1"/>
    </xf>
    <xf numFmtId="166" fontId="8" fillId="0" borderId="7" xfId="2" applyNumberFormat="1" applyFont="1" applyBorder="1" applyAlignment="1">
      <alignment horizontal="center" vertical="center" wrapText="1"/>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25" fillId="26" borderId="19"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20" xfId="0" applyFont="1" applyFill="1" applyBorder="1" applyAlignment="1">
      <alignment horizontal="center" vertical="center" wrapText="1"/>
    </xf>
    <xf numFmtId="0" fontId="25" fillId="26" borderId="1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16" fillId="26" borderId="7"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2" fillId="2" borderId="7" xfId="0" applyFont="1" applyFill="1" applyBorder="1" applyAlignment="1">
      <alignment horizontal="left" vertical="center" wrapText="1"/>
    </xf>
    <xf numFmtId="166" fontId="8" fillId="17" borderId="8" xfId="2" applyNumberFormat="1" applyFont="1" applyFill="1" applyBorder="1" applyAlignment="1">
      <alignment horizontal="center" vertical="center" wrapText="1"/>
    </xf>
    <xf numFmtId="166" fontId="8" fillId="17" borderId="9" xfId="2" applyNumberFormat="1" applyFont="1" applyFill="1" applyBorder="1" applyAlignment="1">
      <alignment horizontal="center" vertical="center" wrapText="1"/>
    </xf>
    <xf numFmtId="0" fontId="13" fillId="18" borderId="2" xfId="0" applyFont="1" applyFill="1" applyBorder="1" applyAlignment="1">
      <alignment vertical="center" wrapText="1"/>
    </xf>
    <xf numFmtId="0" fontId="8" fillId="2" borderId="0" xfId="0" applyFont="1" applyFill="1" applyAlignment="1">
      <alignment horizontal="center" vertical="center" wrapText="1"/>
    </xf>
    <xf numFmtId="0" fontId="13" fillId="2" borderId="7" xfId="0" applyFont="1" applyFill="1" applyBorder="1" applyAlignment="1">
      <alignment vertical="center" wrapText="1"/>
    </xf>
    <xf numFmtId="0" fontId="65" fillId="0" borderId="7" xfId="0" applyFont="1" applyBorder="1" applyAlignment="1">
      <alignment horizontal="left" vertical="center" wrapText="1"/>
    </xf>
    <xf numFmtId="166" fontId="6" fillId="27" borderId="10" xfId="2" applyNumberFormat="1" applyFont="1" applyFill="1" applyBorder="1" applyAlignment="1">
      <alignment horizontal="center" vertical="center" wrapText="1"/>
    </xf>
    <xf numFmtId="166" fontId="6" fillId="27" borderId="11" xfId="2" applyNumberFormat="1" applyFont="1" applyFill="1" applyBorder="1" applyAlignment="1">
      <alignment horizontal="center" vertical="center" wrapText="1"/>
    </xf>
    <xf numFmtId="166" fontId="6" fillId="27" borderId="12" xfId="2" applyNumberFormat="1" applyFont="1" applyFill="1" applyBorder="1" applyAlignment="1">
      <alignment horizontal="center" vertical="center" wrapText="1"/>
    </xf>
    <xf numFmtId="164" fontId="6" fillId="17" borderId="10" xfId="2" applyNumberFormat="1" applyFont="1" applyFill="1" applyBorder="1" applyAlignment="1">
      <alignment horizontal="center" vertical="center" wrapText="1"/>
    </xf>
    <xf numFmtId="164" fontId="6" fillId="17" borderId="11" xfId="2" applyNumberFormat="1" applyFont="1" applyFill="1" applyBorder="1" applyAlignment="1">
      <alignment horizontal="center" vertical="center" wrapText="1"/>
    </xf>
    <xf numFmtId="164" fontId="6" fillId="17" borderId="12" xfId="2" applyNumberFormat="1" applyFont="1" applyFill="1" applyBorder="1" applyAlignment="1">
      <alignment horizontal="center" vertical="center" wrapText="1"/>
    </xf>
    <xf numFmtId="164" fontId="6" fillId="27" borderId="10" xfId="2" applyNumberFormat="1" applyFont="1" applyFill="1" applyBorder="1" applyAlignment="1">
      <alignment horizontal="center" vertical="center" wrapText="1"/>
    </xf>
    <xf numFmtId="164" fontId="6" fillId="27" borderId="11" xfId="2" applyNumberFormat="1" applyFont="1" applyFill="1" applyBorder="1" applyAlignment="1">
      <alignment horizontal="center" vertical="center" wrapText="1"/>
    </xf>
    <xf numFmtId="164" fontId="6" fillId="27" borderId="12" xfId="2" applyNumberFormat="1" applyFont="1" applyFill="1" applyBorder="1" applyAlignment="1">
      <alignment horizontal="center" vertical="center" wrapText="1"/>
    </xf>
    <xf numFmtId="164" fontId="6" fillId="27" borderId="10" xfId="3" applyNumberFormat="1" applyFont="1" applyFill="1" applyBorder="1" applyAlignment="1">
      <alignment horizontal="center" vertical="center" wrapText="1"/>
    </xf>
    <xf numFmtId="164" fontId="6" fillId="27" borderId="11" xfId="3" applyNumberFormat="1" applyFont="1" applyFill="1" applyBorder="1" applyAlignment="1">
      <alignment horizontal="center" vertical="center" wrapText="1"/>
    </xf>
    <xf numFmtId="164" fontId="6" fillId="27" borderId="12" xfId="3"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164" fontId="6" fillId="2" borderId="10" xfId="2" applyNumberFormat="1" applyFont="1" applyFill="1" applyBorder="1" applyAlignment="1">
      <alignment horizontal="center" vertical="center" wrapText="1"/>
    </xf>
    <xf numFmtId="164" fontId="6" fillId="2" borderId="11" xfId="2" applyNumberFormat="1" applyFont="1" applyFill="1" applyBorder="1" applyAlignment="1">
      <alignment horizontal="center" vertical="center" wrapText="1"/>
    </xf>
    <xf numFmtId="164" fontId="6" fillId="2" borderId="12" xfId="2" applyNumberFormat="1" applyFont="1" applyFill="1" applyBorder="1" applyAlignment="1">
      <alignment horizontal="center" vertical="center" wrapText="1"/>
    </xf>
    <xf numFmtId="166" fontId="7" fillId="0" borderId="17" xfId="2" applyNumberFormat="1" applyFont="1" applyBorder="1" applyAlignment="1">
      <alignment horizontal="center" vertical="center" wrapText="1"/>
    </xf>
    <xf numFmtId="166" fontId="7" fillId="0" borderId="18" xfId="2" applyNumberFormat="1" applyFont="1" applyBorder="1" applyAlignment="1">
      <alignment horizontal="center" vertical="center" wrapText="1"/>
    </xf>
    <xf numFmtId="0" fontId="25" fillId="2" borderId="0" xfId="0" applyFont="1" applyFill="1" applyAlignment="1">
      <alignment horizontal="center" vertical="center" wrapText="1"/>
    </xf>
    <xf numFmtId="166" fontId="7" fillId="18" borderId="8" xfId="2" applyNumberFormat="1" applyFont="1" applyFill="1" applyBorder="1" applyAlignment="1">
      <alignment horizontal="center" vertical="center" wrapText="1"/>
    </xf>
    <xf numFmtId="166" fontId="7" fillId="18" borderId="9" xfId="2" applyNumberFormat="1" applyFont="1" applyFill="1" applyBorder="1" applyAlignment="1">
      <alignment horizontal="center" vertical="center" wrapText="1"/>
    </xf>
    <xf numFmtId="0" fontId="64" fillId="0" borderId="16"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166" fontId="8" fillId="0" borderId="6" xfId="2" applyNumberFormat="1" applyFont="1" applyBorder="1" applyAlignment="1">
      <alignment horizontal="center" vertical="center" wrapText="1"/>
    </xf>
    <xf numFmtId="0" fontId="81" fillId="0" borderId="0" xfId="0" applyFont="1" applyAlignment="1">
      <alignment horizontal="left" vertical="center" wrapText="1"/>
    </xf>
    <xf numFmtId="0" fontId="16" fillId="11" borderId="7"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82" fillId="24" borderId="8" xfId="0" applyFont="1" applyFill="1" applyBorder="1" applyAlignment="1">
      <alignment horizontal="center" vertical="center" wrapText="1"/>
    </xf>
    <xf numFmtId="0" fontId="82" fillId="24" borderId="9" xfId="0" applyFont="1" applyFill="1" applyBorder="1" applyAlignment="1">
      <alignment horizontal="center" vertical="center" wrapText="1"/>
    </xf>
  </cellXfs>
  <cellStyles count="7">
    <cellStyle name="Comma" xfId="2" builtinId="3"/>
    <cellStyle name="Comma 2" xfId="4" xr:uid="{6BB149D6-ADB6-45E3-811A-0649A7117E71}"/>
    <cellStyle name="Heading 2021 and previous" xfId="6" xr:uid="{C73379B3-2602-4C3C-8BA9-DE7929584B45}"/>
    <cellStyle name="Hyperlink" xfId="1" builtinId="8"/>
    <cellStyle name="Normal" xfId="0" builtinId="0"/>
    <cellStyle name="Percent" xfId="3" builtinId="5"/>
    <cellStyle name="T-Text-Thin-Centre" xfId="5" xr:uid="{4D7F230F-DA1B-49F8-8068-4DF72C375321}"/>
  </cellStyles>
  <dxfs count="0"/>
  <tableStyles count="0" defaultTableStyle="TableStyleMedium2" defaultPivotStyle="PivotStyleLight16"/>
  <colors>
    <mruColors>
      <color rgb="FF1E22AA"/>
      <color rgb="FF00ACE9"/>
      <color rgb="FF0000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0/relationships/richValueRel" Target="richData/richValueRel.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Structure" Target="richData/rdrichvaluestructure.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Sales from products contributing to priority UN SDGs in 2024/25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946339852160441"/>
          <c:y val="0.24994599280362709"/>
          <c:w val="0.42107298593503711"/>
          <c:h val="0.66743056463319816"/>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062D-4E14-A042-0174298580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062D-4E14-A042-0174298580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062D-4E14-A042-01742985803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062D-4E14-A042-01742985803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B-062D-4E14-A042-01742985803D}"/>
              </c:ext>
            </c:extLst>
          </c:dPt>
          <c:dLbls>
            <c:dLbl>
              <c:idx val="0"/>
              <c:layout>
                <c:manualLayout>
                  <c:x val="0.12760944244290104"/>
                  <c:y val="8.647687322412642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62D-4E14-A042-01742985803D}"/>
                </c:ext>
              </c:extLst>
            </c:dLbl>
            <c:dLbl>
              <c:idx val="1"/>
              <c:layout>
                <c:manualLayout>
                  <c:x val="-0.12401653770559165"/>
                  <c:y val="0.1633878830398523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62D-4E14-A042-01742985803D}"/>
                </c:ext>
              </c:extLst>
            </c:dLbl>
            <c:dLbl>
              <c:idx val="2"/>
              <c:layout>
                <c:manualLayout>
                  <c:x val="-0.19116818730423132"/>
                  <c:y val="-1.9460311406954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62D-4E14-A042-01742985803D}"/>
                </c:ext>
              </c:extLst>
            </c:dLbl>
            <c:dLbl>
              <c:idx val="3"/>
              <c:layout>
                <c:manualLayout>
                  <c:x val="-0.20109085400383989"/>
                  <c:y val="-0.1417707421613667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62D-4E14-A042-01742985803D}"/>
                </c:ext>
              </c:extLst>
            </c:dLbl>
            <c:dLbl>
              <c:idx val="4"/>
              <c:layout>
                <c:manualLayout>
                  <c:x val="-0.1184437456826235"/>
                  <c:y val="-6.062187394651567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62D-4E14-A042-0174298580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 SDGs'!$B$9:$B$13</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SDGs'!$D$9:$D$13</c:f>
              <c:numCache>
                <c:formatCode>0%</c:formatCode>
                <c:ptCount val="5"/>
                <c:pt idx="0">
                  <c:v>0.7</c:v>
                </c:pt>
                <c:pt idx="1">
                  <c:v>0.01</c:v>
                </c:pt>
                <c:pt idx="2">
                  <c:v>0.09</c:v>
                </c:pt>
                <c:pt idx="3">
                  <c:v>0.02</c:v>
                </c:pt>
                <c:pt idx="4">
                  <c:v>0.18</c:v>
                </c:pt>
              </c:numCache>
            </c:numRef>
          </c:val>
          <c:extLst>
            <c:ext xmlns:c16="http://schemas.microsoft.com/office/drawing/2014/chart" uri="{C3380CC4-5D6E-409C-BE32-E72D297353CC}">
              <c16:uniqueId val="{0000000C-062D-4E14-A042-01742985803D}"/>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Energy Mix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2101-4A4E-B7AB-09CE3DF38F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2101-4A4E-B7AB-09CE3DF38F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2-2101-4A4E-B7AB-09CE3DF38F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25E-4162-A4BB-C31470B88F1C}"/>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101-4A4E-B7AB-09CE3DF38F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4-2101-4A4E-B7AB-09CE3DF38FE6}"/>
                </c:ext>
              </c:extLst>
            </c:dLbl>
            <c:dLbl>
              <c:idx val="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2-2101-4A4E-B7AB-09CE3DF38F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0-2101-4A4E-B7AB-09CE3DF38FE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F-E25E-4162-A4BB-C31470B88F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1-E25E-4162-A4BB-C31470B88F1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3-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5-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7-E25E-4162-A4BB-C31470B88F1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9-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B-E25E-4162-A4BB-C31470B88F1C}"/>
              </c:ext>
            </c:extLst>
          </c:dPt>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1-2101-4A4E-B7AB-09CE3DF38F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employees in 2022/23</a:t>
            </a:r>
          </a:p>
        </c:rich>
      </c:tx>
      <c:layout>
        <c:manualLayout>
          <c:xMode val="edge"/>
          <c:yMode val="edge"/>
          <c:x val="0.2583861780047233"/>
          <c:y val="4.338934975574036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06078674105042"/>
          <c:y val="0.21766282711202872"/>
          <c:w val="0.4668475352414348"/>
          <c:h val="0.68600091518751505"/>
        </c:manualLayout>
      </c:layout>
      <c:doughnutChart>
        <c:varyColors val="1"/>
        <c:ser>
          <c:idx val="0"/>
          <c:order val="0"/>
          <c:tx>
            <c:strRef>
              <c:f>'People (Internal)'!$B$22</c:f>
              <c:strCache>
                <c:ptCount val="1"/>
                <c:pt idx="0">
                  <c:v>Total number of employees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4D-4B20-B9A5-D9C65159927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4D-4B20-B9A5-D9C65159927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(Internal)'!$D$28:$E$28</c:f>
              <c:numCache>
                <c:formatCode>_-* #,##0_-;\-* #,##0_-;_-* "-"??_-;_-@_-</c:formatCode>
                <c:ptCount val="2"/>
                <c:pt idx="0">
                  <c:v>3773</c:v>
                </c:pt>
                <c:pt idx="1">
                  <c:v>8865</c:v>
                </c:pt>
              </c:numCache>
            </c:numRef>
          </c:val>
          <c:extLst>
            <c:ext xmlns:c16="http://schemas.microsoft.com/office/drawing/2014/chart" uri="{C3380CC4-5D6E-409C-BE32-E72D297353CC}">
              <c16:uniqueId val="{00000004-834D-4B20-B9A5-D9C651599274}"/>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Board in 2022/23</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69746408616373"/>
          <c:y val="0.15452954318782783"/>
          <c:w val="0.40039008831354761"/>
          <c:h val="0.73358399349871806"/>
        </c:manualLayout>
      </c:layout>
      <c:doughnutChart>
        <c:varyColors val="1"/>
        <c:ser>
          <c:idx val="0"/>
          <c:order val="0"/>
          <c:tx>
            <c:strRef>
              <c:f>'People (Internal)'!$B$30</c:f>
              <c:strCache>
                <c:ptCount val="1"/>
                <c:pt idx="0">
                  <c:v>Board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88-4A33-B816-80BDE33FD10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88-4A33-B816-80BDE33FD108}"/>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(Internal)'!$D$30:$E$30</c:f>
              <c:numCache>
                <c:formatCode>_-* #,##0_-;\-* #,##0_-;_-* "-"??_-;_-@_-</c:formatCode>
                <c:ptCount val="2"/>
                <c:pt idx="0">
                  <c:v>3</c:v>
                </c:pt>
                <c:pt idx="1">
                  <c:v>6</c:v>
                </c:pt>
              </c:numCache>
            </c:numRef>
          </c:val>
          <c:extLst>
            <c:ext xmlns:c16="http://schemas.microsoft.com/office/drawing/2014/chart" uri="{C3380CC4-5D6E-409C-BE32-E72D297353CC}">
              <c16:uniqueId val="{00000004-2C88-4A33-B816-80BDE33FD108}"/>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GB"/>
              <a:t>Employees by region</a:t>
            </a:r>
          </a:p>
        </c:rich>
      </c:tx>
      <c:layout>
        <c:manualLayout>
          <c:xMode val="edge"/>
          <c:yMode val="edge"/>
          <c:x val="0.31820878582299378"/>
          <c:y val="0.13089205858086897"/>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964832684014708"/>
          <c:y val="0.15269386228227844"/>
          <c:w val="0.44524035748141083"/>
          <c:h val="0.74137936697657858"/>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D63-4099-B26C-26F5EE17FAB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D63-4099-B26C-26F5EE17FAB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D63-4099-B26C-26F5EE17FAB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D63-4099-B26C-26F5EE17FAB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D63-4099-B26C-26F5EE17FAB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(Internal)'!$P$9:$P$13</c:f>
              <c:strCache>
                <c:ptCount val="5"/>
                <c:pt idx="0">
                  <c:v>UK </c:v>
                </c:pt>
                <c:pt idx="1">
                  <c:v>Rest of Europe</c:v>
                </c:pt>
                <c:pt idx="2">
                  <c:v>North America</c:v>
                </c:pt>
                <c:pt idx="3">
                  <c:v>Asia</c:v>
                </c:pt>
                <c:pt idx="4">
                  <c:v>Rest of World</c:v>
                </c:pt>
              </c:strCache>
            </c:strRef>
          </c:cat>
          <c:val>
            <c:numRef>
              <c:f>'People (Internal)'!$Q$9:$Q$13</c:f>
              <c:numCache>
                <c:formatCode>_-* #,##0_-;\-* #,##0_-;_-* "-"??_-;_-@_-</c:formatCode>
                <c:ptCount val="5"/>
                <c:pt idx="0">
                  <c:v>4079</c:v>
                </c:pt>
                <c:pt idx="1">
                  <c:v>2858</c:v>
                </c:pt>
                <c:pt idx="2">
                  <c:v>2186</c:v>
                </c:pt>
                <c:pt idx="3">
                  <c:v>2459</c:v>
                </c:pt>
                <c:pt idx="4">
                  <c:v>1056</c:v>
                </c:pt>
              </c:numCache>
            </c:numRef>
          </c:val>
          <c:extLst>
            <c:ext xmlns:c16="http://schemas.microsoft.com/office/drawing/2014/chart" uri="{C3380CC4-5D6E-409C-BE32-E72D297353CC}">
              <c16:uniqueId val="{0000000A-DD63-4099-B26C-26F5EE17FAB4}"/>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R&amp;D spend contributing to priority UN SDGs in 2024/25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777004735153235"/>
          <c:y val="0.23536045120610069"/>
          <c:w val="0.41739763032693938"/>
          <c:h val="0.6657944543846767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59-41E2-A37E-BA07C8B18F1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59-41E2-A37E-BA07C8B18F1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659-41E2-A37E-BA07C8B18F1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659-41E2-A37E-BA07C8B18F1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659-41E2-A37E-BA07C8B18F14}"/>
              </c:ext>
            </c:extLst>
          </c:dPt>
          <c:dLbls>
            <c:dLbl>
              <c:idx val="0"/>
              <c:layout>
                <c:manualLayout>
                  <c:x val="0.16369585787451682"/>
                  <c:y val="6.567448210241011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23690136845022908"/>
                      <c:h val="0.21865224241295977"/>
                    </c:manualLayout>
                  </c15:layout>
                </c:ext>
                <c:ext xmlns:c16="http://schemas.microsoft.com/office/drawing/2014/chart" uri="{C3380CC4-5D6E-409C-BE32-E72D297353CC}">
                  <c16:uniqueId val="{00000001-6659-41E2-A37E-BA07C8B18F14}"/>
                </c:ext>
              </c:extLst>
            </c:dLbl>
            <c:dLbl>
              <c:idx val="1"/>
              <c:layout>
                <c:manualLayout>
                  <c:x val="-0.11253796562394169"/>
                  <c:y val="9.632257375020253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59-41E2-A37E-BA07C8B18F14}"/>
                </c:ext>
              </c:extLst>
            </c:dLbl>
            <c:dLbl>
              <c:idx val="2"/>
              <c:layout>
                <c:manualLayout>
                  <c:x val="-0.18639476976823305"/>
                  <c:y val="5.9430520121013118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59-41E2-A37E-BA07C8B18F14}"/>
                </c:ext>
              </c:extLst>
            </c:dLbl>
            <c:dLbl>
              <c:idx val="3"/>
              <c:layout>
                <c:manualLayout>
                  <c:x val="-0.12351727934335062"/>
                  <c:y val="-2.18914940341369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59-41E2-A37E-BA07C8B18F14}"/>
                </c:ext>
              </c:extLst>
            </c:dLbl>
            <c:dLbl>
              <c:idx val="4"/>
              <c:layout>
                <c:manualLayout>
                  <c:x val="-0.16194487736128185"/>
                  <c:y val="-3.502639045461910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659-41E2-A37E-BA07C8B18F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 SDGs'!$B$17:$B$21</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SDGs'!$D$17:$D$21</c:f>
              <c:numCache>
                <c:formatCode>0%</c:formatCode>
                <c:ptCount val="5"/>
                <c:pt idx="0">
                  <c:v>0.55249999999999999</c:v>
                </c:pt>
                <c:pt idx="1">
                  <c:v>5.21E-2</c:v>
                </c:pt>
                <c:pt idx="2">
                  <c:v>0.1288</c:v>
                </c:pt>
                <c:pt idx="3">
                  <c:v>0.13289999999999999</c:v>
                </c:pt>
                <c:pt idx="4">
                  <c:v>0.1336</c:v>
                </c:pt>
              </c:numCache>
            </c:numRef>
          </c:val>
          <c:extLst>
            <c:ext xmlns:c16="http://schemas.microsoft.com/office/drawing/2014/chart" uri="{C3380CC4-5D6E-409C-BE32-E72D297353CC}">
              <c16:uniqueId val="{0000000A-6659-41E2-A37E-BA07C8B18F14}"/>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r>
              <a:rPr lang="en-GB"/>
              <a:t>Total</a:t>
            </a:r>
          </a:p>
          <a:p>
            <a:pPr>
              <a:defRPr/>
            </a:pPr>
            <a:r>
              <a:rPr lang="en-GB"/>
              <a:t>greenhouse gas</a:t>
            </a:r>
          </a:p>
          <a:p>
            <a:pPr>
              <a:defRPr/>
            </a:pPr>
            <a:r>
              <a:rPr lang="en-GB"/>
              <a:t>emissions</a:t>
            </a:r>
          </a:p>
        </c:rich>
      </c:tx>
      <c:layout>
        <c:manualLayout>
          <c:xMode val="edge"/>
          <c:yMode val="edge"/>
          <c:x val="0.43839903819659326"/>
          <c:y val="0.42655313207453294"/>
        </c:manualLayout>
      </c:layout>
      <c:overlay val="0"/>
      <c:spPr>
        <a:noFill/>
        <a:ln>
          <a:noFill/>
        </a:ln>
        <a:effectLst/>
      </c:spPr>
      <c:txPr>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29732411683481574"/>
          <c:y val="0.17007045635237275"/>
          <c:w val="0.43866989818360524"/>
          <c:h val="0.72446742522000906"/>
        </c:manualLayout>
      </c:layout>
      <c:doughnut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4-28BE-4489-845C-33E2BC0FEF4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2-28BE-4489-845C-33E2BC0FEF4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1-28BE-4489-845C-33E2BC0FEF4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28BE-4489-845C-33E2BC0FEF41}"/>
              </c:ext>
            </c:extLst>
          </c:dPt>
          <c:dLbls>
            <c:dLbl>
              <c:idx val="0"/>
              <c:layout>
                <c:manualLayout>
                  <c:x val="1.2393443584524468E-2"/>
                  <c:y val="-0.1444541679815129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8BE-4489-845C-33E2BC0FEF41}"/>
                </c:ext>
              </c:extLst>
            </c:dLbl>
            <c:dLbl>
              <c:idx val="1"/>
              <c:layout>
                <c:manualLayout>
                  <c:x val="0.21696801112656466"/>
                  <c:y val="-2.314814814814816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8BE-4489-845C-33E2BC0FEF41}"/>
                </c:ext>
              </c:extLst>
            </c:dLbl>
            <c:dLbl>
              <c:idx val="2"/>
              <c:layout>
                <c:manualLayout>
                  <c:x val="0.32333666505678044"/>
                  <c:y val="-3.693823529730717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8BE-4489-845C-33E2BC0FEF41}"/>
                </c:ext>
              </c:extLst>
            </c:dLbl>
            <c:dLbl>
              <c:idx val="3"/>
              <c:layout>
                <c:manualLayout>
                  <c:x val="-0.1872689533358467"/>
                  <c:y val="-0.1010336951284356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8BE-4489-845C-33E2BC0FEF41}"/>
                </c:ext>
              </c:extLst>
            </c:dLbl>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Environment!$M$39:$M$42</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Environment!$N$39:$N$42</c:f>
              <c:numCache>
                <c:formatCode>0%</c:formatCode>
                <c:ptCount val="4"/>
                <c:pt idx="0">
                  <c:v>6.103163007458999E-2</c:v>
                </c:pt>
                <c:pt idx="1">
                  <c:v>5.7431974619518312E-3</c:v>
                </c:pt>
                <c:pt idx="2">
                  <c:v>0.83560056134617733</c:v>
                </c:pt>
                <c:pt idx="3">
                  <c:v>9.762461111728081E-2</c:v>
                </c:pt>
              </c:numCache>
            </c:numRef>
          </c:val>
          <c:extLst>
            <c:ext xmlns:c16="http://schemas.microsoft.com/office/drawing/2014/chart" uri="{C3380CC4-5D6E-409C-BE32-E72D297353CC}">
              <c16:uniqueId val="{00000000-28BE-4489-845C-33E2BC0FEF4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ayout>
        <c:manualLayout>
          <c:xMode val="edge"/>
          <c:yMode val="edge"/>
          <c:x val="3.8031267478768938E-4"/>
          <c:y val="0.39443915798028045"/>
          <c:w val="0.32510285354858209"/>
          <c:h val="0.46404426947284616"/>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b="1">
                <a:latin typeface="Verdana" panose="020B0604030504040204" pitchFamily="34" charset="0"/>
                <a:ea typeface="Verdana" panose="020B0604030504040204" pitchFamily="34" charset="0"/>
              </a:rPr>
              <a:t>Global footprint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0.30221585291162451"/>
          <c:y val="0.22063730361905981"/>
          <c:w val="0.40828980218936045"/>
          <c:h val="0.7155495183732816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E4B-4A2C-9421-B163E9A840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E4B-4A2C-9421-B163E9A840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E4B-4A2C-9421-B163E9A840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E4B-4A2C-9421-B163E9A840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E4B-4A2C-9421-B163E9A840F0}"/>
              </c:ext>
            </c:extLst>
          </c:dPt>
          <c:dLbls>
            <c:dLbl>
              <c:idx val="1"/>
              <c:layout>
                <c:manualLayout>
                  <c:x val="8.3291010665312262E-2"/>
                  <c:y val="-1.78422759663420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4B-4A2C-9421-B163E9A840F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People!$Z$31:$Z$35</c:f>
              <c:strCache>
                <c:ptCount val="5"/>
                <c:pt idx="0">
                  <c:v>UK </c:v>
                </c:pt>
                <c:pt idx="1">
                  <c:v>Rest of Europe</c:v>
                </c:pt>
                <c:pt idx="2">
                  <c:v>North America</c:v>
                </c:pt>
                <c:pt idx="3">
                  <c:v>Asia</c:v>
                </c:pt>
                <c:pt idx="4">
                  <c:v>Rest of World</c:v>
                </c:pt>
              </c:strCache>
            </c:strRef>
          </c:cat>
          <c:val>
            <c:numRef>
              <c:f>People!$AA$31:$AA$35</c:f>
              <c:numCache>
                <c:formatCode>0.0%</c:formatCode>
                <c:ptCount val="5"/>
                <c:pt idx="0">
                  <c:v>0.3432453721937771</c:v>
                </c:pt>
                <c:pt idx="1">
                  <c:v>0.23139031114612052</c:v>
                </c:pt>
                <c:pt idx="2">
                  <c:v>0.19446632532493108</c:v>
                </c:pt>
                <c:pt idx="3">
                  <c:v>0.21386372587632926</c:v>
                </c:pt>
                <c:pt idx="4">
                  <c:v>1.7034265458842065E-2</c:v>
                </c:pt>
              </c:numCache>
            </c:numRef>
          </c:val>
          <c:extLst>
            <c:ext xmlns:c16="http://schemas.microsoft.com/office/drawing/2014/chart" uri="{C3380CC4-5D6E-409C-BE32-E72D297353CC}">
              <c16:uniqueId val="{00000002-9BDF-480E-8D73-2A9E8BA2734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Safety'!$O$27</c:f>
              <c:strCache>
                <c:ptCount val="1"/>
                <c:pt idx="0">
                  <c:v>ICCA - Process Safety Event Severity Rate (PSESR)</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66BD-41AD-A7B1-EEF4C2FDBA79}"/>
              </c:ext>
            </c:extLst>
          </c:dPt>
          <c:dPt>
            <c:idx val="5"/>
            <c:invertIfNegative val="0"/>
            <c:bubble3D val="0"/>
            <c:spPr>
              <a:solidFill>
                <a:srgbClr val="1E22AA"/>
              </a:solidFill>
              <a:ln>
                <a:noFill/>
              </a:ln>
              <a:effectLst/>
            </c:spPr>
            <c:extLst>
              <c:ext xmlns:c16="http://schemas.microsoft.com/office/drawing/2014/chart" uri="{C3380CC4-5D6E-409C-BE32-E72D297353CC}">
                <c16:uniqueId val="{00000002-E230-4283-9637-D8F0EB59B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Safety'!$P$27:$V$27</c:f>
              <c:numCache>
                <c:formatCode>0.00</c:formatCode>
                <c:ptCount val="7"/>
                <c:pt idx="0">
                  <c:v>1.5349999999999999</c:v>
                </c:pt>
                <c:pt idx="1">
                  <c:v>1.1819999999999999</c:v>
                </c:pt>
                <c:pt idx="2">
                  <c:v>0.77</c:v>
                </c:pt>
                <c:pt idx="3">
                  <c:v>1.3220000000000001</c:v>
                </c:pt>
                <c:pt idx="4">
                  <c:v>1.0149999999999999</c:v>
                </c:pt>
                <c:pt idx="5">
                  <c:v>0.88</c:v>
                </c:pt>
                <c:pt idx="6">
                  <c:v>0.82</c:v>
                </c:pt>
              </c:numCache>
            </c:numRef>
          </c:val>
          <c:extLst>
            <c:ext xmlns:c16="http://schemas.microsoft.com/office/drawing/2014/chart" uri="{C3380CC4-5D6E-409C-BE32-E72D297353CC}">
              <c16:uniqueId val="{00000000-75DC-40F7-BE8E-E75CCA7402E6}"/>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PSER/200,000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Safety'!$O$23</c:f>
              <c:strCache>
                <c:ptCount val="1"/>
                <c:pt idx="0">
                  <c:v>Total Recordable Injury and Illness Rate (TRIIR)
employees + contractors</c:v>
                </c:pt>
              </c:strCache>
            </c:strRef>
          </c:tx>
          <c:spPr>
            <a:solidFill>
              <a:schemeClr val="accent1"/>
            </a:solidFill>
            <a:ln>
              <a:noFill/>
            </a:ln>
            <a:effectLst/>
          </c:spPr>
          <c:invertIfNegative val="0"/>
          <c:dPt>
            <c:idx val="4"/>
            <c:invertIfNegative val="0"/>
            <c:bubble3D val="0"/>
            <c:spPr>
              <a:solidFill>
                <a:schemeClr val="accent1"/>
              </a:solidFill>
              <a:ln>
                <a:noFill/>
              </a:ln>
              <a:effectLst/>
            </c:spPr>
            <c:extLst>
              <c:ext xmlns:c16="http://schemas.microsoft.com/office/drawing/2014/chart" uri="{C3380CC4-5D6E-409C-BE32-E72D297353CC}">
                <c16:uniqueId val="{00000000-271C-4477-A74D-CFC83283BFCC}"/>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112C-4458-9096-D620BFF95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Safety'!$P$23:$V$23</c:f>
              <c:numCache>
                <c:formatCode>General</c:formatCode>
                <c:ptCount val="7"/>
                <c:pt idx="0">
                  <c:v>0.97</c:v>
                </c:pt>
                <c:pt idx="1">
                  <c:v>0.79</c:v>
                </c:pt>
                <c:pt idx="2">
                  <c:v>0.55000000000000004</c:v>
                </c:pt>
                <c:pt idx="3">
                  <c:v>0.59</c:v>
                </c:pt>
                <c:pt idx="4">
                  <c:v>0.47</c:v>
                </c:pt>
                <c:pt idx="5">
                  <c:v>0.36</c:v>
                </c:pt>
                <c:pt idx="6" formatCode="0.00">
                  <c:v>0.35717850817456592</c:v>
                </c:pt>
              </c:numCache>
            </c:numRef>
          </c:val>
          <c:extLst>
            <c:ext xmlns:c16="http://schemas.microsoft.com/office/drawing/2014/chart" uri="{C3380CC4-5D6E-409C-BE32-E72D297353CC}">
              <c16:uniqueId val="{00000000-FB9A-4933-AC77-44BDDFA6BC6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Safety'!$O$20</c:f>
              <c:strCache>
                <c:ptCount val="1"/>
                <c:pt idx="0">
                  <c:v>Lost Time Injury and Illness Rate (LTIIR) 
employees + contractors</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EB91-46CB-A3AD-821085B4151F}"/>
              </c:ext>
            </c:extLst>
          </c:dPt>
          <c:dPt>
            <c:idx val="5"/>
            <c:invertIfNegative val="0"/>
            <c:bubble3D val="0"/>
            <c:spPr>
              <a:solidFill>
                <a:srgbClr val="1E22AA"/>
              </a:solidFill>
              <a:ln>
                <a:noFill/>
              </a:ln>
              <a:effectLst/>
            </c:spPr>
            <c:extLst>
              <c:ext xmlns:c16="http://schemas.microsoft.com/office/drawing/2014/chart" uri="{C3380CC4-5D6E-409C-BE32-E72D297353CC}">
                <c16:uniqueId val="{00000002-6258-4332-AF79-3B0ACC3F79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Safety'!$P$20:$V$20</c:f>
              <c:numCache>
                <c:formatCode>General</c:formatCode>
                <c:ptCount val="7"/>
                <c:pt idx="0">
                  <c:v>0.56000000000000005</c:v>
                </c:pt>
                <c:pt idx="1">
                  <c:v>0.34</c:v>
                </c:pt>
                <c:pt idx="2">
                  <c:v>0.28000000000000003</c:v>
                </c:pt>
                <c:pt idx="3" formatCode="0.00">
                  <c:v>0.3</c:v>
                </c:pt>
                <c:pt idx="4">
                  <c:v>0.24</c:v>
                </c:pt>
                <c:pt idx="5">
                  <c:v>0.17</c:v>
                </c:pt>
                <c:pt idx="6" formatCode="0.00">
                  <c:v>0.17008500389265047</c:v>
                </c:pt>
              </c:numCache>
            </c:numRef>
          </c:val>
          <c:extLst>
            <c:ext xmlns:c16="http://schemas.microsoft.com/office/drawing/2014/chart" uri="{C3380CC4-5D6E-409C-BE32-E72D297353CC}">
              <c16:uniqueId val="{00000000-E8D7-45DE-B5DC-52F6186D339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 of</a:t>
            </a:r>
            <a:r>
              <a:rPr lang="en-GB" b="1" baseline="0"/>
              <a:t> </a:t>
            </a:r>
            <a:r>
              <a:rPr lang="en-GB" b="1"/>
              <a:t>Speak Up reports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'Ethics and Compliance'!$T$15:$Y$15</c:f>
              <c:strCache>
                <c:ptCount val="6"/>
                <c:pt idx="0">
                  <c:v>2019/20</c:v>
                </c:pt>
                <c:pt idx="1">
                  <c:v>2020/21</c:v>
                </c:pt>
                <c:pt idx="2">
                  <c:v>2021/22</c:v>
                </c:pt>
                <c:pt idx="3">
                  <c:v>2022/23</c:v>
                </c:pt>
                <c:pt idx="4">
                  <c:v>2023/24</c:v>
                </c:pt>
                <c:pt idx="5">
                  <c:v>2024/25</c:v>
                </c:pt>
              </c:strCache>
            </c:strRef>
          </c:cat>
          <c:val>
            <c:numRef>
              <c:f>'Ethics and Compliance'!$T$16:$Y$16</c:f>
              <c:numCache>
                <c:formatCode>General</c:formatCode>
                <c:ptCount val="6"/>
                <c:pt idx="0">
                  <c:v>123</c:v>
                </c:pt>
                <c:pt idx="1">
                  <c:v>129</c:v>
                </c:pt>
                <c:pt idx="2">
                  <c:v>158</c:v>
                </c:pt>
                <c:pt idx="3">
                  <c:v>153</c:v>
                </c:pt>
                <c:pt idx="4">
                  <c:v>138</c:v>
                </c:pt>
                <c:pt idx="5">
                  <c:v>147</c:v>
                </c:pt>
              </c:numCache>
            </c:numRef>
          </c:val>
          <c:extLst>
            <c:ext xmlns:c16="http://schemas.microsoft.com/office/drawing/2014/chart" uri="{C3380CC4-5D6E-409C-BE32-E72D297353CC}">
              <c16:uniqueId val="{00000000-5686-457E-AF55-402608ABBE6B}"/>
            </c:ext>
          </c:extLst>
        </c:ser>
        <c:dLbls>
          <c:showLegendKey val="0"/>
          <c:showVal val="0"/>
          <c:showCatName val="0"/>
          <c:showSerName val="0"/>
          <c:showPercent val="0"/>
          <c:showBubbleSize val="0"/>
        </c:dLbls>
        <c:gapWidth val="219"/>
        <c:overlap val="-27"/>
        <c:axId val="397517071"/>
        <c:axId val="440696400"/>
      </c:barChart>
      <c:catAx>
        <c:axId val="39751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696400"/>
        <c:crosses val="autoZero"/>
        <c:auto val="1"/>
        <c:lblAlgn val="ctr"/>
        <c:lblOffset val="100"/>
        <c:noMultiLvlLbl val="0"/>
      </c:catAx>
      <c:valAx>
        <c:axId val="4406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7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Total GHG emissions 2022/23</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04-488E-A68B-A8D167A65B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04-488E-A68B-A8D167A65B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304-488E-A68B-A8D167A65B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04-488E-A68B-A8D167A65B4D}"/>
              </c:ext>
            </c:extLst>
          </c:dPt>
          <c:dLbls>
            <c:dLbl>
              <c:idx val="0"/>
              <c:layout>
                <c:manualLayout>
                  <c:x val="-3.0487580637631892E-2"/>
                  <c:y val="-1.9513849428615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4-488E-A68B-A8D167A65B4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(original)'!$B$36:$B$39</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 (original)'!$N$36:$N$39</c:f>
              <c:numCache>
                <c:formatCode>0.0%</c:formatCode>
                <c:ptCount val="4"/>
                <c:pt idx="0">
                  <c:v>7.0527397611580958E-2</c:v>
                </c:pt>
                <c:pt idx="1">
                  <c:v>3.941613915552334E-2</c:v>
                </c:pt>
                <c:pt idx="2">
                  <c:v>0.75439073105340759</c:v>
                </c:pt>
                <c:pt idx="3">
                  <c:v>0.13566573217948807</c:v>
                </c:pt>
              </c:numCache>
            </c:numRef>
          </c:val>
          <c:extLst>
            <c:ext xmlns:c16="http://schemas.microsoft.com/office/drawing/2014/chart" uri="{C3380CC4-5D6E-409C-BE32-E72D297353CC}">
              <c16:uniqueId val="{00000000-A6DB-4275-82A8-46D782AEB52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chart" Target="../charts/chart1.xml"/><Relationship Id="rId1" Type="http://schemas.openxmlformats.org/officeDocument/2006/relationships/image" Target="../media/image9.png"/><Relationship Id="rId4"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0.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1.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media/image11.png"/><Relationship Id="rId4"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2.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Home!A1"/><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ERM CVS Assured metrics'!Print_Area"/></Relationships>
</file>

<file path=xl/drawings/_rels/drawing2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chart" Target="../charts/chart9.xml"/><Relationship Id="rId5" Type="http://schemas.openxmlformats.org/officeDocument/2006/relationships/chart" Target="../charts/chart10.xml"/><Relationship Id="rId4"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Home!A1"/><Relationship Id="rId4" Type="http://schemas.openxmlformats.org/officeDocument/2006/relationships/image" Target="../media/image18.png"/></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0</xdr:row>
      <xdr:rowOff>40823</xdr:rowOff>
    </xdr:from>
    <xdr:to>
      <xdr:col>15</xdr:col>
      <xdr:colOff>41923</xdr:colOff>
      <xdr:row>37</xdr:row>
      <xdr:rowOff>152400</xdr:rowOff>
    </xdr:to>
    <xdr:pic>
      <xdr:nvPicPr>
        <xdr:cNvPr id="5" name="Picture 4">
          <a:extLst>
            <a:ext uri="{FF2B5EF4-FFF2-40B4-BE49-F238E27FC236}">
              <a16:creationId xmlns:a16="http://schemas.microsoft.com/office/drawing/2014/main" id="{100E7298-950F-6514-69C6-0E77D279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 y="40823"/>
          <a:ext cx="8887927" cy="6807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44449</xdr:colOff>
      <xdr:row>1</xdr:row>
      <xdr:rowOff>6349</xdr:rowOff>
    </xdr:from>
    <xdr:to>
      <xdr:col>4</xdr:col>
      <xdr:colOff>11905</xdr:colOff>
      <xdr:row>2</xdr:row>
      <xdr:rowOff>83342</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6A573B1C-C3BE-4CF3-B0A4-4E65A60C7D54}"/>
            </a:ext>
          </a:extLst>
        </xdr:cNvPr>
        <xdr:cNvSpPr/>
      </xdr:nvSpPr>
      <xdr:spPr>
        <a:xfrm>
          <a:off x="9748043" y="173037"/>
          <a:ext cx="1836737" cy="374649"/>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487570</xdr:colOff>
      <xdr:row>1</xdr:row>
      <xdr:rowOff>137852</xdr:rowOff>
    </xdr:from>
    <xdr:to>
      <xdr:col>13</xdr:col>
      <xdr:colOff>901246</xdr:colOff>
      <xdr:row>2</xdr:row>
      <xdr:rowOff>95249</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3E261B2F-BE81-4A2F-97E3-5FB8DCF7FAEF}"/>
            </a:ext>
          </a:extLst>
        </xdr:cNvPr>
        <xdr:cNvSpPr/>
      </xdr:nvSpPr>
      <xdr:spPr>
        <a:xfrm>
          <a:off x="15659534" y="314745"/>
          <a:ext cx="1475033" cy="50168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1540039</xdr:colOff>
      <xdr:row>2</xdr:row>
      <xdr:rowOff>72837</xdr:rowOff>
    </xdr:from>
    <xdr:to>
      <xdr:col>3</xdr:col>
      <xdr:colOff>1079367</xdr:colOff>
      <xdr:row>19</xdr:row>
      <xdr:rowOff>147796</xdr:rowOff>
    </xdr:to>
    <xdr:pic>
      <xdr:nvPicPr>
        <xdr:cNvPr id="22" name="Picture 5">
          <a:extLst>
            <a:ext uri="{FF2B5EF4-FFF2-40B4-BE49-F238E27FC236}">
              <a16:creationId xmlns:a16="http://schemas.microsoft.com/office/drawing/2014/main" id="{CECFFF37-54D0-16DB-DBBF-CB53E4E79D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2477" y="787212"/>
          <a:ext cx="3492203" cy="3242022"/>
        </a:xfrm>
        <a:prstGeom prst="rect">
          <a:avLst/>
        </a:prstGeom>
      </xdr:spPr>
    </xdr:pic>
    <xdr:clientData/>
  </xdr:twoCellAnchor>
  <xdr:oneCellAnchor>
    <xdr:from>
      <xdr:col>3</xdr:col>
      <xdr:colOff>3247231</xdr:colOff>
      <xdr:row>2</xdr:row>
      <xdr:rowOff>122237</xdr:rowOff>
    </xdr:from>
    <xdr:ext cx="184731" cy="264560"/>
    <xdr:sp macro="" textlink="">
      <xdr:nvSpPr>
        <xdr:cNvPr id="3" name="TextBox 2">
          <a:extLst>
            <a:ext uri="{FF2B5EF4-FFF2-40B4-BE49-F238E27FC236}">
              <a16:creationId xmlns:a16="http://schemas.microsoft.com/office/drawing/2014/main" id="{A36FADBB-1D3D-8496-EEC6-5FF8545577A9}"/>
            </a:ext>
          </a:extLst>
        </xdr:cNvPr>
        <xdr:cNvSpPr txBox="1"/>
      </xdr:nvSpPr>
      <xdr:spPr>
        <a:xfrm>
          <a:off x="7652544" y="8366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3197672</xdr:colOff>
      <xdr:row>3</xdr:row>
      <xdr:rowOff>141584</xdr:rowOff>
    </xdr:to>
    <xdr:pic>
      <xdr:nvPicPr>
        <xdr:cNvPr id="2" name="Picture 1">
          <a:extLst>
            <a:ext uri="{FF2B5EF4-FFF2-40B4-BE49-F238E27FC236}">
              <a16:creationId xmlns:a16="http://schemas.microsoft.com/office/drawing/2014/main" id="{33107C59-79EB-E6E8-594F-7C94AC6A0CAE}"/>
            </a:ext>
          </a:extLst>
        </xdr:cNvPr>
        <xdr:cNvPicPr>
          <a:picLocks noChangeAspect="1"/>
        </xdr:cNvPicPr>
      </xdr:nvPicPr>
      <xdr:blipFill>
        <a:blip xmlns:r="http://schemas.openxmlformats.org/officeDocument/2006/relationships" r:embed="rId1"/>
        <a:stretch>
          <a:fillRect/>
        </a:stretch>
      </xdr:blipFill>
      <xdr:spPr>
        <a:xfrm>
          <a:off x="449036" y="721179"/>
          <a:ext cx="3200847" cy="495369"/>
        </a:xfrm>
        <a:prstGeom prst="rect">
          <a:avLst/>
        </a:prstGeom>
      </xdr:spPr>
    </xdr:pic>
    <xdr:clientData/>
  </xdr:twoCellAnchor>
  <xdr:twoCellAnchor>
    <xdr:from>
      <xdr:col>1</xdr:col>
      <xdr:colOff>63651</xdr:colOff>
      <xdr:row>23</xdr:row>
      <xdr:rowOff>21167</xdr:rowOff>
    </xdr:from>
    <xdr:to>
      <xdr:col>1</xdr:col>
      <xdr:colOff>4677834</xdr:colOff>
      <xdr:row>40</xdr:row>
      <xdr:rowOff>94500</xdr:rowOff>
    </xdr:to>
    <xdr:graphicFrame macro="">
      <xdr:nvGraphicFramePr>
        <xdr:cNvPr id="67" name="Chart 2">
          <a:extLst>
            <a:ext uri="{FF2B5EF4-FFF2-40B4-BE49-F238E27FC236}">
              <a16:creationId xmlns:a16="http://schemas.microsoft.com/office/drawing/2014/main" id="{EE9DA872-98D8-F929-8682-BC012649E5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488157</xdr:colOff>
      <xdr:row>1</xdr:row>
      <xdr:rowOff>285750</xdr:rowOff>
    </xdr:from>
    <xdr:to>
      <xdr:col>6</xdr:col>
      <xdr:colOff>895124</xdr:colOff>
      <xdr:row>2</xdr:row>
      <xdr:rowOff>148545</xdr:rowOff>
    </xdr:to>
    <xdr:sp macro="" textlink="">
      <xdr:nvSpPr>
        <xdr:cNvPr id="8" name="Rectangle: Rounded Corners 2">
          <a:hlinkClick xmlns:r="http://schemas.openxmlformats.org/officeDocument/2006/relationships" r:id="rId3"/>
          <a:extLst>
            <a:ext uri="{FF2B5EF4-FFF2-40B4-BE49-F238E27FC236}">
              <a16:creationId xmlns:a16="http://schemas.microsoft.com/office/drawing/2014/main" id="{8A53B764-0E0A-4120-B258-DF0459C00E36}"/>
            </a:ext>
          </a:extLst>
        </xdr:cNvPr>
        <xdr:cNvSpPr/>
      </xdr:nvSpPr>
      <xdr:spPr>
        <a:xfrm>
          <a:off x="8893970" y="452438"/>
          <a:ext cx="1299935" cy="410482"/>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xdr:from>
      <xdr:col>1</xdr:col>
      <xdr:colOff>5506243</xdr:colOff>
      <xdr:row>23</xdr:row>
      <xdr:rowOff>62705</xdr:rowOff>
    </xdr:from>
    <xdr:to>
      <xdr:col>6</xdr:col>
      <xdr:colOff>771639</xdr:colOff>
      <xdr:row>40</xdr:row>
      <xdr:rowOff>132863</xdr:rowOff>
    </xdr:to>
    <xdr:graphicFrame macro="">
      <xdr:nvGraphicFramePr>
        <xdr:cNvPr id="28" name="Chart 4">
          <a:extLst>
            <a:ext uri="{FF2B5EF4-FFF2-40B4-BE49-F238E27FC236}">
              <a16:creationId xmlns:a16="http://schemas.microsoft.com/office/drawing/2014/main" id="{0210A81E-56A7-4425-BF2C-301B7396F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66222</xdr:colOff>
      <xdr:row>1</xdr:row>
      <xdr:rowOff>464911</xdr:rowOff>
    </xdr:from>
    <xdr:to>
      <xdr:col>10</xdr:col>
      <xdr:colOff>1362982</xdr:colOff>
      <xdr:row>2</xdr:row>
      <xdr:rowOff>191861</xdr:rowOff>
    </xdr:to>
    <xdr:sp macro="" textlink="">
      <xdr:nvSpPr>
        <xdr:cNvPr id="9" name="Rectangle: Rounded Corners 2">
          <a:hlinkClick xmlns:r="http://schemas.openxmlformats.org/officeDocument/2006/relationships" r:id="rId1"/>
          <a:extLst>
            <a:ext uri="{FF2B5EF4-FFF2-40B4-BE49-F238E27FC236}">
              <a16:creationId xmlns:a16="http://schemas.microsoft.com/office/drawing/2014/main" id="{093B8847-9CDF-4EED-9F94-0DD9DAA73B5E}"/>
            </a:ext>
          </a:extLst>
        </xdr:cNvPr>
        <xdr:cNvSpPr/>
      </xdr:nvSpPr>
      <xdr:spPr>
        <a:xfrm>
          <a:off x="21633543" y="641804"/>
          <a:ext cx="1296760" cy="407307"/>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1198880</xdr:colOff>
      <xdr:row>0</xdr:row>
      <xdr:rowOff>105135</xdr:rowOff>
    </xdr:from>
    <xdr:to>
      <xdr:col>1</xdr:col>
      <xdr:colOff>2363470</xdr:colOff>
      <xdr:row>2</xdr:row>
      <xdr:rowOff>305435</xdr:rowOff>
    </xdr:to>
    <xdr:pic>
      <xdr:nvPicPr>
        <xdr:cNvPr id="2" name="Picture 1">
          <a:extLst>
            <a:ext uri="{FF2B5EF4-FFF2-40B4-BE49-F238E27FC236}">
              <a16:creationId xmlns:a16="http://schemas.microsoft.com/office/drawing/2014/main" id="{E29B2D67-C84F-675B-7635-AE9909896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4005" y="105135"/>
          <a:ext cx="1164590" cy="10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446312</xdr:colOff>
      <xdr:row>34</xdr:row>
      <xdr:rowOff>48606</xdr:rowOff>
    </xdr:from>
    <xdr:to>
      <xdr:col>20</xdr:col>
      <xdr:colOff>407306</xdr:colOff>
      <xdr:row>49</xdr:row>
      <xdr:rowOff>234950</xdr:rowOff>
    </xdr:to>
    <xdr:graphicFrame macro="">
      <xdr:nvGraphicFramePr>
        <xdr:cNvPr id="5" name="Chart 2">
          <a:extLst>
            <a:ext uri="{FF2B5EF4-FFF2-40B4-BE49-F238E27FC236}">
              <a16:creationId xmlns:a16="http://schemas.microsoft.com/office/drawing/2014/main" id="{C1C3E0CC-068F-0D5E-FAF3-157C7D7BDC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914400</xdr:colOff>
      <xdr:row>1</xdr:row>
      <xdr:rowOff>190500</xdr:rowOff>
    </xdr:from>
    <xdr:ext cx="3137590" cy="264560"/>
    <xdr:sp macro="" textlink="">
      <xdr:nvSpPr>
        <xdr:cNvPr id="2" name="TextBox 1">
          <a:extLst>
            <a:ext uri="{FF2B5EF4-FFF2-40B4-BE49-F238E27FC236}">
              <a16:creationId xmlns:a16="http://schemas.microsoft.com/office/drawing/2014/main" id="{AF340EC5-CA7B-478F-8D3E-5D7FA844E006}"/>
            </a:ext>
          </a:extLst>
        </xdr:cNvPr>
        <xdr:cNvSpPr txBox="1"/>
      </xdr:nvSpPr>
      <xdr:spPr>
        <a:xfrm>
          <a:off x="6410325" y="371475"/>
          <a:ext cx="3137590" cy="26456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Owner</a:t>
          </a:r>
          <a:r>
            <a:rPr lang="en-GB" sz="1100" baseline="0"/>
            <a:t> - Tony Malone, Georgina Baker, Louise Todd</a:t>
          </a:r>
          <a:endParaRPr lang="en-GB" sz="1100"/>
        </a:p>
      </xdr:txBody>
    </xdr:sp>
    <xdr:clientData/>
  </xdr:oneCellAnchor>
  <xdr:twoCellAnchor>
    <xdr:from>
      <xdr:col>1</xdr:col>
      <xdr:colOff>436462</xdr:colOff>
      <xdr:row>3</xdr:row>
      <xdr:rowOff>1781857</xdr:rowOff>
    </xdr:from>
    <xdr:to>
      <xdr:col>3</xdr:col>
      <xdr:colOff>924949</xdr:colOff>
      <xdr:row>5</xdr:row>
      <xdr:rowOff>62595</xdr:rowOff>
    </xdr:to>
    <xdr:sp macro="" textlink="">
      <xdr:nvSpPr>
        <xdr:cNvPr id="3" name="TextBox 2">
          <a:extLst>
            <a:ext uri="{FF2B5EF4-FFF2-40B4-BE49-F238E27FC236}">
              <a16:creationId xmlns:a16="http://schemas.microsoft.com/office/drawing/2014/main" id="{8140C983-3BFC-9976-1E85-D5C41D83C3EF}"/>
            </a:ext>
          </a:extLst>
        </xdr:cNvPr>
        <xdr:cNvSpPr txBox="1"/>
      </xdr:nvSpPr>
      <xdr:spPr>
        <a:xfrm rot="21047830">
          <a:off x="1463045" y="2713190"/>
          <a:ext cx="13505987" cy="7889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a:t>DO NOT USE THESE NUMBERS</a:t>
          </a:r>
          <a:r>
            <a:rPr lang="en-GB" sz="2800" baseline="0"/>
            <a:t> IN THE ARA - HIDE TAB - FOR INTERNAL PURPOSES ONLY!!!</a:t>
          </a:r>
          <a:endParaRPr lang="en-GB" sz="28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297656</xdr:colOff>
      <xdr:row>1</xdr:row>
      <xdr:rowOff>7027</xdr:rowOff>
    </xdr:from>
    <xdr:to>
      <xdr:col>12</xdr:col>
      <xdr:colOff>979353</xdr:colOff>
      <xdr:row>1</xdr:row>
      <xdr:rowOff>312736</xdr:rowOff>
    </xdr:to>
    <xdr:sp macro="" textlink="">
      <xdr:nvSpPr>
        <xdr:cNvPr id="6" name="Rectangle: Rounded Corners 2">
          <a:hlinkClick xmlns:r="http://schemas.openxmlformats.org/officeDocument/2006/relationships" r:id="rId1"/>
          <a:extLst>
            <a:ext uri="{FF2B5EF4-FFF2-40B4-BE49-F238E27FC236}">
              <a16:creationId xmlns:a16="http://schemas.microsoft.com/office/drawing/2014/main" id="{2F63B64C-E4D2-40C0-BA52-9AAFED5E83BF}"/>
            </a:ext>
          </a:extLst>
        </xdr:cNvPr>
        <xdr:cNvSpPr/>
      </xdr:nvSpPr>
      <xdr:spPr>
        <a:xfrm>
          <a:off x="16883062" y="173715"/>
          <a:ext cx="681697" cy="305709"/>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1308350</xdr:colOff>
      <xdr:row>0</xdr:row>
      <xdr:rowOff>388847</xdr:rowOff>
    </xdr:from>
    <xdr:to>
      <xdr:col>1</xdr:col>
      <xdr:colOff>2445225</xdr:colOff>
      <xdr:row>2</xdr:row>
      <xdr:rowOff>88560</xdr:rowOff>
    </xdr:to>
    <xdr:pic>
      <xdr:nvPicPr>
        <xdr:cNvPr id="2" name="Picture 1">
          <a:extLst>
            <a:ext uri="{FF2B5EF4-FFF2-40B4-BE49-F238E27FC236}">
              <a16:creationId xmlns:a16="http://schemas.microsoft.com/office/drawing/2014/main" id="{CE4D3046-5E37-4196-91B8-36F5C6E016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4279" y="388847"/>
          <a:ext cx="1133700" cy="1051809"/>
        </a:xfrm>
        <a:prstGeom prst="rect">
          <a:avLst/>
        </a:prstGeom>
      </xdr:spPr>
    </xdr:pic>
    <xdr:clientData/>
  </xdr:twoCellAnchor>
  <xdr:twoCellAnchor>
    <xdr:from>
      <xdr:col>19</xdr:col>
      <xdr:colOff>114300</xdr:colOff>
      <xdr:row>12</xdr:row>
      <xdr:rowOff>6562</xdr:rowOff>
    </xdr:from>
    <xdr:to>
      <xdr:col>27</xdr:col>
      <xdr:colOff>63500</xdr:colOff>
      <xdr:row>42</xdr:row>
      <xdr:rowOff>152400</xdr:rowOff>
    </xdr:to>
    <xdr:graphicFrame macro="">
      <xdr:nvGraphicFramePr>
        <xdr:cNvPr id="3" name="Chart 4">
          <a:extLst>
            <a:ext uri="{FF2B5EF4-FFF2-40B4-BE49-F238E27FC236}">
              <a16:creationId xmlns:a16="http://schemas.microsoft.com/office/drawing/2014/main" id="{DA298B5C-A7E4-F844-76BA-36D2D24A4552}"/>
            </a:ext>
            <a:ext uri="{147F2762-F138-4A5C-976F-8EAC2B608ADB}">
              <a16:predDERef xmlns:a16="http://schemas.microsoft.com/office/drawing/2014/main" pred="{CE4D3046-5E37-4196-91B8-36F5C6E016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688975</xdr:colOff>
      <xdr:row>37</xdr:row>
      <xdr:rowOff>44451</xdr:rowOff>
    </xdr:from>
    <xdr:to>
      <xdr:col>24</xdr:col>
      <xdr:colOff>176212</xdr:colOff>
      <xdr:row>54</xdr:row>
      <xdr:rowOff>73026</xdr:rowOff>
    </xdr:to>
    <xdr:graphicFrame macro="">
      <xdr:nvGraphicFramePr>
        <xdr:cNvPr id="52" name="Chart 2">
          <a:extLst>
            <a:ext uri="{FF2B5EF4-FFF2-40B4-BE49-F238E27FC236}">
              <a16:creationId xmlns:a16="http://schemas.microsoft.com/office/drawing/2014/main" id="{AFA120A1-9F7D-1A42-F4C5-C17BC41342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648154</xdr:colOff>
      <xdr:row>3</xdr:row>
      <xdr:rowOff>154782</xdr:rowOff>
    </xdr:from>
    <xdr:to>
      <xdr:col>24</xdr:col>
      <xdr:colOff>209550</xdr:colOff>
      <xdr:row>19</xdr:row>
      <xdr:rowOff>111579</xdr:rowOff>
    </xdr:to>
    <xdr:graphicFrame macro="">
      <xdr:nvGraphicFramePr>
        <xdr:cNvPr id="50" name="Chart 3">
          <a:extLst>
            <a:ext uri="{FF2B5EF4-FFF2-40B4-BE49-F238E27FC236}">
              <a16:creationId xmlns:a16="http://schemas.microsoft.com/office/drawing/2014/main" id="{EA97AE52-2D1D-463E-BA15-03F501890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669812</xdr:colOff>
      <xdr:row>19</xdr:row>
      <xdr:rowOff>371359</xdr:rowOff>
    </xdr:from>
    <xdr:to>
      <xdr:col>24</xdr:col>
      <xdr:colOff>185738</xdr:colOff>
      <xdr:row>35</xdr:row>
      <xdr:rowOff>126656</xdr:rowOff>
    </xdr:to>
    <xdr:graphicFrame macro="">
      <xdr:nvGraphicFramePr>
        <xdr:cNvPr id="47" name="Chart 4">
          <a:extLst>
            <a:ext uri="{FF2B5EF4-FFF2-40B4-BE49-F238E27FC236}">
              <a16:creationId xmlns:a16="http://schemas.microsoft.com/office/drawing/2014/main" id="{94A6C88C-C0EF-484F-ACAE-4D9CA5F70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64680</xdr:colOff>
      <xdr:row>1</xdr:row>
      <xdr:rowOff>253002</xdr:rowOff>
    </xdr:from>
    <xdr:to>
      <xdr:col>18</xdr:col>
      <xdr:colOff>771436</xdr:colOff>
      <xdr:row>1</xdr:row>
      <xdr:rowOff>557803</xdr:rowOff>
    </xdr:to>
    <xdr:sp macro="" textlink="">
      <xdr:nvSpPr>
        <xdr:cNvPr id="2" name="Rectangle: Rounded Corners 6">
          <a:hlinkClick xmlns:r="http://schemas.openxmlformats.org/officeDocument/2006/relationships" r:id="rId4"/>
          <a:extLst>
            <a:ext uri="{FF2B5EF4-FFF2-40B4-BE49-F238E27FC236}">
              <a16:creationId xmlns:a16="http://schemas.microsoft.com/office/drawing/2014/main" id="{118A3D8D-AA14-475A-8441-348DA23A9874}"/>
            </a:ext>
          </a:extLst>
        </xdr:cNvPr>
        <xdr:cNvSpPr/>
      </xdr:nvSpPr>
      <xdr:spPr>
        <a:xfrm>
          <a:off x="21670555" y="411752"/>
          <a:ext cx="70675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2796858</xdr:colOff>
      <xdr:row>0</xdr:row>
      <xdr:rowOff>109061</xdr:rowOff>
    </xdr:from>
    <xdr:to>
      <xdr:col>1</xdr:col>
      <xdr:colOff>3936908</xdr:colOff>
      <xdr:row>3</xdr:row>
      <xdr:rowOff>30231</xdr:rowOff>
    </xdr:to>
    <xdr:pic>
      <xdr:nvPicPr>
        <xdr:cNvPr id="3" name="Picture 2">
          <a:extLst>
            <a:ext uri="{FF2B5EF4-FFF2-40B4-BE49-F238E27FC236}">
              <a16:creationId xmlns:a16="http://schemas.microsoft.com/office/drawing/2014/main" id="{61121C86-20A4-4F38-82A3-C1D0578587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63546" y="109061"/>
          <a:ext cx="1133700" cy="10284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16033</xdr:colOff>
      <xdr:row>1</xdr:row>
      <xdr:rowOff>160497</xdr:rowOff>
    </xdr:from>
    <xdr:to>
      <xdr:col>8</xdr:col>
      <xdr:colOff>1174750</xdr:colOff>
      <xdr:row>1</xdr:row>
      <xdr:rowOff>508000</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C73CE76F-9381-4711-A3B7-9A56AB2B6933}"/>
            </a:ext>
          </a:extLst>
        </xdr:cNvPr>
        <xdr:cNvSpPr/>
      </xdr:nvSpPr>
      <xdr:spPr>
        <a:xfrm>
          <a:off x="18621533" y="335122"/>
          <a:ext cx="1158717" cy="347503"/>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3472021</xdr:colOff>
      <xdr:row>0</xdr:row>
      <xdr:rowOff>0</xdr:rowOff>
    </xdr:from>
    <xdr:to>
      <xdr:col>1</xdr:col>
      <xdr:colOff>4527253</xdr:colOff>
      <xdr:row>2</xdr:row>
      <xdr:rowOff>239442</xdr:rowOff>
    </xdr:to>
    <xdr:pic>
      <xdr:nvPicPr>
        <xdr:cNvPr id="5" name="Picture 1">
          <a:extLst>
            <a:ext uri="{FF2B5EF4-FFF2-40B4-BE49-F238E27FC236}">
              <a16:creationId xmlns:a16="http://schemas.microsoft.com/office/drawing/2014/main" id="{C9852A7D-E347-48B8-B993-84495520A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1146" y="0"/>
          <a:ext cx="1055232" cy="1046345"/>
        </a:xfrm>
        <a:prstGeom prst="rect">
          <a:avLst/>
        </a:prstGeom>
      </xdr:spPr>
    </xdr:pic>
    <xdr:clientData/>
  </xdr:twoCellAnchor>
  <xdr:twoCellAnchor>
    <xdr:from>
      <xdr:col>1</xdr:col>
      <xdr:colOff>225425</xdr:colOff>
      <xdr:row>40</xdr:row>
      <xdr:rowOff>107383</xdr:rowOff>
    </xdr:from>
    <xdr:to>
      <xdr:col>2</xdr:col>
      <xdr:colOff>543379</xdr:colOff>
      <xdr:row>60</xdr:row>
      <xdr:rowOff>87880</xdr:rowOff>
    </xdr:to>
    <xdr:graphicFrame macro="">
      <xdr:nvGraphicFramePr>
        <xdr:cNvPr id="4" name="Chart 2">
          <a:extLst>
            <a:ext uri="{FF2B5EF4-FFF2-40B4-BE49-F238E27FC236}">
              <a16:creationId xmlns:a16="http://schemas.microsoft.com/office/drawing/2014/main" id="{D23C5DCA-4E8C-DA28-C0B9-538BF2EFC3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10267</xdr:colOff>
      <xdr:row>16</xdr:row>
      <xdr:rowOff>156368</xdr:rowOff>
    </xdr:from>
    <xdr:to>
      <xdr:col>3</xdr:col>
      <xdr:colOff>11907</xdr:colOff>
      <xdr:row>28</xdr:row>
      <xdr:rowOff>83874</xdr:rowOff>
    </xdr:to>
    <xdr:pic>
      <xdr:nvPicPr>
        <xdr:cNvPr id="9" name="Picture 2">
          <a:extLst>
            <a:ext uri="{FF2B5EF4-FFF2-40B4-BE49-F238E27FC236}">
              <a16:creationId xmlns:a16="http://schemas.microsoft.com/office/drawing/2014/main" id="{C66B3D88-F7AB-D2DE-62C7-F7ABB5C972C1}"/>
            </a:ext>
          </a:extLst>
        </xdr:cNvPr>
        <xdr:cNvPicPr>
          <a:picLocks noChangeAspect="1"/>
        </xdr:cNvPicPr>
      </xdr:nvPicPr>
      <xdr:blipFill>
        <a:blip xmlns:r="http://schemas.openxmlformats.org/officeDocument/2006/relationships" r:embed="rId1"/>
        <a:stretch>
          <a:fillRect/>
        </a:stretch>
      </xdr:blipFill>
      <xdr:spPr>
        <a:xfrm>
          <a:off x="188861" y="3668712"/>
          <a:ext cx="5534871" cy="1924581"/>
        </a:xfrm>
        <a:prstGeom prst="rect">
          <a:avLst/>
        </a:prstGeom>
      </xdr:spPr>
    </xdr:pic>
    <xdr:clientData/>
  </xdr:twoCellAnchor>
  <xdr:twoCellAnchor>
    <xdr:from>
      <xdr:col>10</xdr:col>
      <xdr:colOff>23813</xdr:colOff>
      <xdr:row>1</xdr:row>
      <xdr:rowOff>299243</xdr:rowOff>
    </xdr:from>
    <xdr:to>
      <xdr:col>10</xdr:col>
      <xdr:colOff>1024733</xdr:colOff>
      <xdr:row>1</xdr:row>
      <xdr:rowOff>604044</xdr:rowOff>
    </xdr:to>
    <xdr:sp macro="" textlink="">
      <xdr:nvSpPr>
        <xdr:cNvPr id="5" name="Rectangle: Rounded Corners 3">
          <a:hlinkClick xmlns:r="http://schemas.openxmlformats.org/officeDocument/2006/relationships" r:id="rId2"/>
          <a:extLst>
            <a:ext uri="{FF2B5EF4-FFF2-40B4-BE49-F238E27FC236}">
              <a16:creationId xmlns:a16="http://schemas.microsoft.com/office/drawing/2014/main" id="{44F536BB-F50C-4C0E-BBF6-2C97D7936A72}"/>
            </a:ext>
          </a:extLst>
        </xdr:cNvPr>
        <xdr:cNvSpPr/>
      </xdr:nvSpPr>
      <xdr:spPr>
        <a:xfrm>
          <a:off x="12930188" y="465931"/>
          <a:ext cx="1000920"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2</xdr:col>
      <xdr:colOff>642936</xdr:colOff>
      <xdr:row>0</xdr:row>
      <xdr:rowOff>83343</xdr:rowOff>
    </xdr:from>
    <xdr:to>
      <xdr:col>2</xdr:col>
      <xdr:colOff>1779811</xdr:colOff>
      <xdr:row>2</xdr:row>
      <xdr:rowOff>311694</xdr:rowOff>
    </xdr:to>
    <xdr:pic>
      <xdr:nvPicPr>
        <xdr:cNvPr id="3" name="Picture 2">
          <a:extLst>
            <a:ext uri="{FF2B5EF4-FFF2-40B4-BE49-F238E27FC236}">
              <a16:creationId xmlns:a16="http://schemas.microsoft.com/office/drawing/2014/main" id="{414B5338-83AE-4C7D-B91D-CA5CC329A3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67124" y="83343"/>
          <a:ext cx="1140050" cy="102845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208756</xdr:colOff>
      <xdr:row>1</xdr:row>
      <xdr:rowOff>149225</xdr:rowOff>
    </xdr:from>
    <xdr:to>
      <xdr:col>14</xdr:col>
      <xdr:colOff>259557</xdr:colOff>
      <xdr:row>1</xdr:row>
      <xdr:rowOff>454026</xdr:rowOff>
    </xdr:to>
    <xdr:sp macro="" textlink="">
      <xdr:nvSpPr>
        <xdr:cNvPr id="4" name="Rectangle: Rounded Corners 2">
          <a:hlinkClick xmlns:r="http://schemas.openxmlformats.org/officeDocument/2006/relationships" r:id="rId1"/>
          <a:extLst>
            <a:ext uri="{FF2B5EF4-FFF2-40B4-BE49-F238E27FC236}">
              <a16:creationId xmlns:a16="http://schemas.microsoft.com/office/drawing/2014/main" id="{F1CDAC9D-CFC4-4576-9B48-9B197D8A1814}"/>
            </a:ext>
          </a:extLst>
        </xdr:cNvPr>
        <xdr:cNvSpPr/>
      </xdr:nvSpPr>
      <xdr:spPr>
        <a:xfrm>
          <a:off x="12210256" y="315913"/>
          <a:ext cx="6699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3324225</xdr:colOff>
      <xdr:row>0</xdr:row>
      <xdr:rowOff>104775</xdr:rowOff>
    </xdr:from>
    <xdr:to>
      <xdr:col>1</xdr:col>
      <xdr:colOff>4292600</xdr:colOff>
      <xdr:row>2</xdr:row>
      <xdr:rowOff>34925</xdr:rowOff>
    </xdr:to>
    <xdr:pic>
      <xdr:nvPicPr>
        <xdr:cNvPr id="2" name="Picture 1">
          <a:extLst>
            <a:ext uri="{FF2B5EF4-FFF2-40B4-BE49-F238E27FC236}">
              <a16:creationId xmlns:a16="http://schemas.microsoft.com/office/drawing/2014/main" id="{38651880-CA6C-9FF5-505F-7B47CD00993A}"/>
            </a:ext>
            <a:ext uri="{147F2762-F138-4A5C-976F-8EAC2B608ADB}">
              <a16:predDERef xmlns:a16="http://schemas.microsoft.com/office/drawing/2014/main" pred="{06FCF078-B7B3-7B5C-ED9E-DD0677DD6C3B}"/>
            </a:ext>
          </a:extLst>
        </xdr:cNvPr>
        <xdr:cNvPicPr>
          <a:picLocks noChangeAspect="1"/>
        </xdr:cNvPicPr>
      </xdr:nvPicPr>
      <xdr:blipFill>
        <a:blip xmlns:r="http://schemas.openxmlformats.org/officeDocument/2006/relationships" r:embed="rId2"/>
        <a:stretch>
          <a:fillRect/>
        </a:stretch>
      </xdr:blipFill>
      <xdr:spPr>
        <a:xfrm>
          <a:off x="3495675" y="104775"/>
          <a:ext cx="968375"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140424</xdr:colOff>
      <xdr:row>17</xdr:row>
      <xdr:rowOff>399263</xdr:rowOff>
    </xdr:from>
    <xdr:to>
      <xdr:col>4</xdr:col>
      <xdr:colOff>247650</xdr:colOff>
      <xdr:row>17</xdr:row>
      <xdr:rowOff>684742</xdr:rowOff>
    </xdr:to>
    <xdr:sp macro="" textlink="">
      <xdr:nvSpPr>
        <xdr:cNvPr id="6" name="TextBox 2">
          <a:hlinkClick xmlns:r="http://schemas.openxmlformats.org/officeDocument/2006/relationships" r:id="rId1"/>
          <a:extLst>
            <a:ext uri="{FF2B5EF4-FFF2-40B4-BE49-F238E27FC236}">
              <a16:creationId xmlns:a16="http://schemas.microsoft.com/office/drawing/2014/main" id="{1F3FFF3B-FBC1-463D-0EA3-59EED240DB8B}"/>
            </a:ext>
          </a:extLst>
        </xdr:cNvPr>
        <xdr:cNvSpPr txBox="1"/>
      </xdr:nvSpPr>
      <xdr:spPr>
        <a:xfrm>
          <a:off x="549999" y="7123913"/>
          <a:ext cx="2993301" cy="285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ERM CVS Limited</a:t>
          </a:r>
          <a:r>
            <a:rPr lang="en-GB" sz="1050" baseline="0"/>
            <a:t> assured selected metrics</a:t>
          </a:r>
          <a:endParaRPr lang="en-GB" sz="10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208756</xdr:colOff>
      <xdr:row>1</xdr:row>
      <xdr:rowOff>149225</xdr:rowOff>
    </xdr:from>
    <xdr:to>
      <xdr:col>13</xdr:col>
      <xdr:colOff>259557</xdr:colOff>
      <xdr:row>1</xdr:row>
      <xdr:rowOff>454026</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17927737-994B-4D51-B08C-1454D57B233C}"/>
            </a:ext>
          </a:extLst>
        </xdr:cNvPr>
        <xdr:cNvSpPr/>
      </xdr:nvSpPr>
      <xdr:spPr>
        <a:xfrm>
          <a:off x="12334081" y="320675"/>
          <a:ext cx="666751"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3097530</xdr:colOff>
      <xdr:row>0</xdr:row>
      <xdr:rowOff>59531</xdr:rowOff>
    </xdr:from>
    <xdr:to>
      <xdr:col>1</xdr:col>
      <xdr:colOff>4584436</xdr:colOff>
      <xdr:row>2</xdr:row>
      <xdr:rowOff>183092</xdr:rowOff>
    </xdr:to>
    <xdr:pic>
      <xdr:nvPicPr>
        <xdr:cNvPr id="4" name="Picture 3">
          <a:extLst>
            <a:ext uri="{FF2B5EF4-FFF2-40B4-BE49-F238E27FC236}">
              <a16:creationId xmlns:a16="http://schemas.microsoft.com/office/drawing/2014/main" id="{E36A1C0E-3E85-43CE-83AF-6520F8377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66863" y="59531"/>
          <a:ext cx="1480556" cy="119988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9028113</xdr:colOff>
      <xdr:row>1</xdr:row>
      <xdr:rowOff>150019</xdr:rowOff>
    </xdr:from>
    <xdr:to>
      <xdr:col>2</xdr:col>
      <xdr:colOff>9726613</xdr:colOff>
      <xdr:row>1</xdr:row>
      <xdr:rowOff>450057</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67E85A77-278C-4EE6-8DB3-D2D849D8ACE9}"/>
            </a:ext>
          </a:extLst>
        </xdr:cNvPr>
        <xdr:cNvSpPr/>
      </xdr:nvSpPr>
      <xdr:spPr>
        <a:xfrm>
          <a:off x="14362113" y="316707"/>
          <a:ext cx="698500" cy="300038"/>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497228</xdr:colOff>
      <xdr:row>24</xdr:row>
      <xdr:rowOff>1929</xdr:rowOff>
    </xdr:from>
    <xdr:to>
      <xdr:col>14</xdr:col>
      <xdr:colOff>544286</xdr:colOff>
      <xdr:row>44</xdr:row>
      <xdr:rowOff>191181</xdr:rowOff>
    </xdr:to>
    <xdr:graphicFrame macro="">
      <xdr:nvGraphicFramePr>
        <xdr:cNvPr id="98" name="Chart 2">
          <a:extLst>
            <a:ext uri="{FF2B5EF4-FFF2-40B4-BE49-F238E27FC236}">
              <a16:creationId xmlns:a16="http://schemas.microsoft.com/office/drawing/2014/main" id="{EF85B7F5-FAA5-CA79-6E34-3EEE753361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122919</xdr:colOff>
      <xdr:row>4</xdr:row>
      <xdr:rowOff>151361</xdr:rowOff>
    </xdr:from>
    <xdr:to>
      <xdr:col>1</xdr:col>
      <xdr:colOff>93014</xdr:colOff>
      <xdr:row>10</xdr:row>
      <xdr:rowOff>37711</xdr:rowOff>
    </xdr:to>
    <xdr:pic>
      <xdr:nvPicPr>
        <xdr:cNvPr id="50" name="Picture 7">
          <a:extLst>
            <a:ext uri="{FF2B5EF4-FFF2-40B4-BE49-F238E27FC236}">
              <a16:creationId xmlns:a16="http://schemas.microsoft.com/office/drawing/2014/main" id="{041C861C-F3F2-D245-7F43-1EBCB30F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919" y="2951711"/>
          <a:ext cx="1455995" cy="1410350"/>
        </a:xfrm>
        <a:prstGeom prst="rect">
          <a:avLst/>
        </a:prstGeom>
      </xdr:spPr>
    </xdr:pic>
    <xdr:clientData/>
  </xdr:twoCellAnchor>
  <xdr:twoCellAnchor editAs="oneCell">
    <xdr:from>
      <xdr:col>0</xdr:col>
      <xdr:colOff>0</xdr:colOff>
      <xdr:row>43</xdr:row>
      <xdr:rowOff>104775</xdr:rowOff>
    </xdr:from>
    <xdr:to>
      <xdr:col>0</xdr:col>
      <xdr:colOff>1409645</xdr:colOff>
      <xdr:row>49</xdr:row>
      <xdr:rowOff>140350</xdr:rowOff>
    </xdr:to>
    <xdr:pic>
      <xdr:nvPicPr>
        <xdr:cNvPr id="49" name="Picture 9">
          <a:extLst>
            <a:ext uri="{FF2B5EF4-FFF2-40B4-BE49-F238E27FC236}">
              <a16:creationId xmlns:a16="http://schemas.microsoft.com/office/drawing/2014/main" id="{4B56EA8C-A1BB-E78F-F563-DB98323B4B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697325"/>
          <a:ext cx="1457270" cy="1410350"/>
        </a:xfrm>
        <a:prstGeom prst="rect">
          <a:avLst/>
        </a:prstGeom>
      </xdr:spPr>
    </xdr:pic>
    <xdr:clientData/>
  </xdr:twoCellAnchor>
  <xdr:twoCellAnchor>
    <xdr:from>
      <xdr:col>12</xdr:col>
      <xdr:colOff>1825625</xdr:colOff>
      <xdr:row>1</xdr:row>
      <xdr:rowOff>269875</xdr:rowOff>
    </xdr:from>
    <xdr:to>
      <xdr:col>13</xdr:col>
      <xdr:colOff>371476</xdr:colOff>
      <xdr:row>2</xdr:row>
      <xdr:rowOff>130176</xdr:rowOff>
    </xdr:to>
    <xdr:sp macro="" textlink="">
      <xdr:nvSpPr>
        <xdr:cNvPr id="52" name="Rectangle: Rounded Corners 3">
          <a:hlinkClick xmlns:r="http://schemas.openxmlformats.org/officeDocument/2006/relationships" r:id="rId4"/>
          <a:extLst>
            <a:ext uri="{FF2B5EF4-FFF2-40B4-BE49-F238E27FC236}">
              <a16:creationId xmlns:a16="http://schemas.microsoft.com/office/drawing/2014/main" id="{4B65A18E-0926-4173-8FBB-53A05A140924}"/>
            </a:ext>
          </a:extLst>
        </xdr:cNvPr>
        <xdr:cNvSpPr/>
      </xdr:nvSpPr>
      <xdr:spPr>
        <a:xfrm>
          <a:off x="36369625" y="444500"/>
          <a:ext cx="6572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14</xdr:col>
      <xdr:colOff>458107</xdr:colOff>
      <xdr:row>125</xdr:row>
      <xdr:rowOff>137773</xdr:rowOff>
    </xdr:from>
    <xdr:to>
      <xdr:col>20</xdr:col>
      <xdr:colOff>181882</xdr:colOff>
      <xdr:row>138</xdr:row>
      <xdr:rowOff>95933</xdr:rowOff>
    </xdr:to>
    <xdr:graphicFrame macro="">
      <xdr:nvGraphicFramePr>
        <xdr:cNvPr id="104" name="Chart 4">
          <a:extLst>
            <a:ext uri="{FF2B5EF4-FFF2-40B4-BE49-F238E27FC236}">
              <a16:creationId xmlns:a16="http://schemas.microsoft.com/office/drawing/2014/main" id="{48B8429D-BFB1-3EC3-0D5F-13B5B60D8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189080</xdr:colOff>
      <xdr:row>8</xdr:row>
      <xdr:rowOff>57150</xdr:rowOff>
    </xdr:from>
    <xdr:to>
      <xdr:col>27</xdr:col>
      <xdr:colOff>390525</xdr:colOff>
      <xdr:row>30</xdr:row>
      <xdr:rowOff>31297</xdr:rowOff>
    </xdr:to>
    <xdr:graphicFrame macro="">
      <xdr:nvGraphicFramePr>
        <xdr:cNvPr id="9" name="Chart 1">
          <a:extLst>
            <a:ext uri="{FF2B5EF4-FFF2-40B4-BE49-F238E27FC236}">
              <a16:creationId xmlns:a16="http://schemas.microsoft.com/office/drawing/2014/main" id="{50694A66-7234-4753-915B-6DF55400A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162380</xdr:colOff>
      <xdr:row>37</xdr:row>
      <xdr:rowOff>9979</xdr:rowOff>
    </xdr:from>
    <xdr:to>
      <xdr:col>22</xdr:col>
      <xdr:colOff>22680</xdr:colOff>
      <xdr:row>51</xdr:row>
      <xdr:rowOff>31750</xdr:rowOff>
    </xdr:to>
    <xdr:graphicFrame macro="">
      <xdr:nvGraphicFramePr>
        <xdr:cNvPr id="12" name="Chart 2">
          <a:extLst>
            <a:ext uri="{FF2B5EF4-FFF2-40B4-BE49-F238E27FC236}">
              <a16:creationId xmlns:a16="http://schemas.microsoft.com/office/drawing/2014/main" id="{1242BAD5-1AB1-4F48-8169-83AD292F6A1B}"/>
            </a:ext>
            <a:ext uri="{147F2762-F138-4A5C-976F-8EAC2B608ADB}">
              <a16:predDERef xmlns:a16="http://schemas.microsoft.com/office/drawing/2014/main" pred="{F9EEF4F5-F48E-D973-8E1E-1E0EA77E8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131190</xdr:colOff>
      <xdr:row>6</xdr:row>
      <xdr:rowOff>105340</xdr:rowOff>
    </xdr:from>
    <xdr:to>
      <xdr:col>21</xdr:col>
      <xdr:colOff>517524</xdr:colOff>
      <xdr:row>32</xdr:row>
      <xdr:rowOff>130175</xdr:rowOff>
    </xdr:to>
    <xdr:graphicFrame macro="">
      <xdr:nvGraphicFramePr>
        <xdr:cNvPr id="14" name="Chart 3">
          <a:extLst>
            <a:ext uri="{FF2B5EF4-FFF2-40B4-BE49-F238E27FC236}">
              <a16:creationId xmlns:a16="http://schemas.microsoft.com/office/drawing/2014/main" id="{0F409554-BE7A-4029-8667-2746907CE985}"/>
            </a:ext>
            <a:ext uri="{147F2762-F138-4A5C-976F-8EAC2B608ADB}">
              <a16:predDERef xmlns:a16="http://schemas.microsoft.com/office/drawing/2014/main" pred="{C2A215C7-52CD-4BF2-AFB8-DB0DE2792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61491</xdr:colOff>
      <xdr:row>0</xdr:row>
      <xdr:rowOff>124084</xdr:rowOff>
    </xdr:from>
    <xdr:to>
      <xdr:col>1</xdr:col>
      <xdr:colOff>930</xdr:colOff>
      <xdr:row>5</xdr:row>
      <xdr:rowOff>7099</xdr:rowOff>
    </xdr:to>
    <xdr:pic>
      <xdr:nvPicPr>
        <xdr:cNvPr id="5" name="Picture 3">
          <a:extLst>
            <a:ext uri="{FF2B5EF4-FFF2-40B4-BE49-F238E27FC236}">
              <a16:creationId xmlns:a16="http://schemas.microsoft.com/office/drawing/2014/main" id="{B59F77CD-4184-4360-848B-2CB3DD39AC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66" y="120909"/>
          <a:ext cx="1431689" cy="1375265"/>
        </a:xfrm>
        <a:prstGeom prst="rect">
          <a:avLst/>
        </a:prstGeom>
      </xdr:spPr>
    </xdr:pic>
    <xdr:clientData/>
  </xdr:twoCellAnchor>
  <xdr:twoCellAnchor>
    <xdr:from>
      <xdr:col>7</xdr:col>
      <xdr:colOff>571499</xdr:colOff>
      <xdr:row>0</xdr:row>
      <xdr:rowOff>380999</xdr:rowOff>
    </xdr:from>
    <xdr:to>
      <xdr:col>8</xdr:col>
      <xdr:colOff>194583</xdr:colOff>
      <xdr:row>1</xdr:row>
      <xdr:rowOff>247196</xdr:rowOff>
    </xdr:to>
    <xdr:sp macro="" textlink="">
      <xdr:nvSpPr>
        <xdr:cNvPr id="6" name="Rectangle: Rounded Corners 2">
          <a:hlinkClick xmlns:r="http://schemas.openxmlformats.org/officeDocument/2006/relationships" r:id="rId5"/>
          <a:extLst>
            <a:ext uri="{FF2B5EF4-FFF2-40B4-BE49-F238E27FC236}">
              <a16:creationId xmlns:a16="http://schemas.microsoft.com/office/drawing/2014/main" id="{6DC82246-D824-4F62-AE56-27828CC4D2FB}"/>
            </a:ext>
          </a:extLst>
        </xdr:cNvPr>
        <xdr:cNvSpPr/>
      </xdr:nvSpPr>
      <xdr:spPr>
        <a:xfrm>
          <a:off x="15801974" y="380999"/>
          <a:ext cx="664484" cy="29482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1650999</xdr:colOff>
      <xdr:row>1</xdr:row>
      <xdr:rowOff>141604</xdr:rowOff>
    </xdr:from>
    <xdr:to>
      <xdr:col>4</xdr:col>
      <xdr:colOff>2311400</xdr:colOff>
      <xdr:row>2</xdr:row>
      <xdr:rowOff>53975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207EBE5-920E-0251-561B-AABD75B6C442}"/>
            </a:ext>
          </a:extLst>
        </xdr:cNvPr>
        <xdr:cNvSpPr/>
      </xdr:nvSpPr>
      <xdr:spPr>
        <a:xfrm>
          <a:off x="7778749" y="316229"/>
          <a:ext cx="660401" cy="30924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104775</xdr:colOff>
      <xdr:row>1</xdr:row>
      <xdr:rowOff>57150</xdr:rowOff>
    </xdr:from>
    <xdr:to>
      <xdr:col>16</xdr:col>
      <xdr:colOff>311604</xdr:colOff>
      <xdr:row>2</xdr:row>
      <xdr:rowOff>58058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88451C5-4A6E-4825-802B-7B467FBD37DB}"/>
            </a:ext>
          </a:extLst>
        </xdr:cNvPr>
        <xdr:cNvSpPr/>
      </xdr:nvSpPr>
      <xdr:spPr>
        <a:xfrm>
          <a:off x="9248775" y="238125"/>
          <a:ext cx="816429" cy="31523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8</xdr:col>
      <xdr:colOff>523875</xdr:colOff>
      <xdr:row>6</xdr:row>
      <xdr:rowOff>249417</xdr:rowOff>
    </xdr:from>
    <xdr:to>
      <xdr:col>14</xdr:col>
      <xdr:colOff>589785</xdr:colOff>
      <xdr:row>15</xdr:row>
      <xdr:rowOff>74169</xdr:rowOff>
    </xdr:to>
    <xdr:pic>
      <xdr:nvPicPr>
        <xdr:cNvPr id="3" name="Picture 5">
          <a:extLst>
            <a:ext uri="{FF2B5EF4-FFF2-40B4-BE49-F238E27FC236}">
              <a16:creationId xmlns:a16="http://schemas.microsoft.com/office/drawing/2014/main" id="{E20C22E2-A44C-4DDC-93DF-5681E740B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41156" y="1761511"/>
          <a:ext cx="3780660" cy="33609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3" name="Rectangle: Rounded Corners 5">
          <a:hlinkClick xmlns:r="http://schemas.openxmlformats.org/officeDocument/2006/relationships" r:id="rId1"/>
          <a:extLst>
            <a:ext uri="{FF2B5EF4-FFF2-40B4-BE49-F238E27FC236}">
              <a16:creationId xmlns:a16="http://schemas.microsoft.com/office/drawing/2014/main" id="{5EFE1545-ED07-453C-9E8F-E14EA3790AD0}"/>
            </a:ext>
          </a:extLst>
        </xdr:cNvPr>
        <xdr:cNvSpPr/>
      </xdr:nvSpPr>
      <xdr:spPr>
        <a:xfrm>
          <a:off x="18689637" y="318295"/>
          <a:ext cx="7769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2456090</xdr:colOff>
      <xdr:row>1</xdr:row>
      <xdr:rowOff>73478</xdr:rowOff>
    </xdr:from>
    <xdr:to>
      <xdr:col>5</xdr:col>
      <xdr:colOff>3453040</xdr:colOff>
      <xdr:row>2</xdr:row>
      <xdr:rowOff>125638</xdr:rowOff>
    </xdr:to>
    <xdr:sp macro="" textlink="">
      <xdr:nvSpPr>
        <xdr:cNvPr id="4" name="Rectangle: Rounded Corners 5">
          <a:hlinkClick xmlns:r="http://schemas.openxmlformats.org/officeDocument/2006/relationships" r:id="rId1"/>
          <a:extLst>
            <a:ext uri="{FF2B5EF4-FFF2-40B4-BE49-F238E27FC236}">
              <a16:creationId xmlns:a16="http://schemas.microsoft.com/office/drawing/2014/main" id="{A54FF2BD-5C34-4D79-B506-1E8D5B66564D}"/>
            </a:ext>
          </a:extLst>
        </xdr:cNvPr>
        <xdr:cNvSpPr/>
      </xdr:nvSpPr>
      <xdr:spPr>
        <a:xfrm>
          <a:off x="17056554" y="250371"/>
          <a:ext cx="996950" cy="365124"/>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376874</xdr:colOff>
      <xdr:row>1</xdr:row>
      <xdr:rowOff>45562</xdr:rowOff>
    </xdr:from>
    <xdr:to>
      <xdr:col>4</xdr:col>
      <xdr:colOff>1067278</xdr:colOff>
      <xdr:row>2</xdr:row>
      <xdr:rowOff>38895</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C544749C-2D2A-4273-A870-D63017560729}"/>
            </a:ext>
          </a:extLst>
        </xdr:cNvPr>
        <xdr:cNvSpPr/>
      </xdr:nvSpPr>
      <xdr:spPr>
        <a:xfrm>
          <a:off x="12914155" y="212250"/>
          <a:ext cx="690404" cy="302895"/>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2945765</xdr:colOff>
      <xdr:row>1</xdr:row>
      <xdr:rowOff>72390</xdr:rowOff>
    </xdr:from>
    <xdr:to>
      <xdr:col>7</xdr:col>
      <xdr:colOff>3606801</xdr:colOff>
      <xdr:row>2</xdr:row>
      <xdr:rowOff>53976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9694B841-B5A3-410A-B01B-F754DA130206}"/>
            </a:ext>
          </a:extLst>
        </xdr:cNvPr>
        <xdr:cNvSpPr/>
      </xdr:nvSpPr>
      <xdr:spPr>
        <a:xfrm>
          <a:off x="14109065" y="234315"/>
          <a:ext cx="661036" cy="29591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324303</xdr:colOff>
      <xdr:row>1</xdr:row>
      <xdr:rowOff>39916</xdr:rowOff>
    </xdr:from>
    <xdr:to>
      <xdr:col>17</xdr:col>
      <xdr:colOff>723447</xdr:colOff>
      <xdr:row>2</xdr:row>
      <xdr:rowOff>84819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F58B9707-91B2-4539-A5FA-7ABDEF730679}"/>
            </a:ext>
          </a:extLst>
        </xdr:cNvPr>
        <xdr:cNvSpPr/>
      </xdr:nvSpPr>
      <xdr:spPr>
        <a:xfrm>
          <a:off x="16564428" y="214541"/>
          <a:ext cx="2399394" cy="36240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persons/person.xml><?xml version="1.0" encoding="utf-8"?>
<personList xmlns="http://schemas.microsoft.com/office/spreadsheetml/2018/threadedcomments" xmlns:x="http://schemas.openxmlformats.org/spreadsheetml/2006/main">
  <person displayName="Xin Ngfat" id="{F4220FD2-7558-4741-BBAB-9074C7EFAC39}" userId="xin.ngfat@matthey.com" providerId="PeoplePicker"/>
  <person displayName="Julie Bolam" id="{56837F4D-98AE-47A8-BBB8-DF4A5807D6FC}" userId="Julie.Bolam@matthey.com" providerId="PeoplePicker"/>
  <person displayName="Tony Malone" id="{A91117D3-B92D-49E3-BF2C-B525DE5A9950}" userId="Tony.Malone@matthey.com" providerId="PeoplePicker"/>
  <person displayName="Holly Scott" id="{120D46B2-DC5C-45FC-801C-D947D6172F47}" userId="holly.scott@matthey.com" providerId="PeoplePicker"/>
  <person displayName="Trevor Rouse" id="{DB587674-DFC6-40D1-B86F-A160DC484CC7}" userId="Trevor.Rouse@matthey.com" providerId="PeoplePicker"/>
  <person displayName="Victoria Barlow" id="{958ACA67-8A81-4DE0-9E77-085D6A961BE1}" userId="Victoria.BArlow@matthey.com" providerId="PeoplePicker"/>
  <person displayName="Ellen Briggs-Coquio" id="{EDA095FD-F599-4871-90AD-D38C80FC82B8}" userId="Ellen.Briggs-Coquio@matthey.com" providerId="PeoplePicker"/>
  <person displayName="Xin Ngfat" id="{FFB89494-4C8C-4DF8-AB66-EF7261C141A5}" userId="S::xin.ngfat@matthey.com::42310b3c-a146-49d6-9822-712383918215" providerId="AD"/>
  <person displayName="Tony Malone" id="{E1623999-F9A8-4EC8-8D3B-00734938D900}" userId="S::Tony.Malone@matthey.com::9dc78bb7-226d-4a69-b201-0da6dc0f20f6" providerId="AD"/>
  <person displayName="Julie Bolam" id="{492F2C60-448D-4089-9B04-C8158CA34543}" userId="S::julie.bolam@matthey.com::9f012013-4cb9-420f-91f3-903ce311daba" providerId="AD"/>
  <person displayName="Tony Malone" id="{44DF744A-8902-4FBE-BABD-0F0ABEADB985}" userId="S::tony.malone@matthey.com::9dc78bb7-226d-4a69-b201-0da6dc0f20f6" providerId="AD"/>
  <person displayName="Trevor Rouse" id="{C017F7F4-BE32-4D0D-8779-D892A34AC297}" userId="S::trevor.rouse@matthey.com::51e38b27-88af-48ab-ba6d-c0686a6c1e52" providerId="AD"/>
  <person displayName="Victoria Barlow" id="{E8CA4EDD-2D17-4DEE-9F0D-2A16927BA2D7}" userId="S::victoria.barlow@matthey.com::7b7b1888-62ed-49b3-9f77-28fada238780"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JM - External">
      <a:dk1>
        <a:srgbClr val="000000"/>
      </a:dk1>
      <a:lt1>
        <a:srgbClr val="FFFFFF"/>
      </a:lt1>
      <a:dk2>
        <a:srgbClr val="1E22AA"/>
      </a:dk2>
      <a:lt2>
        <a:srgbClr val="575756"/>
      </a:lt2>
      <a:accent1>
        <a:srgbClr val="1E22AA"/>
      </a:accent1>
      <a:accent2>
        <a:srgbClr val="E50076"/>
      </a:accent2>
      <a:accent3>
        <a:srgbClr val="9DD3CB"/>
      </a:accent3>
      <a:accent4>
        <a:srgbClr val="00ACE9"/>
      </a:accent4>
      <a:accent5>
        <a:srgbClr val="6E368C"/>
      </a:accent5>
      <a:accent6>
        <a:srgbClr val="E3E3E3"/>
      </a:accent6>
      <a:hlink>
        <a:srgbClr val="575756"/>
      </a:hlink>
      <a:folHlink>
        <a:srgbClr val="57575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5-05-09T16:20:34.88" personId="{FFB89494-4C8C-4DF8-AB66-EF7261C141A5}" id="{28CD9136-3778-4ED6-8BA8-1625F9C05E17}">
    <text>@Ellen Briggs-Coquio UN SDG data</text>
    <mentions>
      <mention mentionpersonId="{EDA095FD-F599-4871-90AD-D38C80FC82B8}" mentionId="{D3CB6F5E-78AC-4844-886D-6E621E4147CC}" startIndex="0" length="20"/>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H10" dT="2023-04-12T12:27:26.58" personId="{E1623999-F9A8-4EC8-8D3B-00734938D900}" id="{045CEAD6-44D5-4DE1-AE3A-0499C42C9616}">
    <text>Scope 1 value restated due to improbved accuracy in N2O reporting.</text>
  </threadedComment>
  <threadedComment ref="I10" dT="2023-04-12T12:27:36.79" personId="{E1623999-F9A8-4EC8-8D3B-00734938D900}" id="{D8177E34-4D20-4233-952E-063C50A69C81}">
    <text>Scope 1 value restated due to improbved accuracy in N2O reporting.</text>
  </threadedComment>
  <threadedComment ref="J10" dT="2023-04-12T12:27:45.86" personId="{E1623999-F9A8-4EC8-8D3B-00734938D900}" id="{EB1C496A-7E95-46CD-B1C4-2C14A77160C9}">
    <text>Scope 1 value restated due to improbved accuracy in N2O reporting.</text>
  </threadedComment>
  <threadedComment ref="K10" dT="2023-04-12T12:27:58.30" personId="{E1623999-F9A8-4EC8-8D3B-00734938D900}" id="{31588365-2E37-48C3-A341-F195A3CC917D}">
    <text>Scope 1 value restated due to improbved accuracy in N2O reporting.</text>
  </threadedComment>
  <threadedComment ref="L10" dT="2023-04-12T12:28:06.58" personId="{E1623999-F9A8-4EC8-8D3B-00734938D900}" id="{6DE5A362-2CB6-4CAE-918A-B45D7D1B215B}">
    <text>Scope 1 value restated due to improbved accuracy in N2O reporting.</text>
  </threadedComment>
  <threadedComment ref="M10" dT="2023-04-12T12:28:16.35" personId="{E1623999-F9A8-4EC8-8D3B-00734938D900}" id="{66A0C1D0-063F-46BA-B2B7-35584E49DB76}">
    <text>Scope 1 value restated due to improbved accuracy in N2O reporting.</text>
  </threadedComment>
  <threadedComment ref="N10" dT="2023-04-12T12:28:27.27" personId="{E1623999-F9A8-4EC8-8D3B-00734938D900}" id="{7395D06B-4809-436C-8613-C7B8EA4843EA}">
    <text>Scope 1 value restated due to improbved accuracy in N2O reporting.</text>
  </threadedComment>
  <threadedComment ref="H13" dT="2023-04-12T12:28:48.72" personId="{E1623999-F9A8-4EC8-8D3B-00734938D900}" id="{E2DACDBD-2CE9-404F-9CD1-EA1926F7E895}">
    <text>Scope 1 value restated due to improbved accuracy in N2O reporting.</text>
  </threadedComment>
  <threadedComment ref="I13" dT="2023-04-12T12:28:56.19" personId="{E1623999-F9A8-4EC8-8D3B-00734938D900}" id="{5BBA88AF-99A1-4EE5-A219-EE93D2238B34}">
    <text>Scope 1 value restated due to improbved accuracy in N2O reporting.</text>
  </threadedComment>
  <threadedComment ref="J13" dT="2023-04-12T12:29:04.39" personId="{E1623999-F9A8-4EC8-8D3B-00734938D900}" id="{2C43F909-8CE6-44CD-A9BD-F2A9F2136806}">
    <text>Scope 1 value restated due to improbved accuracy in N2O reporting.</text>
  </threadedComment>
  <threadedComment ref="K13" dT="2023-04-12T12:29:12.64" personId="{E1623999-F9A8-4EC8-8D3B-00734938D900}" id="{DCA6DCC2-4F95-4441-8A02-030ECD0194BB}">
    <text>Scope 1 value restated due to improbved accuracy in N2O reporting.</text>
  </threadedComment>
  <threadedComment ref="L13" dT="2023-04-12T12:29:21.44" personId="{E1623999-F9A8-4EC8-8D3B-00734938D900}" id="{E5EF1409-32A3-47D2-95CD-E380E26A28E5}">
    <text>Scope 1 value restated due to improbved accuracy in N2O reporting.</text>
  </threadedComment>
  <threadedComment ref="M13" dT="2023-04-12T12:29:32.19" personId="{E1623999-F9A8-4EC8-8D3B-00734938D900}" id="{B6AECDD5-0693-4415-B7BC-DF4F010AB5EF}">
    <text>Scope 1 value restated due to improbved accuracy in N2O reporting.</text>
  </threadedComment>
  <threadedComment ref="N13" dT="2023-04-12T12:29:41.81" personId="{E1623999-F9A8-4EC8-8D3B-00734938D900}" id="{FD31075B-9724-4D99-9246-CAB9D9771295}">
    <text>Scope 1 value restated due to improbved accuracy in N2O reporting.</text>
  </threadedComment>
  <threadedComment ref="H14" dT="2023-04-12T12:29:51.00" personId="{E1623999-F9A8-4EC8-8D3B-00734938D900}" id="{2D5D4FAA-F4DC-4012-BB10-693DB2B05DC8}">
    <text>Scope 1 value restated due to improbved accuracy in N2O reporting.</text>
  </threadedComment>
  <threadedComment ref="I14" dT="2023-04-12T12:29:59.63" personId="{E1623999-F9A8-4EC8-8D3B-00734938D900}" id="{05FA9193-32F8-40FA-BE15-690D7028CBCC}">
    <text>Scope 1 value restated due to improbved accuracy in N2O reporting.</text>
  </threadedComment>
  <threadedComment ref="J14" dT="2023-04-12T12:30:08.49" personId="{E1623999-F9A8-4EC8-8D3B-00734938D900}" id="{F313A705-16E2-42CA-911B-106A4110655C}">
    <text>Scope 1 value restated due to improbved accuracy in N2O reporting.</text>
  </threadedComment>
  <threadedComment ref="K14" dT="2023-04-12T12:30:15.63" personId="{E1623999-F9A8-4EC8-8D3B-00734938D900}" id="{0218E8B7-C208-4FBE-8BF2-6D8FB15A903F}">
    <text>Scope 1 value restated due to improbved accuracy in N2O reporting.</text>
  </threadedComment>
  <threadedComment ref="L14" dT="2023-04-12T12:30:24.77" personId="{E1623999-F9A8-4EC8-8D3B-00734938D900}" id="{1E44BA25-80ED-4FB3-9E92-571D4DF6C243}">
    <text>Scope 1 value restated due to improbved accuracy in N2O reporting.</text>
  </threadedComment>
  <threadedComment ref="M14" dT="2023-04-12T12:30:32.46" personId="{E1623999-F9A8-4EC8-8D3B-00734938D900}" id="{4B56B321-22A0-41E6-BEBD-72F8A1AB0AB7}">
    <text>Scope 1 value restated due to improbved accuracy in N2O reporting.</text>
  </threadedComment>
  <threadedComment ref="N14" dT="2023-04-12T12:30:40.17" personId="{E1623999-F9A8-4EC8-8D3B-00734938D900}" id="{C8765530-3B60-4CEF-A961-F5F29077E42B}">
    <text>Scope 1 value restated due to improbved accuracy in N2O reporting.</text>
  </threadedComment>
  <threadedComment ref="G100" dT="2022-04-14T12:32:10.40" personId="{E1623999-F9A8-4EC8-8D3B-00734938D900}" id="{56C32388-E193-46ED-9ACA-92FB0958F5BB}">
    <text>Original data was 298,955 kg</text>
  </threadedComment>
  <threadedComment ref="H100" dT="2022-04-14T12:34:15.87" personId="{E1623999-F9A8-4EC8-8D3B-00734938D900}" id="{E99AD1A7-DF42-4DF8-BA52-F02DF784972E}">
    <text>Original value was 301,869</text>
  </threadedComment>
  <threadedComment ref="K120" dT="2022-04-14T09:02:14.77" personId="{E1623999-F9A8-4EC8-8D3B-00734938D900}" id="{1E0FCF4C-9EEA-4D19-B7A5-51AF4D59D8FE}">
    <text>Original value before rstatement was 4107694</text>
  </threadedComment>
  <threadedComment ref="K122" dT="2022-04-14T09:06:39.21" personId="{E1623999-F9A8-4EC8-8D3B-00734938D900}" id="{ABC36D99-FAA2-463C-B701-6B82A6B210FA}">
    <text>Original value before restatement was 1224735</text>
  </threadedComment>
  <threadedComment ref="K125" dT="2022-04-14T09:12:14.27" personId="{E1623999-F9A8-4EC8-8D3B-00734938D900}" id="{07B07872-8C1B-4596-8DAE-D7873EADC94A}">
    <text>Original value before restatement was 615809</text>
  </threadedComment>
  <threadedComment ref="K130" dT="2022-04-14T08:24:52.39" personId="{E1623999-F9A8-4EC8-8D3B-00734938D900}" id="{29719286-53A7-48C2-8938-DF1D49675701}">
    <text>Original value last year of 141026138 changed after energy restatements for renewable energy</text>
  </threadedComment>
  <threadedComment ref="K132" dT="2022-04-14T08:23:52.68" personId="{E1623999-F9A8-4EC8-8D3B-00734938D900}" id="{1A878988-3E19-4FE6-A6B1-9181675A35CC}">
    <text>Original value from last year reported was 340204183 Following restatement has altered</text>
  </threadedComment>
  <threadedComment ref="K135" dT="2022-04-14T08:44:59.84" personId="{E1623999-F9A8-4EC8-8D3B-00734938D900}" id="{3E34FCC1-B6DB-4896-A1B4-C063FABAF873}">
    <text>Original value before correction was 171,057,996</text>
  </threadedComment>
  <threadedComment ref="K137" dT="2022-04-14T09:01:42.53" personId="{E1623999-F9A8-4EC8-8D3B-00734938D900}" id="{E2276F93-69E3-4439-8844-5EA8EE80479C}">
    <text>Original value was 30.9% before restatement of renewable electricity</text>
  </threadedComment>
</ThreadedComments>
</file>

<file path=xl/threadedComments/threadedComment3.xml><?xml version="1.0" encoding="utf-8"?>
<ThreadedComments xmlns="http://schemas.microsoft.com/office/spreadsheetml/2018/threadedcomments" xmlns:x="http://schemas.openxmlformats.org/spreadsheetml/2006/main">
  <threadedComment ref="F58" dT="2023-05-19T13:04:32.47" personId="{FFB89494-4C8C-4DF8-AB66-EF7261C141A5}" id="{D3D927BC-1CDB-4513-B406-DEBDB920A912}">
    <text>@Tony Malone I dunno if you have to replicate this on the "actual" tab now?</text>
    <mentions>
      <mention mentionpersonId="{A91117D3-B92D-49E3-BF2C-B525DE5A9950}" mentionId="{73E61544-9BFC-42F0-9982-F0C1A2405ABC}" startIndex="0" length="12"/>
    </mentions>
  </threadedComment>
  <threadedComment ref="N134" dT="2023-05-19T17:08:59.20" personId="{FFB89494-4C8C-4DF8-AB66-EF7261C141A5}" id="{4E702EDD-0DD4-4CC2-8471-CFD1D7BD8A98}">
    <text>@Tony Malone I've just subtracted and got this number, is it ok? It was zero in 2019/20?</text>
    <mentions>
      <mention mentionpersonId="{A91117D3-B92D-49E3-BF2C-B525DE5A9950}" mentionId="{DFD1E6D3-2606-42B2-BEEE-BE1E159B2FA4}" startIndex="0" length="12"/>
    </mentions>
  </threadedComment>
  <threadedComment ref="N134" dT="2023-05-22T15:19:10.53" personId="{44DF744A-8902-4FBE-BABD-0F0ABEADB985}" id="{D4C5FDC9-18DD-42DA-BC1F-751932AB76BE}" parentId="{4E702EDD-0DD4-4CC2-8471-CFD1D7BD8A98}">
    <text>@Xin Ngfat We were not recording this data at this point so we do not have a number for this indicator</text>
    <mentions>
      <mention mentionpersonId="{F4220FD2-7558-4741-BBAB-9074C7EFAC39}" mentionId="{D35D1A60-0CF8-4C03-B39E-A6510C1D2EBA}" startIndex="0" length="10"/>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B32" dT="2023-04-03T16:01:22.18" personId="{FFB89494-4C8C-4DF8-AB66-EF7261C141A5}" id="{88CFE28E-21D1-4056-9225-B05788A1C467}">
    <text>@Victoria Barlow - for your team to provide numbers once finalised. Thank you.</text>
    <mentions>
      <mention mentionpersonId="{958ACA67-8A81-4DE0-9E77-085D6A961BE1}" mentionId="{8DE731B3-12A2-4412-B751-4724357E6A54}" startIndex="0" length="16"/>
    </mentions>
  </threadedComment>
  <threadedComment ref="D33" dT="2023-04-26T12:57:17.92" personId="{FFB89494-4C8C-4DF8-AB66-EF7261C141A5}" id="{C02B732B-636A-4CEB-815E-3948C14291C4}">
    <text>@Trevor Rouse are these numbers as at 31st March 2023 or avg numbers over the financial year?</text>
    <mentions>
      <mention mentionpersonId="{DB587674-DFC6-40D1-B86F-A160DC484CC7}" mentionId="{8A792534-EE6E-4AA2-9238-5CC7F749CAA1}" startIndex="0" length="13"/>
    </mentions>
  </threadedComment>
  <threadedComment ref="D33" dT="2023-04-26T19:04:46.26" personId="{C017F7F4-BE32-4D0D-8779-D892A34AC297}" id="{B95CE716-357E-4556-8FF1-D28FE699C3FC}" parentId="{C02B732B-636A-4CEB-815E-3948C14291C4}">
    <text>As at 31st March 2023</text>
  </threadedComment>
  <threadedComment ref="C34" dT="2023-04-25T16:05:42.34" personId="{FFB89494-4C8C-4DF8-AB66-EF7261C141A5}" id="{02AD94CE-5BA5-4EDE-8525-A8931064BB55}">
    <text>@Trevor Rouse do you have a definition we can use here? preferably not with GG12+ as that won't mean anything externally</text>
    <mentions>
      <mention mentionpersonId="{DB587674-DFC6-40D1-B86F-A160DC484CC7}" mentionId="{BE4B5041-6781-4C7B-AACA-A1DE96D9C922}" startIndex="0" length="13"/>
    </mentions>
  </threadedComment>
  <threadedComment ref="C34" dT="2023-04-26T19:14:19.66" personId="{C017F7F4-BE32-4D0D-8779-D892A34AC297}" id="{FAD71C8B-32E8-40FF-9C17-A98740DC73F6}" parentId="{02AD94CE-5BA5-4EDE-8525-A8931064BB55}">
    <text>All employees whether they are a People manager or not at a minimum pay grade</text>
  </threadedComment>
  <threadedComment ref="M34" dT="2023-05-12T09:30:12.51" personId="{FFB89494-4C8C-4DF8-AB66-EF7261C141A5}" id="{BEFF355C-3301-4268-899F-0446A980FBF7}">
    <text>@Trevor Rouse please could you just confirm this number for me, make sure you are happy with the split and that this is 28% for 2022/23</text>
    <mentions>
      <mention mentionpersonId="{DB587674-DFC6-40D1-B86F-A160DC484CC7}" mentionId="{DAF17AEE-77B1-4DA5-ABAB-1DD7C90DB0EF}" startIndex="0" length="13"/>
    </mentions>
  </threadedComment>
  <threadedComment ref="M34" dT="2023-05-12T10:01:01.59" personId="{C017F7F4-BE32-4D0D-8779-D892A34AC297}" id="{D318FECB-6124-4784-8710-8FFCEBB0A164}" parentId="{BEFF355C-3301-4268-899F-0446A980FBF7}">
    <text>Yes - happy with the split and the 28%</text>
  </threadedComment>
  <threadedComment ref="B37" dT="2023-04-21T22:16:31.86" personId="{E8CA4EDD-2D17-4DEE-9F0D-2A16927BA2D7}" id="{6E85BAEE-3492-4EDB-A49D-4F4B86EF50CB}">
    <text>VB reviewed and confirmed 21/04/23</text>
  </threadedComment>
  <threadedComment ref="B37" dT="2023-04-27T11:11:39.24" personId="{FFB89494-4C8C-4DF8-AB66-EF7261C141A5}" id="{B4B7D574-9CD5-4C51-BAC2-011B86838721}" parentId="{6E85BAEE-3492-4EDB-A49D-4F4B86EF50CB}">
    <text>@Victoria Barlow thank you, do we have any historical data?</text>
    <mentions>
      <mention mentionpersonId="{958ACA67-8A81-4DE0-9E77-085D6A961BE1}" mentionId="{64E00A25-8E6A-4BA1-8350-AFB036124120}" startIndex="0" length="16"/>
    </mentions>
  </threadedComment>
  <threadedComment ref="B37" dT="2023-05-10T08:21:47.03" personId="{FFB89494-4C8C-4DF8-AB66-EF7261C141A5}" id="{FA9CB1B0-C70D-40CB-8CB3-CD824C556B83}" parentId="{6E85BAEE-3492-4EDB-A49D-4F4B86EF50CB}">
    <text>@Victoria Barlow is there any prior years data available?</text>
    <mentions>
      <mention mentionpersonId="{958ACA67-8A81-4DE0-9E77-085D6A961BE1}" mentionId="{E385FFE5-D557-4F13-A430-DA94CF6F3F2C}" startIndex="0" length="16"/>
    </mentions>
  </threadedComment>
  <threadedComment ref="B37" dT="2023-05-11T19:58:53.11" personId="{FFB89494-4C8C-4DF8-AB66-EF7261C141A5}" id="{BBD7D8A5-45F0-42A0-A0EC-916ADA495480}" parentId="{6E85BAEE-3492-4EDB-A49D-4F4B86EF50CB}">
    <text>@Holly Scott are you able to provide prior year ages?</text>
    <mentions>
      <mention mentionpersonId="{120D46B2-DC5C-45FC-801C-D947D6172F47}" mentionId="{A312E632-2606-48DE-A031-ECD08FF38EEE}" startIndex="0" length="12"/>
    </mentions>
  </threadedComment>
  <threadedComment ref="B37" dT="2023-05-12T23:06:31.18" personId="{E8CA4EDD-2D17-4DEE-9F0D-2A16927BA2D7}" id="{68C95814-9226-4D16-91C1-1AAB5EA0ABE0}" parentId="{6E85BAEE-3492-4EDB-A49D-4F4B86EF50CB}">
    <text>@Xin Ngfat added in</text>
    <mentions>
      <mention mentionpersonId="{F4220FD2-7558-4741-BBAB-9074C7EFAC39}" mentionId="{1E624491-19CC-4E96-9FF8-3F62509CACBA}" startIndex="0" length="10"/>
    </mentions>
  </threadedComment>
  <threadedComment ref="B37" dT="2023-05-18T17:35:25.95" personId="{FFB89494-4C8C-4DF8-AB66-EF7261C141A5}" id="{B28D149F-B327-44D0-8CFC-4C4E7B40A099}" parentId="{6E85BAEE-3492-4EDB-A49D-4F4B86EF50CB}">
    <text>@Victoria Barlow @Holly Scott definitely some numbers in there</text>
    <mentions>
      <mention mentionpersonId="{958ACA67-8A81-4DE0-9E77-085D6A961BE1}" mentionId="{025749E4-1F2F-4582-821C-94EA6C57061E}" startIndex="0" length="16"/>
      <mention mentionpersonId="{120D46B2-DC5C-45FC-801C-D947D6172F47}" mentionId="{D6445537-9B92-4504-931B-AD74E2FBE1B8}" startIndex="17" length="12"/>
    </mentions>
  </threadedComment>
  <threadedComment ref="C47" dT="2023-04-19T17:57:29.28" personId="{FFB89494-4C8C-4DF8-AB66-EF7261C141A5}" id="{001970F9-6B2E-4346-99A5-39219D8D021B}">
    <text>@Trevor Rouse why is this? Age details voluntary?</text>
    <mentions>
      <mention mentionpersonId="{DB587674-DFC6-40D1-B86F-A160DC484CC7}" mentionId="{B5EFF236-7D0C-49D2-A193-1B97666F3982}" startIndex="0" length="13"/>
    </mentions>
  </threadedComment>
  <threadedComment ref="C47" dT="2023-04-19T23:22:50.01" personId="{C017F7F4-BE32-4D0D-8779-D892A34AC297}" id="{B1D22F47-A607-49A1-B930-A1FBB28E6252}" parentId="{001970F9-6B2E-4346-99A5-39219D8D021B}">
    <text>Yes - age details voluntary</text>
  </threadedComment>
  <threadedComment ref="C51" dT="2023-04-26T10:38:57.18" personId="{FFB89494-4C8C-4DF8-AB66-EF7261C141A5}" id="{03841D26-5513-474E-A67B-CF977A8D9E33}">
    <text>@Trevor Rouse</text>
    <mentions>
      <mention mentionpersonId="{DB587674-DFC6-40D1-B86F-A160DC484CC7}" mentionId="{BD9E69CA-0901-4F8F-AB0D-7A41FC63275E}" startIndex="0" length="13"/>
    </mentions>
  </threadedComment>
  <threadedComment ref="C51" dT="2023-04-26T19:03:11.05" personId="{C017F7F4-BE32-4D0D-8779-D892A34AC297}" id="{E6D833B0-1799-44A1-9816-F35B50CFD5E2}" parentId="{03841D26-5513-474E-A67B-CF977A8D9E33}">
    <text>Employee turnover rate initiated by employer</text>
  </threadedComment>
  <threadedComment ref="C53" dT="2023-05-11T13:21:21.85" personId="{FFB89494-4C8C-4DF8-AB66-EF7261C141A5}" id="{E9077630-1FCD-49E0-8638-50CEE60F698E}">
    <text>@Trevor Rouse can we put in the calculation detail please of first day, last day etc</text>
    <mentions>
      <mention mentionpersonId="{DB587674-DFC6-40D1-B86F-A160DC484CC7}" mentionId="{3F9AA52A-7FBB-4882-AF2D-4FD84F5868B1}" startIndex="0" length="13"/>
    </mentions>
  </threadedComment>
  <threadedComment ref="C53" dT="2023-05-11T13:25:01.58" personId="{FFB89494-4C8C-4DF8-AB66-EF7261C141A5}" id="{6E1CF550-BBC2-49BF-9F0B-11E0128BE1B9}" parentId="{E9077630-1FCD-49E0-8638-50CEE60F698E}">
    <text>@Trevor Rouse and perm employee only</text>
    <mentions>
      <mention mentionpersonId="{DB587674-DFC6-40D1-B86F-A160DC484CC7}" mentionId="{396C589A-D717-45F3-98ED-2D723C25EBE3}" startIndex="0" length="13"/>
    </mentions>
  </threadedComment>
  <threadedComment ref="C53" dT="2023-05-11T14:08:02.29" personId="{C017F7F4-BE32-4D0D-8779-D892A34AC297}" id="{55EE225F-4C09-4EBB-A02C-9FECD4C40209}" parentId="{E9077630-1FCD-49E0-8638-50CEE60F698E}">
    <text>@Xin Ngfat - think you have this now - number of leavers over last 12 months divided by average headcount say as at data points 1 April 2022 and 31 March 2023</text>
    <mentions>
      <mention mentionpersonId="{F4220FD2-7558-4741-BBAB-9074C7EFAC39}" mentionId="{17438211-CD55-4B04-B85D-626B2E41E07E}" startIndex="0" length="10"/>
    </mentions>
  </threadedComment>
  <threadedComment ref="C54" dT="2023-04-26T10:38:57.18" personId="{FFB89494-4C8C-4DF8-AB66-EF7261C141A5}" id="{8D7664A8-D9AB-409E-BC7A-63330965D85C}">
    <text>@Trevor Rouse</text>
    <mentions>
      <mention mentionpersonId="{DB587674-DFC6-40D1-B86F-A160DC484CC7}" mentionId="{0A96DF18-0285-4C3A-B173-2747118ED4AF}" startIndex="0" length="13"/>
    </mentions>
  </threadedComment>
  <threadedComment ref="C54" dT="2023-04-26T19:03:11.05" personId="{C017F7F4-BE32-4D0D-8779-D892A34AC297}" id="{BA9456A9-14D6-4BE0-874F-DA6C731ABC2F}" parentId="{8D7664A8-D9AB-409E-BC7A-63330965D85C}">
    <text>Employee turnover rate initiated by employer</text>
  </threadedComment>
  <threadedComment ref="C94" dT="2023-05-11T12:32:18.27" personId="{FFB89494-4C8C-4DF8-AB66-EF7261C141A5}" id="{24774F3C-A95F-4E42-B59F-47A22CD07DB5}">
    <text>@Trevor Rouse could you provide this excl health please - I think it's 12510 this year, any idea for historical?</text>
    <mentions>
      <mention mentionpersonId="{DB587674-DFC6-40D1-B86F-A160DC484CC7}" mentionId="{F7A899CD-3D72-4A9E-98A8-5C4CE134CB44}" startIndex="0" length="13"/>
    </mentions>
  </threadedComment>
  <threadedComment ref="B115" dT="2023-05-16T15:59:05.34" personId="{FFB89494-4C8C-4DF8-AB66-EF7261C141A5}" id="{65C9ADAF-508A-4C6E-B538-0C965DAA136B}">
    <text>@Trevor Rouse is this something you can pull from Workday?</text>
    <mentions>
      <mention mentionpersonId="{DB587674-DFC6-40D1-B86F-A160DC484CC7}" mentionId="{95E82A99-462C-4A03-A131-40F5DE847644}" startIndex="0" length="13"/>
    </mentions>
  </threadedComment>
  <threadedComment ref="B124" dT="2023-05-16T15:59:05.34" personId="{FFB89494-4C8C-4DF8-AB66-EF7261C141A5}" id="{A2CA4E63-ED3C-426E-B8D2-FEF83A215810}">
    <text>@Trevor Rouse is this something you can pull from Workday?</text>
    <mentions>
      <mention mentionpersonId="{DB587674-DFC6-40D1-B86F-A160DC484CC7}" mentionId="{46891BC0-A160-484D-8220-659F81E33D34}" startIndex="0" length="13"/>
    </mentions>
  </threadedComment>
  <threadedComment ref="B132" dT="2023-05-16T15:59:05.34" personId="{FFB89494-4C8C-4DF8-AB66-EF7261C141A5}" id="{D0DCF2E0-067B-4DB8-8039-E4686F86BC52}">
    <text>@Trevor Rouse is this something you can pull from Workday?</text>
    <mentions>
      <mention mentionpersonId="{DB587674-DFC6-40D1-B86F-A160DC484CC7}" mentionId="{FA8501AD-3FDD-4468-8B7A-5924B7C8CC27}" startIndex="0" length="13"/>
    </mentions>
  </threadedComment>
  <threadedComment ref="B138" dT="2023-05-16T15:59:05.34" personId="{FFB89494-4C8C-4DF8-AB66-EF7261C141A5}" id="{FD15BE50-FFBA-48D5-AEB0-A413712E4AD2}">
    <text>@Trevor Rouse is this something you can pull from Workday?</text>
    <mentions>
      <mention mentionpersonId="{DB587674-DFC6-40D1-B86F-A160DC484CC7}" mentionId="{0C1F2AAA-FBCB-4364-92AD-3D35F19073A0}" startIndex="0" length="13"/>
    </mentions>
  </threadedComment>
  <threadedComment ref="C151" dT="2023-05-18T12:49:47.89" personId="{FFB89494-4C8C-4DF8-AB66-EF7261C141A5}" id="{728C9CDD-C922-4B62-BF8F-21E63D9803F2}">
    <text>@Julie Bolam to confirm once happy with the breakdown of numbers please.</text>
    <mentions>
      <mention mentionpersonId="{56837F4D-98AE-47A8-BBB8-DF4A5807D6FC}" mentionId="{C0FC51FF-49DB-4AC6-A51C-ABA43CC2FB5D}" startIndex="0" length="12"/>
    </mentions>
  </threadedComment>
  <threadedComment ref="C151" dT="2023-05-24T16:38:07.78" personId="{492F2C60-448D-4089-9B04-C8158CA34543}" id="{75EF2D87-9DE8-4ED1-8BC4-9CCCDCBF97BD}" parentId="{728C9CDD-C922-4B62-BF8F-21E63D9803F2}">
    <text xml:space="preserve">Only JM employees assigned Comp Law and ABAC. Code of Ethics to CW and JM . </text>
  </threadedComment>
  <threadedComment ref="C151" dT="2023-05-26T13:40:05.71" personId="{FFB89494-4C8C-4DF8-AB66-EF7261C141A5}" id="{BE704D9F-6DCD-4DC1-81E9-9037925AEC2A}" parentId="{728C9CDD-C922-4B62-BF8F-21E63D9803F2}">
    <text>@Julie Bolam 
So Comp law and ABC to permanent employees only
Code of Ethics to perm staff and temp staff with contracts over 3 months</text>
    <mentions>
      <mention mentionpersonId="{56837F4D-98AE-47A8-BBB8-DF4A5807D6FC}" mentionId="{A8A8465D-32EE-400F-844D-18633709ED36}" startIndex="0" length="12"/>
    </mentions>
  </threadedComment>
  <threadedComment ref="C182" dT="2023-05-18T12:49:47.89" personId="{FFB89494-4C8C-4DF8-AB66-EF7261C141A5}" id="{7E8A7E52-B244-4F21-B8F8-040ABF19BEC2}">
    <text>@Julie Bolam to confirm once happy with the breakdown of numbers please.</text>
    <mentions>
      <mention mentionpersonId="{56837F4D-98AE-47A8-BBB8-DF4A5807D6FC}" mentionId="{67F56105-CCE1-42F5-A21E-005B70CA8B95}" startIndex="0" length="12"/>
    </mentions>
  </threadedComment>
  <threadedComment ref="C182" dT="2023-05-24T16:38:07.78" personId="{492F2C60-448D-4089-9B04-C8158CA34543}" id="{0E818167-DF43-49E6-A93D-1E5FE727E1B4}" parentId="{7E8A7E52-B244-4F21-B8F8-040ABF19BEC2}">
    <text xml:space="preserve">Only JM employees assigned Comp Law and ABAC. Code of Ethics to CW and JM . </text>
  </threadedComment>
  <threadedComment ref="C182" dT="2023-05-26T13:40:05.71" personId="{FFB89494-4C8C-4DF8-AB66-EF7261C141A5}" id="{DE4D591F-6808-4F21-9E15-D1823A09AB6F}" parentId="{7E8A7E52-B244-4F21-B8F8-040ABF19BEC2}">
    <text>@Julie Bolam 
So Comp law and ABC to permanent employees only
Code of Ethics to perm staff and temp staff with contracts over 3 months</text>
    <mentions>
      <mention mentionpersonId="{56837F4D-98AE-47A8-BBB8-DF4A5807D6FC}" mentionId="{D33AB9D6-1F2E-410F-B955-2217618800E0}"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https://matthey.com/en/about-us/partnering-with-us/supplier-code-of-conduct?assetCategoryIds=&amp;sort=ddm__keyword__232257__Date-"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2.xml"/><Relationship Id="rId1" Type="http://schemas.openxmlformats.org/officeDocument/2006/relationships/printerSettings" Target="../printerSettings/printerSettings20.bin"/><Relationship Id="rId5" Type="http://schemas.microsoft.com/office/2017/10/relationships/threadedComment" Target="../threadedComments/threadedComment3.xml"/><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1.bin"/><Relationship Id="rId5" Type="http://schemas.microsoft.com/office/2017/10/relationships/threadedComment" Target="../threadedComments/threadedComment4.xml"/><Relationship Id="rId4"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matthey.com/documents/161599/3025776/Johnson+Matthey+Biodiversity+Statement_Final.pdf/90c41ae0-fec6-9257-7aa3-6092de17b250?t=1717588061345" TargetMode="External"/><Relationship Id="rId18" Type="http://schemas.openxmlformats.org/officeDocument/2006/relationships/hyperlink" Target="https://matthey.com/careers/life-at-jm/rewards-and-benefits" TargetMode="External"/><Relationship Id="rId26" Type="http://schemas.openxmlformats.org/officeDocument/2006/relationships/hyperlink" Target="https://matthey.com/sustainability/people/communities" TargetMode="External"/><Relationship Id="rId39" Type="http://schemas.openxmlformats.org/officeDocument/2006/relationships/hyperlink" Target="https://matthey.com/sustainability/people/product-stewardship" TargetMode="External"/><Relationship Id="rId21" Type="http://schemas.openxmlformats.org/officeDocument/2006/relationships/hyperlink" Target="https://matthey.com/documents/161599/2096356/JM_Gender%20Pay%20Gap%20Report%202024_V6.pdf/776fa739-0d3e-c2eb-85cd-dccf8b3191a6?t=1743494242608" TargetMode="External"/><Relationship Id="rId34" Type="http://schemas.openxmlformats.org/officeDocument/2006/relationships/hyperlink" Target="https://matthey.com/en/sustainability/people/labour-and-human-rights" TargetMode="External"/><Relationship Id="rId42" Type="http://schemas.openxmlformats.org/officeDocument/2006/relationships/hyperlink" Target="https://matthey.com/sustainability/people/responsible-sourcing" TargetMode="External"/><Relationship Id="rId7" Type="http://schemas.openxmlformats.org/officeDocument/2006/relationships/hyperlink" Target="https://matthey.com/documents/161599/481702/Global%20Speak%20Up%20Policy%20-%20English.pdf/40ca267b-e6fb-38df-c078-f8b1d9827aa9?t=1742897215301" TargetMode="External"/><Relationship Id="rId2" Type="http://schemas.openxmlformats.org/officeDocument/2006/relationships/hyperlink" Target="https://matthey.com/en/sustainability/sustainability-governance" TargetMode="External"/><Relationship Id="rId16" Type="http://schemas.openxmlformats.org/officeDocument/2006/relationships/hyperlink" Target="https://matthey.com/documents/161599/481702/2022-06-07+Corporate+EHS+Policy+Statement+FINAL+%28Amended%29.pdf/5dd3eee5-76e0-8d4d-4854-42163d9a7447?t=1654961678367" TargetMode="External"/><Relationship Id="rId29" Type="http://schemas.openxmlformats.org/officeDocument/2006/relationships/hyperlink" Target="https://matthey.com/en/sustainability/people/labour-and-human-rights" TargetMode="External"/><Relationship Id="rId1" Type="http://schemas.openxmlformats.org/officeDocument/2006/relationships/hyperlink" Target="https://matthey.com/documents/161599/481702/Global%20Conflicts%20of%20Interest%20Policy%20-%20English.pdf/931d9633-df43-a8e8-11a3-5801399e7b9e?t=1742896918143" TargetMode="External"/><Relationship Id="rId6" Type="http://schemas.openxmlformats.org/officeDocument/2006/relationships/hyperlink" Target="https://matthey.com/about-us" TargetMode="External"/><Relationship Id="rId11" Type="http://schemas.openxmlformats.org/officeDocument/2006/relationships/hyperlink" Target="https://matthey.com/science-and-innovation/collaboration" TargetMode="External"/><Relationship Id="rId24" Type="http://schemas.openxmlformats.org/officeDocument/2006/relationships/hyperlink" Target="https://matthey.com/sustainability/people/communities" TargetMode="External"/><Relationship Id="rId32" Type="http://schemas.openxmlformats.org/officeDocument/2006/relationships/hyperlink" Target="https://matthey.com/careers/life-at-jm/rewards-and-benefits" TargetMode="External"/><Relationship Id="rId37" Type="http://schemas.openxmlformats.org/officeDocument/2006/relationships/hyperlink" Target="https://matthey.com/en/sustainability/people/labour-and-human-rights" TargetMode="External"/><Relationship Id="rId40" Type="http://schemas.openxmlformats.org/officeDocument/2006/relationships/hyperlink" Target="https://matthey.com/sustainability/people/responsible-sourcing" TargetMode="External"/><Relationship Id="rId45" Type="http://schemas.openxmlformats.org/officeDocument/2006/relationships/printerSettings" Target="../printerSettings/printerSettings5.bin"/><Relationship Id="rId5" Type="http://schemas.openxmlformats.org/officeDocument/2006/relationships/hyperlink" Target="https://matthey.com/en/sustainability/sustainability-governance" TargetMode="External"/><Relationship Id="rId15" Type="http://schemas.openxmlformats.org/officeDocument/2006/relationships/hyperlink" Target="https://matthey.com/documents/161599/481702/2022-06-07+Corporate+EHS+Policy+Statement+FINAL+%28Amended%29.pdf/5dd3eee5-76e0-8d4d-4854-42163d9a7447?t=1654961678367" TargetMode="External"/><Relationship Id="rId23" Type="http://schemas.openxmlformats.org/officeDocument/2006/relationships/hyperlink" Target="https://matthey.com/documents/161599/2096356/JM_Modern_Slavery_Statement_FY23-24.pdf/bd783ad3-c82a-65b3-27c5-2a77730cb5a6?t=1725900743364" TargetMode="External"/><Relationship Id="rId28" Type="http://schemas.openxmlformats.org/officeDocument/2006/relationships/hyperlink" Target="https://matthey.com/documents/161599/3025776/Tax%20Strategy%20FY2425.pdf/d7f6cc91-1a33-498d-e663-6d1dee889c5e?t=1727445410178" TargetMode="External"/><Relationship Id="rId36" Type="http://schemas.openxmlformats.org/officeDocument/2006/relationships/hyperlink" Target="https://matthey.com/en/sustainability/people/labour-and-human-rights" TargetMode="External"/><Relationship Id="rId10" Type="http://schemas.openxmlformats.org/officeDocument/2006/relationships/hyperlink" Target="https://matthey.com/about-us/governance/code-of-ethics/code-of-ethics-23" TargetMode="External"/><Relationship Id="rId19" Type="http://schemas.openxmlformats.org/officeDocument/2006/relationships/hyperlink" Target="https://matthey.com/documents/161599/481702/2022-06-07+Corporate+EHS+Policy+Statement+FINAL+%28Amended%29.pdf/5dd3eee5-76e0-8d4d-4854-42163d9a7447?t=1654961678367" TargetMode="External"/><Relationship Id="rId31" Type="http://schemas.openxmlformats.org/officeDocument/2006/relationships/hyperlink" Target="https://matthey.com/sustainability/people/how-we-collaborate-and-engage-with-stakeholders" TargetMode="External"/><Relationship Id="rId44" Type="http://schemas.openxmlformats.org/officeDocument/2006/relationships/hyperlink" Target="https://matthey.com/sustainability/people" TargetMode="External"/><Relationship Id="rId4" Type="http://schemas.openxmlformats.org/officeDocument/2006/relationships/hyperlink" Target="https://matthey.com/sustainability/policies-disclosures-and-position-statements/anti-bribery-and-corruption-policy" TargetMode="External"/><Relationship Id="rId9" Type="http://schemas.openxmlformats.org/officeDocument/2006/relationships/hyperlink" Target="https://matthey.com/documents/161599/481702/Global%20Speak%20Up%20Policy%20-%20English.pdf/40ca267b-e6fb-38df-c078-f8b1d9827aa9?t=1742897215301" TargetMode="External"/><Relationship Id="rId14" Type="http://schemas.openxmlformats.org/officeDocument/2006/relationships/hyperlink" Target="https://matthey.com/documents/161599/3025776/Johnson+Matthey+Biodiversity+Statement_Final.pdf/90c41ae0-fec6-9257-7aa3-6092de17b250?t=1717588061345" TargetMode="External"/><Relationship Id="rId22" Type="http://schemas.openxmlformats.org/officeDocument/2006/relationships/hyperlink" Target="https://matthey.com/documents/161599/2096356/JM_Modern_Slavery_Statement_FY23-24.pdf/bd783ad3-c82a-65b3-27c5-2a77730cb5a6?t=1725900743364" TargetMode="External"/><Relationship Id="rId27" Type="http://schemas.openxmlformats.org/officeDocument/2006/relationships/hyperlink" Target="https://matthey.com/sustainability/people/product-stewardship" TargetMode="External"/><Relationship Id="rId30" Type="http://schemas.openxmlformats.org/officeDocument/2006/relationships/hyperlink" Target="https://matthey.com/sustainability/people/how-we-collaborate-and-engage-with-stakeholders" TargetMode="External"/><Relationship Id="rId35" Type="http://schemas.openxmlformats.org/officeDocument/2006/relationships/hyperlink" Target="https://matthey.com/en/sustainability/people/labour-and-human-rights" TargetMode="External"/><Relationship Id="rId43" Type="http://schemas.openxmlformats.org/officeDocument/2006/relationships/hyperlink" Target="https://matthey.com/sustainability/people/responsible-sourcing" TargetMode="External"/><Relationship Id="rId8" Type="http://schemas.openxmlformats.org/officeDocument/2006/relationships/hyperlink" Target="https://matthey.com/documents/161599/481702/Global%20Human%20Rights%20Policy%20-%20English.pdf/03b39dba-12ce-3cf6-5f27-323fbd87d1d5?t=1742897132409" TargetMode="External"/><Relationship Id="rId3" Type="http://schemas.openxmlformats.org/officeDocument/2006/relationships/hyperlink" Target="https://matthey.com/documents/161599/481702/Global+Tax+Policy.pdf/3fdd4cb2-b62b-e3f3-d170-affb18418399?t=1670345691972" TargetMode="External"/><Relationship Id="rId12" Type="http://schemas.openxmlformats.org/officeDocument/2006/relationships/hyperlink" Target="https://matthey.com/science-and-innovation/collaboration" TargetMode="External"/><Relationship Id="rId17" Type="http://schemas.openxmlformats.org/officeDocument/2006/relationships/hyperlink" Target="https://matthey.com/documents/161599/481702/2022-06-07+Corporate+EHS+Policy+Statement+FINAL+%28Amended%29.pdf/5dd3eee5-76e0-8d4d-4854-42163d9a7447?t=1654961678367" TargetMode="External"/><Relationship Id="rId25" Type="http://schemas.openxmlformats.org/officeDocument/2006/relationships/hyperlink" Target="https://matthey.com/sustainability/people/communities" TargetMode="External"/><Relationship Id="rId33" Type="http://schemas.openxmlformats.org/officeDocument/2006/relationships/hyperlink" Target="https://matthey.com/careers/life-at-jm/rewards-and-benefits" TargetMode="External"/><Relationship Id="rId38" Type="http://schemas.openxmlformats.org/officeDocument/2006/relationships/hyperlink" Target="https://matthey.com/en/sustainability/people/labour-and-human-rights" TargetMode="External"/><Relationship Id="rId46" Type="http://schemas.openxmlformats.org/officeDocument/2006/relationships/drawing" Target="../drawings/drawing5.xml"/><Relationship Id="rId20" Type="http://schemas.openxmlformats.org/officeDocument/2006/relationships/hyperlink" Target="https://matthey.com/careers/life-at-jm/rewards-and-benefits" TargetMode="External"/><Relationship Id="rId41" Type="http://schemas.openxmlformats.org/officeDocument/2006/relationships/hyperlink" Target="https://matthey.com/sustainability/people/responsible-sourcin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matthey.com/sustainability/people/communities" TargetMode="External"/><Relationship Id="rId2" Type="http://schemas.openxmlformats.org/officeDocument/2006/relationships/hyperlink" Target="https://matthey.com/sustainability" TargetMode="External"/><Relationship Id="rId1" Type="http://schemas.openxmlformats.org/officeDocument/2006/relationships/hyperlink" Target="https://matthey.com/sustainability/sustainability-governance"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matthey.com/sustainability/peopl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matthey.com/contact-us?assetCategoryIds=&amp;sort=ddm__keyword__232321__Country" TargetMode="External"/><Relationship Id="rId7" Type="http://schemas.openxmlformats.org/officeDocument/2006/relationships/comments" Target="../comments1.xml"/><Relationship Id="rId2" Type="http://schemas.openxmlformats.org/officeDocument/2006/relationships/hyperlink" Target="https://unglobalcompact.org/what-is-gc/participants/149760" TargetMode="External"/><Relationship Id="rId1" Type="http://schemas.openxmlformats.org/officeDocument/2006/relationships/hyperlink" Target="https://matthey.com/documents/161599/2096356/JM_Gender%20Pay%20Gap%20Report%202024_V6.pdf/776fa739-0d3e-c2eb-85cd-dccf8b3191a6?t=1743494242608" TargetMode="External"/><Relationship Id="rId6" Type="http://schemas.openxmlformats.org/officeDocument/2006/relationships/vmlDrawing" Target="../drawings/vmlDrawing1.vm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473-BB87-4E20-8775-6C1BEECC4EB3}">
  <sheetPr codeName="Sheet2">
    <tabColor theme="3"/>
    <pageSetUpPr fitToPage="1"/>
  </sheetPr>
  <dimension ref="B7:AA41"/>
  <sheetViews>
    <sheetView zoomScale="80" zoomScaleNormal="80" workbookViewId="0">
      <selection activeCell="R14" sqref="R14"/>
    </sheetView>
  </sheetViews>
  <sheetFormatPr defaultColWidth="8.81640625" defaultRowHeight="14.5" x14ac:dyDescent="0.35"/>
  <cols>
    <col min="1" max="1" width="3.1796875" style="1" customWidth="1"/>
    <col min="2" max="16384" width="8.81640625" style="1"/>
  </cols>
  <sheetData>
    <row r="7" spans="2:19" x14ac:dyDescent="0.35">
      <c r="B7"/>
    </row>
    <row r="13" spans="2:19" x14ac:dyDescent="0.35">
      <c r="S13" s="584"/>
    </row>
    <row r="41" spans="27:27" x14ac:dyDescent="0.35">
      <c r="AA41"/>
    </row>
  </sheetData>
  <sheetProtection algorithmName="SHA-512" hashValue="r1cp/T05UAiUEwuRonvs8fK1GCnwWzbUumptbWqyu3ANC6eBalBSxsE1gTl521PbwxmtADXI3V1rXTov4cDBnw==" saltValue="pKKDi4piGuxugQjdpjNQ9w==" spinCount="100000" sheet="1" objects="1" scenarios="1" selectLockedCells="1" selectUnlockedCells="1"/>
  <pageMargins left="0.70866141732283472" right="0.70866141732283472" top="0.74803149606299213" bottom="0.74803149606299213" header="0.31496062992125984" footer="0.31496062992125984"/>
  <pageSetup paperSize="9"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31B1-9825-4F97-BC0C-F2FCDDCD4F9E}">
  <sheetPr codeName="Sheet15">
    <pageSetUpPr fitToPage="1"/>
  </sheetPr>
  <dimension ref="A2:K56"/>
  <sheetViews>
    <sheetView topLeftCell="A21" zoomScale="80" zoomScaleNormal="80" workbookViewId="0">
      <selection activeCell="E45" sqref="E45"/>
    </sheetView>
  </sheetViews>
  <sheetFormatPr defaultColWidth="8.81640625" defaultRowHeight="13.5" x14ac:dyDescent="0.3"/>
  <cols>
    <col min="1" max="1" width="5.1796875" style="482" customWidth="1"/>
    <col min="2" max="2" width="103.1796875" style="3" customWidth="1"/>
    <col min="3" max="3" width="34.1796875" style="3" customWidth="1"/>
    <col min="4" max="4" width="26.81640625" style="3" customWidth="1"/>
    <col min="5" max="5" width="18.81640625" style="3" bestFit="1" customWidth="1"/>
    <col min="6" max="6" width="5.81640625" style="3" hidden="1" customWidth="1"/>
    <col min="7" max="7" width="11.54296875" style="3" hidden="1" customWidth="1"/>
    <col min="8" max="8" width="8.453125" style="3" hidden="1" customWidth="1"/>
    <col min="9" max="9" width="18.1796875" style="3" hidden="1" customWidth="1"/>
    <col min="10" max="10" width="2.54296875" style="3" hidden="1" customWidth="1"/>
    <col min="11" max="16384" width="8.81640625" style="3"/>
  </cols>
  <sheetData>
    <row r="2" spans="1:9" ht="23.15" customHeight="1" x14ac:dyDescent="0.45">
      <c r="B2" s="1572" t="s">
        <v>454</v>
      </c>
      <c r="C2" s="1572"/>
      <c r="D2" s="1572"/>
      <c r="E2" s="950"/>
      <c r="F2" s="950"/>
      <c r="G2" s="950"/>
      <c r="H2" s="950"/>
    </row>
    <row r="3" spans="1:9" ht="14.15" customHeight="1" x14ac:dyDescent="0.3">
      <c r="B3" s="951"/>
      <c r="C3" s="951"/>
      <c r="D3" s="951"/>
      <c r="E3" s="951"/>
      <c r="F3" s="951"/>
      <c r="G3" s="951"/>
      <c r="H3" s="951"/>
    </row>
    <row r="4" spans="1:9" ht="31" customHeight="1" x14ac:dyDescent="0.3">
      <c r="B4" s="1571" t="s">
        <v>1440</v>
      </c>
      <c r="C4" s="1571"/>
      <c r="D4" s="1571"/>
      <c r="E4" s="952"/>
      <c r="F4" s="952"/>
      <c r="G4" s="952"/>
      <c r="H4" s="952"/>
    </row>
    <row r="5" spans="1:9" ht="14.5" x14ac:dyDescent="0.35">
      <c r="B5" s="1573" t="s">
        <v>1441</v>
      </c>
      <c r="C5" s="1574"/>
      <c r="D5" s="1574"/>
      <c r="E5" s="952"/>
      <c r="F5" s="952"/>
      <c r="G5" s="952"/>
      <c r="H5" s="952"/>
    </row>
    <row r="6" spans="1:9" ht="14.5" customHeight="1" x14ac:dyDescent="0.3">
      <c r="B6" s="951"/>
      <c r="C6" s="951"/>
      <c r="D6" s="951"/>
      <c r="E6" s="952"/>
      <c r="F6" s="953"/>
      <c r="G6" s="953"/>
      <c r="H6" s="953"/>
      <c r="I6" s="951"/>
    </row>
    <row r="7" spans="1:9" s="555" customFormat="1" ht="30" x14ac:dyDescent="0.3">
      <c r="A7" s="954"/>
      <c r="B7" s="955" t="s">
        <v>455</v>
      </c>
      <c r="C7" s="956" t="s">
        <v>456</v>
      </c>
      <c r="D7" s="957" t="s">
        <v>457</v>
      </c>
      <c r="E7" s="958"/>
      <c r="F7" s="959"/>
      <c r="G7" s="959"/>
      <c r="H7" s="959"/>
      <c r="I7" s="957" t="s">
        <v>458</v>
      </c>
    </row>
    <row r="8" spans="1:9" ht="17" x14ac:dyDescent="0.4">
      <c r="A8" s="960">
        <v>1</v>
      </c>
      <c r="B8" s="961" t="s">
        <v>368</v>
      </c>
      <c r="C8" s="962" t="s">
        <v>459</v>
      </c>
      <c r="D8" s="786">
        <f>Environment!D11</f>
        <v>225330</v>
      </c>
      <c r="E8" s="952"/>
      <c r="F8" s="963"/>
      <c r="G8" s="963"/>
      <c r="H8" s="963"/>
    </row>
    <row r="9" spans="1:9" ht="17" x14ac:dyDescent="0.4">
      <c r="A9" s="960">
        <v>2</v>
      </c>
      <c r="B9" s="961" t="s">
        <v>370</v>
      </c>
      <c r="C9" s="962" t="s">
        <v>459</v>
      </c>
      <c r="D9" s="786">
        <f>Environment!D12</f>
        <v>21204</v>
      </c>
      <c r="E9" s="952"/>
      <c r="F9" s="963"/>
      <c r="G9" s="963"/>
      <c r="H9" s="963"/>
    </row>
    <row r="10" spans="1:9" ht="17" x14ac:dyDescent="0.4">
      <c r="A10" s="960">
        <v>3</v>
      </c>
      <c r="B10" s="961" t="s">
        <v>442</v>
      </c>
      <c r="C10" s="962" t="s">
        <v>459</v>
      </c>
      <c r="D10" s="786">
        <f>Environment!D13</f>
        <v>178481</v>
      </c>
      <c r="E10" s="952"/>
      <c r="F10" s="963"/>
      <c r="G10" s="963"/>
      <c r="H10" s="963"/>
    </row>
    <row r="11" spans="1:9" ht="17" x14ac:dyDescent="0.4">
      <c r="A11" s="960">
        <v>4</v>
      </c>
      <c r="B11" s="961" t="s">
        <v>460</v>
      </c>
      <c r="C11" s="962" t="s">
        <v>459</v>
      </c>
      <c r="D11" s="786">
        <f>Environment!D14</f>
        <v>246533</v>
      </c>
      <c r="E11" s="952"/>
      <c r="F11" s="963"/>
      <c r="G11" s="963"/>
      <c r="H11" s="963"/>
    </row>
    <row r="12" spans="1:9" ht="17" x14ac:dyDescent="0.4">
      <c r="A12" s="960">
        <v>5</v>
      </c>
      <c r="B12" s="961" t="s">
        <v>446</v>
      </c>
      <c r="C12" s="962" t="s">
        <v>461</v>
      </c>
      <c r="D12" s="787">
        <f>Environment!D16</f>
        <v>2.5188299480975931</v>
      </c>
      <c r="E12" s="952"/>
      <c r="F12" s="963"/>
      <c r="G12" s="963"/>
      <c r="H12" s="963"/>
    </row>
    <row r="13" spans="1:9" ht="15" x14ac:dyDescent="0.3">
      <c r="A13" s="960">
        <v>6</v>
      </c>
      <c r="B13" s="961" t="s">
        <v>462</v>
      </c>
      <c r="C13" s="962" t="s">
        <v>463</v>
      </c>
      <c r="D13" s="788">
        <f>Environment!J16</f>
        <v>-6.1898636558363251E-2</v>
      </c>
      <c r="E13" s="952"/>
      <c r="F13" s="963"/>
      <c r="G13" s="963"/>
      <c r="H13" s="963"/>
    </row>
    <row r="14" spans="1:9" ht="15" x14ac:dyDescent="0.3">
      <c r="A14" s="960">
        <v>7</v>
      </c>
      <c r="B14" s="961" t="s">
        <v>449</v>
      </c>
      <c r="C14" s="962" t="s">
        <v>450</v>
      </c>
      <c r="D14" s="786">
        <f>Environment!D54</f>
        <v>1126108</v>
      </c>
      <c r="E14" s="952"/>
      <c r="F14" s="963"/>
      <c r="G14" s="963"/>
      <c r="H14" s="963"/>
    </row>
    <row r="15" spans="1:9" ht="15" x14ac:dyDescent="0.3">
      <c r="A15" s="960">
        <v>8</v>
      </c>
      <c r="B15" s="964" t="s">
        <v>464</v>
      </c>
      <c r="C15" s="964" t="s">
        <v>465</v>
      </c>
      <c r="D15" s="786">
        <f>Environment!D73</f>
        <v>822281609</v>
      </c>
      <c r="E15" s="952"/>
      <c r="F15" s="963"/>
      <c r="G15" s="963"/>
      <c r="H15" s="963"/>
    </row>
    <row r="16" spans="1:9" ht="15" x14ac:dyDescent="0.3">
      <c r="A16" s="960">
        <v>9</v>
      </c>
      <c r="B16" s="964" t="s">
        <v>466</v>
      </c>
      <c r="C16" s="964" t="s">
        <v>465</v>
      </c>
      <c r="D16" s="786">
        <f>Environment!D78</f>
        <v>303826014</v>
      </c>
      <c r="E16" s="952"/>
      <c r="F16" s="963"/>
      <c r="G16" s="963"/>
      <c r="H16" s="963"/>
    </row>
    <row r="17" spans="1:8" ht="15" x14ac:dyDescent="0.3">
      <c r="A17" s="960">
        <v>10</v>
      </c>
      <c r="B17" s="961" t="s">
        <v>467</v>
      </c>
      <c r="C17" s="962" t="s">
        <v>463</v>
      </c>
      <c r="D17" s="789">
        <f>Environment!D56</f>
        <v>0.71</v>
      </c>
      <c r="E17" s="952"/>
      <c r="F17" s="963"/>
      <c r="G17" s="963"/>
      <c r="H17" s="963"/>
    </row>
    <row r="18" spans="1:8" ht="17" x14ac:dyDescent="0.4">
      <c r="A18" s="960">
        <v>11</v>
      </c>
      <c r="B18" s="561" t="s">
        <v>468</v>
      </c>
      <c r="C18" s="964" t="s">
        <v>441</v>
      </c>
      <c r="D18" s="790">
        <f>Environment!D19</f>
        <v>3085054</v>
      </c>
      <c r="E18" s="952"/>
      <c r="F18" s="963"/>
      <c r="G18" s="963"/>
      <c r="H18" s="963"/>
    </row>
    <row r="19" spans="1:8" ht="17" x14ac:dyDescent="0.4">
      <c r="A19" s="960">
        <v>12</v>
      </c>
      <c r="B19" s="961" t="s">
        <v>469</v>
      </c>
      <c r="C19" s="962" t="s">
        <v>459</v>
      </c>
      <c r="D19" s="786">
        <f>Environment!D21</f>
        <v>35476</v>
      </c>
      <c r="E19" s="952"/>
      <c r="F19" s="963"/>
      <c r="G19" s="963"/>
      <c r="H19" s="963"/>
    </row>
    <row r="20" spans="1:8" ht="17" x14ac:dyDescent="0.4">
      <c r="A20" s="960">
        <v>13</v>
      </c>
      <c r="B20" s="962" t="s">
        <v>371</v>
      </c>
      <c r="C20" s="962" t="s">
        <v>459</v>
      </c>
      <c r="D20" s="786">
        <f>Environment!D36</f>
        <v>3445486.0185479606</v>
      </c>
      <c r="E20" s="952"/>
      <c r="F20" s="963"/>
      <c r="G20" s="963"/>
      <c r="H20" s="963"/>
    </row>
    <row r="21" spans="1:8" ht="16.5" x14ac:dyDescent="0.3">
      <c r="A21" s="960">
        <v>14</v>
      </c>
      <c r="B21" s="962" t="s">
        <v>470</v>
      </c>
      <c r="C21" s="962" t="s">
        <v>471</v>
      </c>
      <c r="D21" s="786">
        <f>Environment!D90</f>
        <v>1530250</v>
      </c>
      <c r="E21" s="952"/>
      <c r="F21" s="963"/>
      <c r="G21" s="963"/>
      <c r="H21" s="963"/>
    </row>
    <row r="22" spans="1:8" ht="16.5" x14ac:dyDescent="0.3">
      <c r="A22" s="960">
        <v>15</v>
      </c>
      <c r="B22" s="961" t="s">
        <v>472</v>
      </c>
      <c r="C22" s="962" t="s">
        <v>471</v>
      </c>
      <c r="D22" s="790">
        <f>Environment!D92</f>
        <v>33966</v>
      </c>
      <c r="E22" s="952"/>
      <c r="F22" s="963"/>
      <c r="G22" s="963"/>
      <c r="H22" s="963"/>
    </row>
    <row r="23" spans="1:8" ht="16.5" x14ac:dyDescent="0.3">
      <c r="A23" s="960">
        <v>16</v>
      </c>
      <c r="B23" s="961" t="s">
        <v>473</v>
      </c>
      <c r="C23" s="961" t="s">
        <v>474</v>
      </c>
      <c r="D23" s="790">
        <f>Environment!D101</f>
        <v>1495</v>
      </c>
      <c r="E23" s="952"/>
      <c r="F23" s="963"/>
      <c r="G23" s="963"/>
      <c r="H23" s="963"/>
    </row>
    <row r="24" spans="1:8" ht="16.5" x14ac:dyDescent="0.3">
      <c r="A24" s="960">
        <v>17</v>
      </c>
      <c r="B24" s="561" t="s">
        <v>475</v>
      </c>
      <c r="C24" s="961" t="s">
        <v>474</v>
      </c>
      <c r="D24" s="791">
        <f>Environment!D102</f>
        <v>348</v>
      </c>
      <c r="E24" s="952"/>
      <c r="F24" s="963"/>
      <c r="G24" s="963"/>
      <c r="H24" s="963"/>
    </row>
    <row r="25" spans="1:8" ht="15" x14ac:dyDescent="0.3">
      <c r="A25" s="960">
        <v>18</v>
      </c>
      <c r="B25" s="962" t="s">
        <v>476</v>
      </c>
      <c r="C25" s="962" t="s">
        <v>477</v>
      </c>
      <c r="D25" s="792">
        <f>Environment!D97</f>
        <v>346</v>
      </c>
      <c r="E25" s="952"/>
      <c r="F25" s="963"/>
      <c r="G25" s="963"/>
      <c r="H25" s="963"/>
    </row>
    <row r="26" spans="1:8" ht="15" x14ac:dyDescent="0.3">
      <c r="A26" s="960">
        <v>19</v>
      </c>
      <c r="B26" s="561" t="s">
        <v>478</v>
      </c>
      <c r="C26" s="561" t="s">
        <v>463</v>
      </c>
      <c r="D26" s="793">
        <f>Environment!D98</f>
        <v>0.91</v>
      </c>
      <c r="E26" s="952"/>
      <c r="F26" s="963"/>
      <c r="G26" s="963"/>
      <c r="H26" s="963"/>
    </row>
    <row r="27" spans="1:8" ht="15" x14ac:dyDescent="0.3">
      <c r="A27" s="960">
        <v>20</v>
      </c>
      <c r="B27" s="964" t="s">
        <v>479</v>
      </c>
      <c r="C27" s="964" t="s">
        <v>480</v>
      </c>
      <c r="D27" s="790">
        <f>Environment!D116+Environment!D117</f>
        <v>34471</v>
      </c>
      <c r="E27" s="952"/>
      <c r="F27" s="963"/>
      <c r="G27" s="963"/>
      <c r="H27" s="963"/>
    </row>
    <row r="28" spans="1:8" ht="15" x14ac:dyDescent="0.3">
      <c r="A28" s="960">
        <v>21</v>
      </c>
      <c r="B28" s="561" t="s">
        <v>481</v>
      </c>
      <c r="C28" s="561" t="s">
        <v>480</v>
      </c>
      <c r="D28" s="790">
        <f>Environment!D120</f>
        <v>2841</v>
      </c>
      <c r="E28" s="952"/>
      <c r="F28" s="963"/>
      <c r="G28" s="963"/>
      <c r="H28" s="963"/>
    </row>
    <row r="29" spans="1:8" ht="15" x14ac:dyDescent="0.3">
      <c r="A29" s="960">
        <v>22</v>
      </c>
      <c r="B29" s="561" t="s">
        <v>482</v>
      </c>
      <c r="C29" s="561" t="s">
        <v>480</v>
      </c>
      <c r="D29" s="790">
        <f>Environment!D118</f>
        <v>1200</v>
      </c>
      <c r="E29" s="952"/>
      <c r="F29" s="963"/>
      <c r="G29" s="963"/>
      <c r="H29" s="963"/>
    </row>
    <row r="30" spans="1:8" ht="15" x14ac:dyDescent="0.3">
      <c r="A30" s="960">
        <v>23</v>
      </c>
      <c r="B30" s="561" t="s">
        <v>483</v>
      </c>
      <c r="C30" s="561" t="s">
        <v>480</v>
      </c>
      <c r="D30" s="790">
        <f>Environment!D119</f>
        <v>16403</v>
      </c>
      <c r="E30" s="952"/>
      <c r="F30" s="963"/>
      <c r="G30" s="963"/>
      <c r="H30" s="963"/>
    </row>
    <row r="31" spans="1:8" ht="15" x14ac:dyDescent="0.3">
      <c r="A31" s="960">
        <v>24</v>
      </c>
      <c r="B31" s="964" t="s">
        <v>484</v>
      </c>
      <c r="C31" s="964" t="s">
        <v>480</v>
      </c>
      <c r="D31" s="790">
        <f>Environment!D113</f>
        <v>54915</v>
      </c>
      <c r="E31" s="952"/>
      <c r="F31" s="963"/>
      <c r="G31" s="963"/>
      <c r="H31" s="963"/>
    </row>
    <row r="32" spans="1:8" ht="15" x14ac:dyDescent="0.3">
      <c r="A32" s="960">
        <v>25</v>
      </c>
      <c r="B32" s="561" t="s">
        <v>485</v>
      </c>
      <c r="C32" s="964" t="s">
        <v>480</v>
      </c>
      <c r="D32" s="790">
        <f>Environment!D136+Environment!D138</f>
        <v>22758</v>
      </c>
      <c r="E32" s="952"/>
      <c r="F32" s="963"/>
      <c r="G32" s="963"/>
      <c r="H32" s="963"/>
    </row>
    <row r="33" spans="1:11" ht="15" x14ac:dyDescent="0.3">
      <c r="A33" s="960">
        <v>26</v>
      </c>
      <c r="B33" s="964" t="s">
        <v>486</v>
      </c>
      <c r="C33" s="964" t="s">
        <v>480</v>
      </c>
      <c r="D33" s="790">
        <f>Environment!D130</f>
        <v>607</v>
      </c>
      <c r="E33" s="952"/>
      <c r="F33" s="963"/>
      <c r="G33" s="963"/>
      <c r="H33" s="963"/>
    </row>
    <row r="34" spans="1:11" ht="15" x14ac:dyDescent="0.3">
      <c r="A34" s="960">
        <v>27</v>
      </c>
      <c r="B34" s="964" t="s">
        <v>487</v>
      </c>
      <c r="C34" s="964" t="s">
        <v>480</v>
      </c>
      <c r="D34" s="790">
        <f>Environment!D128</f>
        <v>234</v>
      </c>
      <c r="E34" s="952"/>
      <c r="F34" s="963"/>
      <c r="G34" s="963"/>
      <c r="H34" s="963"/>
    </row>
    <row r="35" spans="1:11" ht="15" x14ac:dyDescent="0.3">
      <c r="A35" s="960">
        <v>28</v>
      </c>
      <c r="B35" s="964" t="s">
        <v>488</v>
      </c>
      <c r="C35" s="964" t="s">
        <v>480</v>
      </c>
      <c r="D35" s="790">
        <f>Environment!D129</f>
        <v>13836</v>
      </c>
      <c r="E35" s="952"/>
      <c r="F35" s="963"/>
      <c r="G35" s="963"/>
      <c r="H35" s="963"/>
    </row>
    <row r="36" spans="1:11" ht="15" x14ac:dyDescent="0.3">
      <c r="A36" s="960">
        <v>29</v>
      </c>
      <c r="B36" s="561" t="s">
        <v>489</v>
      </c>
      <c r="C36" s="561" t="s">
        <v>480</v>
      </c>
      <c r="D36" s="790">
        <f>Environment!D112</f>
        <v>37435</v>
      </c>
      <c r="E36" s="952"/>
      <c r="F36" s="963"/>
      <c r="G36" s="963"/>
      <c r="H36" s="963"/>
    </row>
    <row r="37" spans="1:11" ht="15" x14ac:dyDescent="0.3">
      <c r="A37" s="960">
        <v>30</v>
      </c>
      <c r="B37" s="561" t="s">
        <v>490</v>
      </c>
      <c r="C37" s="561" t="s">
        <v>480</v>
      </c>
      <c r="D37" s="790">
        <f>Environment!D147</f>
        <v>3407</v>
      </c>
      <c r="E37" s="952"/>
      <c r="F37" s="963"/>
      <c r="G37" s="963"/>
      <c r="H37" s="963"/>
    </row>
    <row r="38" spans="1:11" ht="15" x14ac:dyDescent="0.3">
      <c r="A38" s="960">
        <v>31</v>
      </c>
      <c r="B38" s="561" t="s">
        <v>491</v>
      </c>
      <c r="C38" s="561" t="s">
        <v>480</v>
      </c>
      <c r="D38" s="790">
        <f>Environment!D144</f>
        <v>15623</v>
      </c>
      <c r="E38" s="952"/>
      <c r="F38" s="963"/>
      <c r="G38" s="963"/>
      <c r="H38" s="963"/>
    </row>
    <row r="39" spans="1:11" ht="15" x14ac:dyDescent="0.3">
      <c r="A39" s="960">
        <v>32</v>
      </c>
      <c r="B39" s="561" t="s">
        <v>492</v>
      </c>
      <c r="C39" s="561" t="s">
        <v>480</v>
      </c>
      <c r="D39" s="790">
        <f>Environment!D145+Environment!D146</f>
        <v>12216</v>
      </c>
      <c r="E39" s="952"/>
      <c r="F39" s="963"/>
      <c r="G39" s="963"/>
      <c r="H39" s="963"/>
    </row>
    <row r="40" spans="1:11" s="966" customFormat="1" ht="15" hidden="1" x14ac:dyDescent="0.3">
      <c r="A40" s="960">
        <v>33</v>
      </c>
      <c r="B40" s="965" t="s">
        <v>493</v>
      </c>
      <c r="C40" s="965"/>
      <c r="D40" s="794"/>
      <c r="E40" s="952"/>
      <c r="F40" s="963"/>
      <c r="G40" s="963"/>
      <c r="H40" s="963"/>
      <c r="I40" s="3"/>
      <c r="J40" s="3"/>
      <c r="K40" s="3"/>
    </row>
    <row r="41" spans="1:11" ht="15" x14ac:dyDescent="0.3">
      <c r="A41" s="960">
        <v>33</v>
      </c>
      <c r="B41" s="561" t="s">
        <v>494</v>
      </c>
      <c r="C41" s="561" t="s">
        <v>480</v>
      </c>
      <c r="D41" s="795">
        <f>Environment!D150</f>
        <v>278</v>
      </c>
      <c r="E41" s="952"/>
      <c r="F41" s="963"/>
      <c r="G41" s="963"/>
      <c r="H41" s="963"/>
    </row>
    <row r="42" spans="1:11" ht="15" x14ac:dyDescent="0.3">
      <c r="A42" s="960">
        <v>34</v>
      </c>
      <c r="B42" s="561" t="s">
        <v>495</v>
      </c>
      <c r="C42" s="561" t="s">
        <v>480</v>
      </c>
      <c r="D42" s="795">
        <f>Environment!D151</f>
        <v>42</v>
      </c>
      <c r="E42" s="952"/>
      <c r="F42" s="963"/>
      <c r="G42" s="963"/>
      <c r="H42" s="963"/>
    </row>
    <row r="43" spans="1:11" ht="15" x14ac:dyDescent="0.3">
      <c r="A43" s="960">
        <v>35</v>
      </c>
      <c r="B43" s="561" t="s">
        <v>496</v>
      </c>
      <c r="C43" s="561" t="s">
        <v>480</v>
      </c>
      <c r="D43" s="795">
        <f>Environment!D152</f>
        <v>50</v>
      </c>
      <c r="E43" s="952"/>
      <c r="F43" s="963"/>
      <c r="G43" s="963"/>
      <c r="H43" s="963"/>
    </row>
    <row r="44" spans="1:11" ht="15" x14ac:dyDescent="0.3">
      <c r="A44" s="960">
        <v>36</v>
      </c>
      <c r="B44" s="561" t="s">
        <v>497</v>
      </c>
      <c r="C44" s="561" t="s">
        <v>463</v>
      </c>
      <c r="D44" s="789">
        <f>Environment!D153</f>
        <v>0.85299999999999998</v>
      </c>
      <c r="E44" s="952"/>
      <c r="F44" s="963"/>
      <c r="G44" s="963"/>
      <c r="H44" s="963"/>
    </row>
    <row r="45" spans="1:11" ht="15" x14ac:dyDescent="0.3">
      <c r="A45" s="960">
        <v>37</v>
      </c>
      <c r="B45" s="561" t="s">
        <v>498</v>
      </c>
      <c r="C45" s="561" t="s">
        <v>463</v>
      </c>
      <c r="D45" s="796">
        <f>Environment!D154</f>
        <v>0.68</v>
      </c>
      <c r="E45" s="952"/>
      <c r="F45" s="963"/>
      <c r="G45" s="963"/>
      <c r="H45" s="963"/>
    </row>
    <row r="46" spans="1:11" ht="15" x14ac:dyDescent="0.3">
      <c r="A46" s="960">
        <v>38</v>
      </c>
      <c r="B46" s="561" t="s">
        <v>499</v>
      </c>
      <c r="C46" s="561" t="s">
        <v>463</v>
      </c>
      <c r="D46" s="796">
        <f>Environment!D155</f>
        <v>0.82</v>
      </c>
      <c r="E46" s="952"/>
      <c r="F46" s="963"/>
      <c r="G46" s="963"/>
      <c r="H46" s="963"/>
    </row>
    <row r="47" spans="1:11" ht="17" x14ac:dyDescent="0.4">
      <c r="A47" s="960">
        <v>39</v>
      </c>
      <c r="B47" s="561" t="s">
        <v>500</v>
      </c>
      <c r="C47" s="962" t="s">
        <v>459</v>
      </c>
      <c r="D47" s="790">
        <f>Environment!D48</f>
        <v>1606644</v>
      </c>
      <c r="E47" s="952"/>
      <c r="F47" s="963"/>
      <c r="G47" s="963"/>
      <c r="H47" s="963"/>
    </row>
    <row r="48" spans="1:11" ht="15" x14ac:dyDescent="0.3">
      <c r="A48" s="960">
        <v>40</v>
      </c>
      <c r="B48" s="561" t="s">
        <v>501</v>
      </c>
      <c r="C48" s="561" t="s">
        <v>463</v>
      </c>
      <c r="D48" s="789">
        <f>'2030 targets'!I25</f>
        <v>0.75929999999999997</v>
      </c>
      <c r="E48" s="952"/>
      <c r="F48" s="963"/>
      <c r="G48" s="963"/>
      <c r="H48" s="963"/>
    </row>
    <row r="49" spans="1:8" ht="15" x14ac:dyDescent="0.3">
      <c r="A49" s="960">
        <v>41</v>
      </c>
      <c r="B49" s="964" t="s">
        <v>502</v>
      </c>
      <c r="C49" s="964" t="s">
        <v>503</v>
      </c>
      <c r="D49" s="797">
        <f>'Health and Safety'!D10</f>
        <v>0.92326702943992811</v>
      </c>
      <c r="E49" s="952"/>
      <c r="F49" s="963"/>
      <c r="G49" s="963"/>
      <c r="H49" s="963"/>
    </row>
    <row r="50" spans="1:8" ht="15" x14ac:dyDescent="0.3">
      <c r="A50" s="960">
        <v>42</v>
      </c>
      <c r="B50" s="964" t="s">
        <v>504</v>
      </c>
      <c r="C50" s="964" t="s">
        <v>503</v>
      </c>
      <c r="D50" s="797">
        <f>'Health and Safety'!E10</f>
        <v>0.49730614606716483</v>
      </c>
      <c r="E50" s="952"/>
      <c r="F50" s="963"/>
      <c r="G50" s="963"/>
      <c r="H50" s="963"/>
    </row>
    <row r="51" spans="1:8" ht="15" x14ac:dyDescent="0.3">
      <c r="A51" s="960">
        <v>43</v>
      </c>
      <c r="B51" s="962" t="s">
        <v>505</v>
      </c>
      <c r="C51" s="962" t="s">
        <v>503</v>
      </c>
      <c r="D51" s="797">
        <f>'Health and Safety'!D12</f>
        <v>0</v>
      </c>
      <c r="E51" s="952"/>
      <c r="F51" s="963"/>
      <c r="G51" s="963"/>
      <c r="H51" s="963"/>
    </row>
    <row r="52" spans="1:8" ht="15" x14ac:dyDescent="0.3">
      <c r="A52" s="960">
        <v>44</v>
      </c>
      <c r="B52" s="962" t="s">
        <v>506</v>
      </c>
      <c r="C52" s="962" t="s">
        <v>507</v>
      </c>
      <c r="D52" s="797">
        <f>'Health and Safety'!D29</f>
        <v>8.5042501946325233E-2</v>
      </c>
      <c r="E52" s="952"/>
      <c r="F52" s="963"/>
      <c r="G52" s="963"/>
      <c r="H52" s="963"/>
    </row>
    <row r="53" spans="1:8" ht="15" x14ac:dyDescent="0.3">
      <c r="A53" s="960">
        <v>45</v>
      </c>
      <c r="B53" s="962" t="s">
        <v>508</v>
      </c>
      <c r="C53" s="962" t="s">
        <v>509</v>
      </c>
      <c r="D53" s="797">
        <f>'Health and Safety'!D23</f>
        <v>0.35717850817456592</v>
      </c>
      <c r="E53" s="952"/>
      <c r="F53" s="963"/>
      <c r="G53" s="963"/>
      <c r="H53" s="963"/>
    </row>
    <row r="54" spans="1:8" ht="15" x14ac:dyDescent="0.3">
      <c r="A54" s="960">
        <v>46</v>
      </c>
      <c r="B54" s="561" t="s">
        <v>510</v>
      </c>
      <c r="C54" s="561" t="s">
        <v>511</v>
      </c>
      <c r="D54" s="797">
        <f>'Health and Safety'!D27</f>
        <v>0.82</v>
      </c>
      <c r="E54" s="952"/>
      <c r="F54" s="963"/>
      <c r="G54" s="963"/>
      <c r="H54" s="963"/>
    </row>
    <row r="55" spans="1:8" ht="15" x14ac:dyDescent="0.3">
      <c r="A55" s="960">
        <v>47</v>
      </c>
      <c r="B55" s="561" t="s">
        <v>512</v>
      </c>
      <c r="C55" s="561" t="s">
        <v>463</v>
      </c>
      <c r="D55" s="789">
        <f>People!S41</f>
        <v>0.32014176018901358</v>
      </c>
      <c r="E55" s="952"/>
      <c r="F55" s="963"/>
      <c r="G55" s="963"/>
      <c r="H55" s="963"/>
    </row>
    <row r="56" spans="1:8" x14ac:dyDescent="0.3">
      <c r="A56" s="960"/>
      <c r="E56" s="952"/>
      <c r="F56" s="963"/>
      <c r="G56" s="963"/>
      <c r="H56" s="963"/>
    </row>
  </sheetData>
  <sheetProtection algorithmName="SHA-512" hashValue="hPmhWnK2wTK5KljSNF9PaN6q8VrsS+ViMtd/KRdckk6dqIJ8NFSqzKnX9ZIH1xrxsElU52m6C/Oy0kcKdbc0/A==" saltValue="tLpFxxDQcQsDptAcULlxBQ==" spinCount="100000" sheet="1" objects="1" scenarios="1"/>
  <mergeCells count="3">
    <mergeCell ref="B4:D4"/>
    <mergeCell ref="B2:D2"/>
    <mergeCell ref="B5:D5"/>
  </mergeCells>
  <hyperlinks>
    <hyperlink ref="B5:D5" location="'Basis of Reporting'!A1" display="Please see ERM CVS' full assurance report on page 196-198 of our ARA 2025 and on Basis of Reporting tab for more details." xr:uid="{5DCF6305-6AED-4E13-9DAA-E67B06F640D3}"/>
  </hyperlinks>
  <pageMargins left="0.23622047244094491" right="0.23622047244094491"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D05C-C679-4A3F-89E1-EEFD83B59210}">
  <sheetPr codeName="Sheet16">
    <tabColor theme="3"/>
    <pageSetUpPr fitToPage="1"/>
  </sheetPr>
  <dimension ref="B2:W35"/>
  <sheetViews>
    <sheetView zoomScale="80" zoomScaleNormal="80" workbookViewId="0">
      <selection sqref="A1:XFD1048576"/>
    </sheetView>
  </sheetViews>
  <sheetFormatPr defaultColWidth="8.81640625" defaultRowHeight="13.5" x14ac:dyDescent="0.3"/>
  <cols>
    <col min="1" max="1" width="6.453125" style="3" customWidth="1"/>
    <col min="2" max="2" width="36.54296875" style="3" bestFit="1" customWidth="1"/>
    <col min="3" max="3" width="20" style="3" customWidth="1"/>
    <col min="4" max="4" width="55.81640625" style="3" customWidth="1"/>
    <col min="5" max="5" width="14.81640625" style="3" bestFit="1" customWidth="1"/>
    <col min="6" max="6" width="12.54296875" style="3" bestFit="1" customWidth="1"/>
    <col min="7" max="7" width="14.1796875" style="3" bestFit="1" customWidth="1"/>
    <col min="8" max="10" width="18.453125" style="3" customWidth="1"/>
    <col min="11" max="14" width="15.1796875" style="3" customWidth="1"/>
    <col min="15" max="15" width="12.81640625" style="3" customWidth="1"/>
    <col min="16" max="16" width="24.54296875" style="3" customWidth="1"/>
    <col min="17" max="17" width="25.54296875" style="3" customWidth="1"/>
    <col min="18" max="18" width="14.1796875" style="3" customWidth="1"/>
    <col min="19" max="19" width="9.1796875" style="3" customWidth="1"/>
    <col min="20" max="16384" width="8.81640625" style="3"/>
  </cols>
  <sheetData>
    <row r="2" spans="2:23" ht="43.4" customHeight="1" x14ac:dyDescent="0.3">
      <c r="B2" s="594" t="s">
        <v>513</v>
      </c>
      <c r="C2" s="483"/>
      <c r="D2" s="483"/>
      <c r="E2" s="483"/>
      <c r="G2" s="483"/>
      <c r="H2" s="483"/>
      <c r="I2" s="483"/>
      <c r="J2" s="483"/>
      <c r="K2" s="483"/>
      <c r="L2" s="483"/>
      <c r="M2" s="483"/>
      <c r="N2" s="483"/>
      <c r="O2" s="483"/>
      <c r="P2" s="483"/>
      <c r="Q2" s="483"/>
      <c r="R2" s="483"/>
      <c r="S2" s="483"/>
      <c r="T2" s="483"/>
      <c r="U2" s="483"/>
      <c r="V2" s="483"/>
      <c r="W2" s="483"/>
    </row>
    <row r="3" spans="2:23" ht="28.4" customHeight="1" x14ac:dyDescent="0.3">
      <c r="G3" s="484"/>
      <c r="H3" s="484"/>
      <c r="I3" s="484"/>
      <c r="J3" s="484"/>
      <c r="K3" s="484"/>
      <c r="L3" s="484"/>
      <c r="M3" s="484"/>
      <c r="N3" s="484"/>
      <c r="O3" s="484"/>
      <c r="P3" s="484"/>
      <c r="Q3" s="484"/>
      <c r="R3" s="484"/>
      <c r="S3" s="484"/>
    </row>
    <row r="4" spans="2:23" ht="18.649999999999999" customHeight="1" x14ac:dyDescent="0.3">
      <c r="F4" s="485"/>
      <c r="G4" s="484"/>
      <c r="H4" s="484"/>
      <c r="I4" s="484"/>
      <c r="J4" s="484"/>
      <c r="K4" s="484"/>
      <c r="L4" s="484"/>
      <c r="M4" s="484"/>
      <c r="N4" s="484"/>
      <c r="O4" s="484"/>
      <c r="P4" s="484"/>
      <c r="Q4" s="484"/>
      <c r="R4" s="484"/>
      <c r="S4" s="484"/>
    </row>
    <row r="5" spans="2:23" ht="18.649999999999999" customHeight="1" x14ac:dyDescent="0.3">
      <c r="F5" s="485"/>
      <c r="G5" s="484"/>
      <c r="H5" s="484"/>
      <c r="I5" s="484"/>
      <c r="J5" s="484"/>
      <c r="K5" s="484"/>
      <c r="L5" s="484"/>
      <c r="M5" s="484"/>
      <c r="N5" s="484"/>
      <c r="O5" s="484"/>
      <c r="P5" s="484"/>
      <c r="Q5" s="484"/>
      <c r="R5" s="484"/>
      <c r="S5" s="484"/>
    </row>
    <row r="20" spans="2:23" ht="39" customHeight="1" x14ac:dyDescent="0.3"/>
    <row r="21" spans="2:23" ht="58.75" customHeight="1" x14ac:dyDescent="0.3">
      <c r="B21" s="592" t="s">
        <v>514</v>
      </c>
      <c r="C21" s="592" t="s">
        <v>515</v>
      </c>
      <c r="D21" s="592" t="s">
        <v>516</v>
      </c>
      <c r="E21" s="593" t="s">
        <v>517</v>
      </c>
      <c r="F21" s="593" t="s">
        <v>518</v>
      </c>
      <c r="G21" s="593" t="s">
        <v>519</v>
      </c>
      <c r="H21" s="593" t="s">
        <v>520</v>
      </c>
      <c r="I21" s="593" t="s">
        <v>521</v>
      </c>
      <c r="J21" s="593" t="s">
        <v>522</v>
      </c>
      <c r="K21" s="593" t="s">
        <v>523</v>
      </c>
      <c r="L21" s="593" t="s">
        <v>524</v>
      </c>
      <c r="M21" s="593" t="s">
        <v>525</v>
      </c>
      <c r="N21" s="593" t="s">
        <v>526</v>
      </c>
    </row>
    <row r="22" spans="2:23" ht="47.5" hidden="1" customHeight="1" x14ac:dyDescent="0.3">
      <c r="B22" s="691" t="s">
        <v>527</v>
      </c>
      <c r="C22" s="692" t="s">
        <v>528</v>
      </c>
      <c r="D22" s="693" t="s">
        <v>529</v>
      </c>
      <c r="E22" s="694" t="s">
        <v>435</v>
      </c>
      <c r="F22" s="695">
        <f>Environment!H48</f>
        <v>253163</v>
      </c>
      <c r="G22" s="696">
        <v>50000000</v>
      </c>
      <c r="H22" s="697">
        <f>(G22-$F22)/$F22</f>
        <v>196.50121463246998</v>
      </c>
      <c r="I22" s="697">
        <f>Environment!D48</f>
        <v>1606644</v>
      </c>
      <c r="J22" s="697">
        <f>(I22-$F22)/$F22</f>
        <v>5.346282829639402</v>
      </c>
      <c r="K22" s="698">
        <f>Environment!E48</f>
        <v>1335881</v>
      </c>
      <c r="L22" s="697">
        <f>(K22-$F22)/$F22</f>
        <v>4.2767624020887727</v>
      </c>
      <c r="M22" s="698">
        <f>Environment!F48</f>
        <v>1006019</v>
      </c>
      <c r="N22" s="697">
        <f>(M22-$F22)/$F22</f>
        <v>2.9737994888668564</v>
      </c>
      <c r="R22" s="486"/>
      <c r="S22" s="486"/>
    </row>
    <row r="23" spans="2:23" ht="35.15" customHeight="1" x14ac:dyDescent="0.3">
      <c r="B23" s="562" t="s">
        <v>530</v>
      </c>
      <c r="C23" s="563" t="s">
        <v>528</v>
      </c>
      <c r="D23" s="567" t="s">
        <v>531</v>
      </c>
      <c r="E23" s="564" t="s">
        <v>436</v>
      </c>
      <c r="F23" s="604">
        <f>Environment!I14</f>
        <v>404040</v>
      </c>
      <c r="G23" s="684">
        <f>F23*(1-0.44)</f>
        <v>226262.40000000002</v>
      </c>
      <c r="H23" s="685">
        <f>($F23-G23)/$F23</f>
        <v>0.43999999999999995</v>
      </c>
      <c r="I23" s="680">
        <f>Environment!D14</f>
        <v>246533</v>
      </c>
      <c r="J23" s="689">
        <f>($F23-I23)/$F23</f>
        <v>0.38983021483021485</v>
      </c>
      <c r="K23" s="680">
        <f>Environment!E14</f>
        <v>281912</v>
      </c>
      <c r="L23" s="565">
        <f>($F23-K23)/$F23</f>
        <v>0.30226710226710229</v>
      </c>
      <c r="M23" s="680">
        <f>Environment!F14</f>
        <v>343933</v>
      </c>
      <c r="N23" s="565">
        <f>($F23-M23)/$F23</f>
        <v>0.14876497376497377</v>
      </c>
      <c r="R23" s="486"/>
      <c r="S23" s="486"/>
      <c r="U23" s="486"/>
      <c r="V23" s="486"/>
      <c r="W23" s="486"/>
    </row>
    <row r="24" spans="2:23" ht="35.15" customHeight="1" x14ac:dyDescent="0.3">
      <c r="B24" s="562" t="s">
        <v>532</v>
      </c>
      <c r="C24" s="563" t="s">
        <v>528</v>
      </c>
      <c r="D24" s="567" t="s">
        <v>533</v>
      </c>
      <c r="E24" s="564" t="s">
        <v>436</v>
      </c>
      <c r="F24" s="604">
        <f>Environment!I19</f>
        <v>3345528</v>
      </c>
      <c r="G24" s="684">
        <f>F24*(1-0.42)</f>
        <v>1940406.2400000002</v>
      </c>
      <c r="H24" s="685">
        <f>($F24-G24)/$F24</f>
        <v>0.41999999999999993</v>
      </c>
      <c r="I24" s="680">
        <f>Environment!D19</f>
        <v>3085054</v>
      </c>
      <c r="J24" s="689">
        <f>($F24-I24)/$F24</f>
        <v>7.7857366609993997E-2</v>
      </c>
      <c r="K24" s="680">
        <f>Environment!E19</f>
        <v>3258688</v>
      </c>
      <c r="L24" s="565">
        <f>($F24-K24)/$F24</f>
        <v>2.5957038769366152E-2</v>
      </c>
      <c r="M24" s="680">
        <f>Environment!F19</f>
        <v>3042748</v>
      </c>
      <c r="N24" s="565">
        <f>($F24-M24)/$F24</f>
        <v>9.0502904175364843E-2</v>
      </c>
      <c r="R24" s="486"/>
      <c r="S24" s="486"/>
      <c r="U24" s="486"/>
      <c r="V24" s="486"/>
      <c r="W24" s="486"/>
    </row>
    <row r="25" spans="2:23" ht="35.15" customHeight="1" x14ac:dyDescent="0.3">
      <c r="B25" s="562" t="s">
        <v>534</v>
      </c>
      <c r="C25" s="563" t="s">
        <v>463</v>
      </c>
      <c r="D25" s="567" t="s">
        <v>535</v>
      </c>
      <c r="E25" s="564" t="s">
        <v>434</v>
      </c>
      <c r="F25" s="668">
        <v>0.70099999999999996</v>
      </c>
      <c r="G25" s="686">
        <v>0.75</v>
      </c>
      <c r="H25" s="710"/>
      <c r="I25" s="681">
        <v>0.75929999999999997</v>
      </c>
      <c r="J25" s="710"/>
      <c r="K25" s="681">
        <v>0.6875</v>
      </c>
      <c r="L25" s="710"/>
      <c r="M25" s="681">
        <v>0.69199999999999995</v>
      </c>
      <c r="N25" s="710"/>
      <c r="R25" s="486"/>
      <c r="S25" s="486"/>
      <c r="U25" s="486"/>
      <c r="V25" s="486"/>
      <c r="W25" s="486"/>
    </row>
    <row r="26" spans="2:23" ht="35.15" customHeight="1" x14ac:dyDescent="0.3">
      <c r="B26" s="562" t="s">
        <v>489</v>
      </c>
      <c r="C26" s="563" t="s">
        <v>480</v>
      </c>
      <c r="D26" s="567" t="s">
        <v>536</v>
      </c>
      <c r="E26" s="564" t="s">
        <v>436</v>
      </c>
      <c r="F26" s="604">
        <f>Environment!I112</f>
        <v>42453</v>
      </c>
      <c r="G26" s="684">
        <f>F26*(1-0.5)</f>
        <v>21226.5</v>
      </c>
      <c r="H26" s="685">
        <f>($F26-G26)/$F26</f>
        <v>0.5</v>
      </c>
      <c r="I26" s="680">
        <f>Environment!D112</f>
        <v>37435</v>
      </c>
      <c r="J26" s="689">
        <f>($F26-I26)/$F26</f>
        <v>0.11820130497255789</v>
      </c>
      <c r="K26" s="680">
        <f>Environment!E112</f>
        <v>42296</v>
      </c>
      <c r="L26" s="690">
        <f>($F26-K26)/$F26</f>
        <v>3.6982074293925049E-3</v>
      </c>
      <c r="M26" s="680">
        <f>Environment!F112</f>
        <v>41823</v>
      </c>
      <c r="N26" s="565">
        <f>($F26-M26)/$F26</f>
        <v>1.4839940640237439E-2</v>
      </c>
      <c r="R26" s="486"/>
      <c r="S26" s="486"/>
      <c r="U26" s="486"/>
      <c r="V26" s="670"/>
      <c r="W26" s="486"/>
    </row>
    <row r="27" spans="2:23" ht="35.15" customHeight="1" x14ac:dyDescent="0.3">
      <c r="B27" s="566" t="s">
        <v>537</v>
      </c>
      <c r="C27" s="700" t="s">
        <v>538</v>
      </c>
      <c r="D27" s="703" t="s">
        <v>539</v>
      </c>
      <c r="E27" s="704" t="s">
        <v>436</v>
      </c>
      <c r="F27" s="711">
        <v>1</v>
      </c>
      <c r="G27" s="712">
        <v>0.3</v>
      </c>
      <c r="H27" s="710"/>
      <c r="I27" s="713">
        <f>-Environment!K104</f>
        <v>0.16597770888553484</v>
      </c>
      <c r="J27" s="710"/>
      <c r="K27" s="710"/>
      <c r="L27" s="710"/>
      <c r="M27" s="710"/>
      <c r="N27" s="710"/>
      <c r="R27" s="486"/>
      <c r="S27" s="486"/>
      <c r="U27" s="486"/>
      <c r="V27" s="486"/>
      <c r="W27" s="486"/>
    </row>
    <row r="28" spans="2:23" ht="35.15" customHeight="1" x14ac:dyDescent="0.3">
      <c r="B28" s="562" t="s">
        <v>540</v>
      </c>
      <c r="C28" s="563" t="s">
        <v>541</v>
      </c>
      <c r="D28" s="567" t="s">
        <v>542</v>
      </c>
      <c r="E28" s="564" t="s">
        <v>436</v>
      </c>
      <c r="F28" s="667">
        <f>'Health and Safety'!I23</f>
        <v>0.79</v>
      </c>
      <c r="G28" s="687">
        <v>0.25</v>
      </c>
      <c r="H28" s="685">
        <f>($F28-G28)/$F28</f>
        <v>0.68354430379746833</v>
      </c>
      <c r="I28" s="683">
        <f>'Health and Safety'!D23</f>
        <v>0.35717850817456592</v>
      </c>
      <c r="J28" s="689">
        <f>($F28-I28)/$F28</f>
        <v>0.54787530610814439</v>
      </c>
      <c r="K28" s="682">
        <f>'Health and Safety'!E23</f>
        <v>0.36</v>
      </c>
      <c r="L28" s="565">
        <f>($F28-K28)/$F28</f>
        <v>0.54430379746835444</v>
      </c>
      <c r="M28" s="682">
        <f>'Health and Safety'!F23</f>
        <v>0.47</v>
      </c>
      <c r="N28" s="565">
        <f>($F28-M28)/$F28</f>
        <v>0.40506329113924056</v>
      </c>
      <c r="R28" s="486"/>
      <c r="S28" s="486"/>
    </row>
    <row r="29" spans="2:23" ht="35.15" customHeight="1" x14ac:dyDescent="0.3">
      <c r="B29" s="562" t="s">
        <v>510</v>
      </c>
      <c r="C29" s="563" t="s">
        <v>511</v>
      </c>
      <c r="D29" s="567" t="s">
        <v>543</v>
      </c>
      <c r="E29" s="564" t="s">
        <v>436</v>
      </c>
      <c r="F29" s="667">
        <f>'Health and Safety'!I27</f>
        <v>1.1819999999999999</v>
      </c>
      <c r="G29" s="688">
        <v>0.4</v>
      </c>
      <c r="H29" s="685">
        <f>($F29-G29)/$F29</f>
        <v>0.66159052453468692</v>
      </c>
      <c r="I29" s="683">
        <f>'Health and Safety'!D27</f>
        <v>0.82</v>
      </c>
      <c r="J29" s="689">
        <f>($F29-I29)/$F29</f>
        <v>0.30626057529610828</v>
      </c>
      <c r="K29" s="683">
        <f>'Health and Safety'!E27</f>
        <v>0.88</v>
      </c>
      <c r="L29" s="565">
        <f>($F29-K29)/$F29</f>
        <v>0.25549915397631129</v>
      </c>
      <c r="M29" s="683">
        <f>'Health and Safety'!F27</f>
        <v>1.0149999999999999</v>
      </c>
      <c r="N29" s="565">
        <f>($F29-M29)/$F29</f>
        <v>0.14128595600676822</v>
      </c>
      <c r="R29" s="486"/>
      <c r="S29" s="486"/>
    </row>
    <row r="30" spans="2:23" ht="35.15" customHeight="1" x14ac:dyDescent="0.3">
      <c r="B30" s="562" t="s">
        <v>544</v>
      </c>
      <c r="C30" s="563"/>
      <c r="D30" s="567" t="s">
        <v>545</v>
      </c>
      <c r="E30" s="665"/>
      <c r="F30" s="666">
        <v>6.9</v>
      </c>
      <c r="G30" s="719">
        <v>8</v>
      </c>
      <c r="H30" s="685">
        <f>(G30-$F30)/$F30</f>
        <v>0.15942028985507239</v>
      </c>
      <c r="I30" s="682">
        <v>7.2</v>
      </c>
      <c r="J30" s="689">
        <f>(I30-$F30)/$F30</f>
        <v>4.3478260869565188E-2</v>
      </c>
      <c r="K30" s="682">
        <v>7.2</v>
      </c>
      <c r="L30" s="565">
        <f>(K30-$F30)/$F30</f>
        <v>4.3478260869565188E-2</v>
      </c>
      <c r="M30" s="682">
        <v>6.9</v>
      </c>
      <c r="N30" s="565">
        <f>(M30-$F30)/$F30</f>
        <v>0</v>
      </c>
      <c r="R30" s="486"/>
      <c r="S30" s="486"/>
    </row>
    <row r="31" spans="2:23" ht="35.15" customHeight="1" x14ac:dyDescent="0.3">
      <c r="B31" s="562" t="s">
        <v>546</v>
      </c>
      <c r="C31" s="563" t="s">
        <v>463</v>
      </c>
      <c r="D31" s="567" t="s">
        <v>547</v>
      </c>
      <c r="E31" s="564" t="s">
        <v>436</v>
      </c>
      <c r="F31" s="668">
        <v>0.3</v>
      </c>
      <c r="G31" s="686">
        <v>0.4</v>
      </c>
      <c r="H31" s="685">
        <f>(G31-$F31)/$F31</f>
        <v>0.33333333333333348</v>
      </c>
      <c r="I31" s="681">
        <f>People!S41</f>
        <v>0.32014176018901358</v>
      </c>
      <c r="J31" s="689">
        <f>(I31-$F31)/$F31</f>
        <v>6.7139200630045304E-2</v>
      </c>
      <c r="K31" s="681">
        <v>0.3</v>
      </c>
      <c r="L31" s="565">
        <f>(K31-$F31)/$F31</f>
        <v>0</v>
      </c>
      <c r="M31" s="681">
        <v>0.28000000000000003</v>
      </c>
      <c r="N31" s="565">
        <f>(M31-$F31)/$F31</f>
        <v>-6.6666666666666541E-2</v>
      </c>
      <c r="R31" s="486"/>
      <c r="S31" s="486"/>
    </row>
    <row r="34" spans="7:10" x14ac:dyDescent="0.3">
      <c r="G34" s="486"/>
      <c r="H34" s="486"/>
      <c r="I34" s="486"/>
      <c r="J34" s="486"/>
    </row>
    <row r="35" spans="7:10" x14ac:dyDescent="0.3">
      <c r="G35" s="671"/>
      <c r="H35" s="671"/>
      <c r="I35" s="671"/>
      <c r="J35" s="671"/>
    </row>
  </sheetData>
  <sheetProtection algorithmName="SHA-512" hashValue="Bx4ss0vafnxTfJsruu0PwticbNAFEUg69rGWWCOEqyV7OVFpnFB2rHocU/Cve+X8FdGxKrejtvjCYQwDzC4g/w==" saltValue="bMl00L4X1RbEqrcqLz4MaQ==" spinCount="100000" sheet="1" objects="1" scenarios="1"/>
  <phoneticPr fontId="3" type="noConversion"/>
  <conditionalFormatting sqref="H22:I22 H23:H31">
    <cfRule type="dataBar" priority="12">
      <dataBar>
        <cfvo type="num" val="-0.2"/>
        <cfvo type="num" val="1"/>
        <color theme="3"/>
      </dataBar>
      <extLst>
        <ext xmlns:x14="http://schemas.microsoft.com/office/spreadsheetml/2009/9/main" uri="{B025F937-C7B1-47D3-B67F-A62EFF666E3E}">
          <x14:id>{E6E15988-90A6-42D8-BACA-98BF7E2EC095}</x14:id>
        </ext>
      </extLst>
    </cfRule>
  </conditionalFormatting>
  <conditionalFormatting sqref="J22:J24 J26 J28:J31">
    <cfRule type="dataBar" priority="6">
      <dataBar>
        <cfvo type="num" val="-0.2"/>
        <cfvo type="num" val="1"/>
        <color theme="3"/>
      </dataBar>
      <extLst>
        <ext xmlns:x14="http://schemas.microsoft.com/office/spreadsheetml/2009/9/main" uri="{B025F937-C7B1-47D3-B67F-A62EFF666E3E}">
          <x14:id>{2C5AA145-13B5-4360-99C8-E43383789861}</x14:id>
        </ext>
      </extLst>
    </cfRule>
  </conditionalFormatting>
  <conditionalFormatting sqref="J25">
    <cfRule type="dataBar" priority="4">
      <dataBar>
        <cfvo type="num" val="-0.2"/>
        <cfvo type="num" val="1"/>
        <color theme="3"/>
      </dataBar>
      <extLst>
        <ext xmlns:x14="http://schemas.microsoft.com/office/spreadsheetml/2009/9/main" uri="{B025F937-C7B1-47D3-B67F-A62EFF666E3E}">
          <x14:id>{718547B6-E346-4D3E-AAF8-6C3D7BB22866}</x14:id>
        </ext>
      </extLst>
    </cfRule>
  </conditionalFormatting>
  <conditionalFormatting sqref="J27:N27">
    <cfRule type="dataBar" priority="1">
      <dataBar>
        <cfvo type="num" val="-0.2"/>
        <cfvo type="num" val="1"/>
        <color theme="3"/>
      </dataBar>
      <extLst>
        <ext xmlns:x14="http://schemas.microsoft.com/office/spreadsheetml/2009/9/main" uri="{B025F937-C7B1-47D3-B67F-A62EFF666E3E}">
          <x14:id>{1331CC16-8C14-46EB-A956-9E85AB7FE433}</x14:id>
        </ext>
      </extLst>
    </cfRule>
  </conditionalFormatting>
  <conditionalFormatting sqref="L22:L24 L28:L31 L26">
    <cfRule type="dataBar" priority="8">
      <dataBar>
        <cfvo type="num" val="-0.2"/>
        <cfvo type="num" val="1"/>
        <color theme="3"/>
      </dataBar>
      <extLst>
        <ext xmlns:x14="http://schemas.microsoft.com/office/spreadsheetml/2009/9/main" uri="{B025F937-C7B1-47D3-B67F-A62EFF666E3E}">
          <x14:id>{AEEF2B8A-4D50-4D71-A40E-A2209E5909EE}</x14:id>
        </ext>
      </extLst>
    </cfRule>
  </conditionalFormatting>
  <conditionalFormatting sqref="L25">
    <cfRule type="dataBar" priority="3">
      <dataBar>
        <cfvo type="num" val="-0.2"/>
        <cfvo type="num" val="1"/>
        <color theme="3"/>
      </dataBar>
      <extLst>
        <ext xmlns:x14="http://schemas.microsoft.com/office/spreadsheetml/2009/9/main" uri="{B025F937-C7B1-47D3-B67F-A62EFF666E3E}">
          <x14:id>{8A1AB145-D545-4F49-848A-27AB219EC6A8}</x14:id>
        </ext>
      </extLst>
    </cfRule>
  </conditionalFormatting>
  <conditionalFormatting sqref="N22:N24 N28:N31 N26">
    <cfRule type="dataBar" priority="7">
      <dataBar>
        <cfvo type="num" val="-0.2"/>
        <cfvo type="num" val="1"/>
        <color theme="3"/>
      </dataBar>
      <extLst>
        <ext xmlns:x14="http://schemas.microsoft.com/office/spreadsheetml/2009/9/main" uri="{B025F937-C7B1-47D3-B67F-A62EFF666E3E}">
          <x14:id>{FB893C09-3A3D-41C5-9124-F5CCF1ED86F4}</x14:id>
        </ext>
      </extLst>
    </cfRule>
  </conditionalFormatting>
  <conditionalFormatting sqref="N25">
    <cfRule type="dataBar" priority="2">
      <dataBar>
        <cfvo type="num" val="-0.2"/>
        <cfvo type="num" val="1"/>
        <color theme="3"/>
      </dataBar>
      <extLst>
        <ext xmlns:x14="http://schemas.microsoft.com/office/spreadsheetml/2009/9/main" uri="{B025F937-C7B1-47D3-B67F-A62EFF666E3E}">
          <x14:id>{19932C11-F2B9-4A09-BC42-7A3E3636C421}</x14:id>
        </ext>
      </extLst>
    </cfRule>
  </conditionalFormatting>
  <pageMargins left="0.70866141732283472" right="0.70866141732283472" top="0.74803149606299213" bottom="0.74803149606299213" header="0.31496062992125984" footer="0.31496062992125984"/>
  <pageSetup paperSize="9" scale="48" orientation="landscape" r:id="rId1"/>
  <ignoredErrors>
    <ignoredError sqref="K22 K26 M22:M24 M26 K24 K28:K29 M28:M29" formula="1"/>
  </ignoredErrors>
  <drawing r:id="rId2"/>
  <extLst>
    <ext xmlns:x14="http://schemas.microsoft.com/office/spreadsheetml/2009/9/main" uri="{78C0D931-6437-407d-A8EE-F0AAD7539E65}">
      <x14:conditionalFormattings>
        <x14:conditionalFormatting xmlns:xm="http://schemas.microsoft.com/office/excel/2006/main">
          <x14:cfRule type="dataBar" id="{E6E15988-90A6-42D8-BACA-98BF7E2EC095}">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H22:I22 H23:H31</xm:sqref>
        </x14:conditionalFormatting>
        <x14:conditionalFormatting xmlns:xm="http://schemas.microsoft.com/office/excel/2006/main">
          <x14:cfRule type="dataBar" id="{2C5AA145-13B5-4360-99C8-E4338378986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J22:J24 J26 J28:J31</xm:sqref>
        </x14:conditionalFormatting>
        <x14:conditionalFormatting xmlns:xm="http://schemas.microsoft.com/office/excel/2006/main">
          <x14:cfRule type="dataBar" id="{718547B6-E346-4D3E-AAF8-6C3D7BB22866}">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J25</xm:sqref>
        </x14:conditionalFormatting>
        <x14:conditionalFormatting xmlns:xm="http://schemas.microsoft.com/office/excel/2006/main">
          <x14:cfRule type="dataBar" id="{1331CC16-8C14-46EB-A956-9E85AB7FE43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J27:N27</xm:sqref>
        </x14:conditionalFormatting>
        <x14:conditionalFormatting xmlns:xm="http://schemas.microsoft.com/office/excel/2006/main">
          <x14:cfRule type="dataBar" id="{AEEF2B8A-4D50-4D71-A40E-A2209E5909E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L22:L24 L28:L31 L26</xm:sqref>
        </x14:conditionalFormatting>
        <x14:conditionalFormatting xmlns:xm="http://schemas.microsoft.com/office/excel/2006/main">
          <x14:cfRule type="dataBar" id="{8A1AB145-D545-4F49-848A-27AB219EC6A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L25</xm:sqref>
        </x14:conditionalFormatting>
        <x14:conditionalFormatting xmlns:xm="http://schemas.microsoft.com/office/excel/2006/main">
          <x14:cfRule type="dataBar" id="{FB893C09-3A3D-41C5-9124-F5CCF1ED86F4}">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N22:N24 N28:N31 N26</xm:sqref>
        </x14:conditionalFormatting>
        <x14:conditionalFormatting xmlns:xm="http://schemas.microsoft.com/office/excel/2006/main">
          <x14:cfRule type="dataBar" id="{19932C11-F2B9-4A09-BC42-7A3E3636C42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6D5E-D05B-4F16-8311-013CAAB58CEB}">
  <sheetPr codeName="Sheet17">
    <tabColor theme="6"/>
  </sheetPr>
  <dimension ref="B2:W42"/>
  <sheetViews>
    <sheetView zoomScale="80" zoomScaleNormal="80" workbookViewId="0">
      <selection sqref="A1:XFD1048576"/>
    </sheetView>
  </sheetViews>
  <sheetFormatPr defaultColWidth="8.81640625" defaultRowHeight="13.5" x14ac:dyDescent="0.3"/>
  <cols>
    <col min="1" max="1" width="6.453125" style="3" customWidth="1"/>
    <col min="2" max="2" width="79.54296875" style="3" customWidth="1"/>
    <col min="3" max="3" width="12.90625" style="3" customWidth="1"/>
    <col min="4" max="6" width="12.81640625" style="3" customWidth="1"/>
    <col min="7" max="7" width="14.1796875" style="3" bestFit="1" customWidth="1"/>
    <col min="8" max="10" width="18.453125" style="3" customWidth="1"/>
    <col min="11" max="14" width="15.1796875" style="3" customWidth="1"/>
    <col min="15" max="15" width="12.81640625" style="3" customWidth="1"/>
    <col min="16" max="16" width="24.54296875" style="3" customWidth="1"/>
    <col min="17" max="17" width="25.54296875" style="3" customWidth="1"/>
    <col min="18" max="18" width="14.1796875" style="3" customWidth="1"/>
    <col min="19" max="19" width="9.1796875" style="3" customWidth="1"/>
    <col min="20" max="16384" width="8.81640625" style="3"/>
  </cols>
  <sheetData>
    <row r="2" spans="2:23" ht="43.4" customHeight="1" x14ac:dyDescent="0.3">
      <c r="B2" s="594" t="s">
        <v>21</v>
      </c>
      <c r="C2" s="483"/>
      <c r="D2" s="483"/>
      <c r="E2" s="483"/>
      <c r="G2" s="483"/>
      <c r="H2" s="483"/>
      <c r="I2" s="483"/>
      <c r="J2" s="483"/>
      <c r="K2" s="483"/>
      <c r="L2" s="483"/>
      <c r="M2" s="483"/>
      <c r="N2" s="483"/>
      <c r="O2" s="483"/>
      <c r="P2" s="483"/>
      <c r="Q2" s="483"/>
      <c r="R2" s="483"/>
      <c r="S2" s="483"/>
      <c r="T2" s="483"/>
      <c r="U2" s="483"/>
      <c r="V2" s="483"/>
      <c r="W2" s="483"/>
    </row>
    <row r="3" spans="2:23" ht="28.4" customHeight="1" x14ac:dyDescent="0.3">
      <c r="G3" s="484"/>
      <c r="H3" s="484"/>
      <c r="I3" s="484"/>
      <c r="J3" s="484"/>
      <c r="K3" s="484"/>
      <c r="L3" s="484"/>
      <c r="M3" s="484"/>
      <c r="N3" s="484"/>
      <c r="O3" s="484"/>
      <c r="P3" s="484"/>
      <c r="Q3" s="484"/>
      <c r="R3" s="484"/>
      <c r="S3" s="484"/>
    </row>
    <row r="4" spans="2:23" ht="18.649999999999999" customHeight="1" x14ac:dyDescent="0.3">
      <c r="F4" s="485"/>
      <c r="G4" s="484"/>
      <c r="H4" s="484"/>
      <c r="I4" s="484"/>
      <c r="J4" s="484"/>
      <c r="K4" s="484"/>
      <c r="L4" s="484"/>
      <c r="M4" s="484"/>
      <c r="N4" s="484"/>
      <c r="O4" s="484"/>
      <c r="P4" s="484"/>
      <c r="Q4" s="484"/>
      <c r="R4" s="484"/>
      <c r="S4" s="484"/>
    </row>
    <row r="5" spans="2:23" ht="18.649999999999999" customHeight="1" x14ac:dyDescent="0.3">
      <c r="B5" s="1575" t="s">
        <v>548</v>
      </c>
      <c r="C5" s="1575"/>
      <c r="D5" s="1575"/>
      <c r="E5" s="1575"/>
      <c r="F5" s="1575"/>
      <c r="G5" s="1575"/>
      <c r="H5" s="1575"/>
      <c r="I5" s="1575"/>
      <c r="J5" s="484"/>
      <c r="K5" s="484"/>
      <c r="L5" s="484"/>
      <c r="M5" s="484"/>
      <c r="N5" s="484"/>
      <c r="O5" s="484"/>
      <c r="P5" s="484"/>
      <c r="Q5" s="484"/>
      <c r="R5" s="484"/>
      <c r="S5" s="484"/>
    </row>
    <row r="7" spans="2:23" x14ac:dyDescent="0.3">
      <c r="B7" s="1569" t="s">
        <v>549</v>
      </c>
      <c r="C7" s="1576" t="s">
        <v>430</v>
      </c>
      <c r="D7" s="745" t="s">
        <v>431</v>
      </c>
      <c r="E7" s="721" t="s">
        <v>432</v>
      </c>
      <c r="F7" s="721" t="s">
        <v>433</v>
      </c>
    </row>
    <row r="8" spans="2:23" x14ac:dyDescent="0.3">
      <c r="B8" s="1569"/>
      <c r="C8" s="1576"/>
      <c r="D8" s="721" t="s">
        <v>438</v>
      </c>
      <c r="E8" s="721" t="s">
        <v>438</v>
      </c>
      <c r="F8" s="721" t="s">
        <v>438</v>
      </c>
    </row>
    <row r="9" spans="2:23" ht="15" x14ac:dyDescent="0.3">
      <c r="B9" s="534" t="s">
        <v>550</v>
      </c>
      <c r="C9" s="568" t="s">
        <v>463</v>
      </c>
      <c r="D9" s="746">
        <v>0.7</v>
      </c>
      <c r="E9" s="701">
        <v>0.73</v>
      </c>
      <c r="F9" s="701">
        <v>0.74</v>
      </c>
    </row>
    <row r="10" spans="2:23" ht="15" x14ac:dyDescent="0.3">
      <c r="B10" s="534" t="s">
        <v>551</v>
      </c>
      <c r="C10" s="568" t="s">
        <v>463</v>
      </c>
      <c r="D10" s="746">
        <v>0.01</v>
      </c>
      <c r="E10" s="701">
        <v>0.01</v>
      </c>
      <c r="F10" s="701">
        <v>0.01</v>
      </c>
    </row>
    <row r="11" spans="2:23" ht="15" x14ac:dyDescent="0.3">
      <c r="B11" s="534" t="s">
        <v>552</v>
      </c>
      <c r="C11" s="568" t="s">
        <v>463</v>
      </c>
      <c r="D11" s="746">
        <v>0.09</v>
      </c>
      <c r="E11" s="701">
        <v>0.08</v>
      </c>
      <c r="F11" s="701">
        <v>0.05</v>
      </c>
    </row>
    <row r="12" spans="2:23" ht="15" x14ac:dyDescent="0.3">
      <c r="B12" s="534" t="s">
        <v>553</v>
      </c>
      <c r="C12" s="568" t="s">
        <v>463</v>
      </c>
      <c r="D12" s="746">
        <v>0.02</v>
      </c>
      <c r="E12" s="701">
        <v>7.0000000000000007E-2</v>
      </c>
      <c r="F12" s="701">
        <v>7.0000000000000007E-2</v>
      </c>
      <c r="G12" s="714"/>
    </row>
    <row r="13" spans="2:23" ht="15" x14ac:dyDescent="0.3">
      <c r="B13" s="534" t="s">
        <v>554</v>
      </c>
      <c r="C13" s="568" t="s">
        <v>463</v>
      </c>
      <c r="D13" s="746">
        <v>0.18</v>
      </c>
      <c r="E13" s="701">
        <v>0.11</v>
      </c>
      <c r="F13" s="701">
        <v>0.13</v>
      </c>
    </row>
    <row r="14" spans="2:23" x14ac:dyDescent="0.3">
      <c r="D14" s="714"/>
      <c r="E14" s="714"/>
      <c r="F14" s="714"/>
    </row>
    <row r="15" spans="2:23" x14ac:dyDescent="0.3">
      <c r="B15" s="1569" t="s">
        <v>555</v>
      </c>
      <c r="C15" s="1576" t="s">
        <v>430</v>
      </c>
      <c r="D15" s="745" t="s">
        <v>431</v>
      </c>
      <c r="E15" s="721" t="s">
        <v>432</v>
      </c>
      <c r="F15" s="721" t="s">
        <v>433</v>
      </c>
    </row>
    <row r="16" spans="2:23" x14ac:dyDescent="0.3">
      <c r="B16" s="1569"/>
      <c r="C16" s="1576"/>
      <c r="D16" s="721" t="s">
        <v>438</v>
      </c>
      <c r="E16" s="721" t="s">
        <v>438</v>
      </c>
      <c r="F16" s="721" t="s">
        <v>438</v>
      </c>
    </row>
    <row r="17" spans="2:10" ht="15" x14ac:dyDescent="0.3">
      <c r="B17" s="534" t="s">
        <v>550</v>
      </c>
      <c r="C17" s="568" t="s">
        <v>463</v>
      </c>
      <c r="D17" s="746">
        <v>0.55249999999999999</v>
      </c>
      <c r="E17" s="701">
        <v>0.57999999999999996</v>
      </c>
      <c r="F17" s="701">
        <v>0.6</v>
      </c>
    </row>
    <row r="18" spans="2:10" ht="15" x14ac:dyDescent="0.3">
      <c r="B18" s="534" t="s">
        <v>551</v>
      </c>
      <c r="C18" s="568" t="s">
        <v>463</v>
      </c>
      <c r="D18" s="746">
        <v>5.21E-2</v>
      </c>
      <c r="E18" s="701">
        <v>7.0000000000000007E-2</v>
      </c>
      <c r="F18" s="701">
        <v>7.0000000000000007E-2</v>
      </c>
      <c r="J18" s="708"/>
    </row>
    <row r="19" spans="2:10" ht="15" x14ac:dyDescent="0.3">
      <c r="B19" s="534" t="s">
        <v>552</v>
      </c>
      <c r="C19" s="568" t="s">
        <v>463</v>
      </c>
      <c r="D19" s="746">
        <v>0.1288</v>
      </c>
      <c r="E19" s="701">
        <v>0.11</v>
      </c>
      <c r="F19" s="701">
        <v>0.08</v>
      </c>
    </row>
    <row r="20" spans="2:10" ht="15" x14ac:dyDescent="0.3">
      <c r="B20" s="534" t="s">
        <v>553</v>
      </c>
      <c r="C20" s="568" t="s">
        <v>463</v>
      </c>
      <c r="D20" s="746">
        <v>0.13289999999999999</v>
      </c>
      <c r="E20" s="701">
        <v>0.16</v>
      </c>
      <c r="F20" s="701">
        <v>0.16</v>
      </c>
      <c r="G20" s="714"/>
      <c r="H20" s="714"/>
    </row>
    <row r="21" spans="2:10" ht="15" x14ac:dyDescent="0.3">
      <c r="B21" s="534" t="s">
        <v>554</v>
      </c>
      <c r="C21" s="568" t="s">
        <v>463</v>
      </c>
      <c r="D21" s="746">
        <v>0.1336</v>
      </c>
      <c r="E21" s="701">
        <v>0.08</v>
      </c>
      <c r="F21" s="701">
        <v>0.09</v>
      </c>
    </row>
    <row r="22" spans="2:10" x14ac:dyDescent="0.3">
      <c r="D22" s="714"/>
      <c r="E22" s="714"/>
      <c r="F22" s="714"/>
      <c r="G22" s="486"/>
      <c r="H22" s="486"/>
      <c r="I22" s="486"/>
      <c r="J22" s="486"/>
    </row>
    <row r="23" spans="2:10" x14ac:dyDescent="0.3">
      <c r="D23" s="741"/>
      <c r="G23" s="671"/>
      <c r="H23" s="671"/>
      <c r="I23" s="671"/>
      <c r="J23" s="671"/>
    </row>
    <row r="42" spans="2:7" x14ac:dyDescent="0.3">
      <c r="B42" s="702" t="str">
        <f>"Total sales from products contibuting to priority UN SDGs = "&amp;ROUND(SUM(D9:D12),2)*100&amp;"%"</f>
        <v>Total sales from products contibuting to priority UN SDGs = 82%</v>
      </c>
      <c r="C42" s="702" t="str">
        <f>"Total R&amp;D spend contibuting to priority UN SDGs = "&amp;ROUND(SUM(D17:D20),2)*100&amp;"%"</f>
        <v>Total R&amp;D spend contibuting to priority UN SDGs = 87%</v>
      </c>
      <c r="D42" s="487"/>
      <c r="E42" s="487"/>
      <c r="F42" s="487"/>
      <c r="G42" s="487"/>
    </row>
  </sheetData>
  <sheetProtection algorithmName="SHA-512" hashValue="aZ8lSi12SK2Xx4ZZ5JR+AE8UveDnaABxpMPtEn2s1Bw0q6RX2Aq5R2+mepG2tHCmFI1yDofLFRlov6psNWeGgA==" saltValue="6hyaDSbezX9ZxNowRJddxQ==" spinCount="100000" sheet="1" objects="1" scenarios="1"/>
  <mergeCells count="5">
    <mergeCell ref="B5:I5"/>
    <mergeCell ref="B7:B8"/>
    <mergeCell ref="C7:C8"/>
    <mergeCell ref="B15:B16"/>
    <mergeCell ref="C15:C16"/>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7BCF6-BB54-4B91-AFB5-85B41B2094CE}">
  <sheetPr codeName="Sheet18">
    <tabColor theme="6"/>
    <pageSetUpPr fitToPage="1"/>
  </sheetPr>
  <dimension ref="A1:S180"/>
  <sheetViews>
    <sheetView tabSelected="1" zoomScale="80" zoomScaleNormal="80" workbookViewId="0">
      <selection activeCell="E172" sqref="E172"/>
    </sheetView>
  </sheetViews>
  <sheetFormatPr defaultColWidth="8.81640625" defaultRowHeight="13.5" customHeight="1" x14ac:dyDescent="0.35"/>
  <cols>
    <col min="1" max="1" width="5.1796875" style="58" customWidth="1"/>
    <col min="2" max="2" width="99.81640625" style="58" customWidth="1"/>
    <col min="3" max="3" width="27.90625" style="91" customWidth="1"/>
    <col min="4" max="4" width="24.81640625" style="91" customWidth="1"/>
    <col min="5" max="5" width="24.1796875" style="58" customWidth="1"/>
    <col min="6" max="6" width="21" style="58" bestFit="1" customWidth="1"/>
    <col min="7" max="8" width="21.81640625" style="58" bestFit="1" customWidth="1"/>
    <col min="9" max="9" width="21.453125" style="58" customWidth="1"/>
    <col min="10" max="10" width="22.81640625" style="58" customWidth="1"/>
    <col min="11" max="11" width="20.81640625" style="58" customWidth="1"/>
    <col min="12" max="12" width="20.1796875" style="58" customWidth="1"/>
    <col min="13" max="13" width="15.54296875" style="58" bestFit="1" customWidth="1"/>
    <col min="14" max="16" width="15.1796875" style="58" bestFit="1" customWidth="1"/>
    <col min="17" max="17" width="12" style="58" customWidth="1"/>
    <col min="18" max="18" width="8.81640625" style="58" bestFit="1"/>
    <col min="19" max="16384" width="8.81640625" style="58"/>
  </cols>
  <sheetData>
    <row r="1" spans="1:18" x14ac:dyDescent="0.35"/>
    <row r="2" spans="1:18" ht="54" customHeight="1" x14ac:dyDescent="0.35">
      <c r="A2" s="357"/>
      <c r="B2" s="967" t="s">
        <v>31</v>
      </c>
      <c r="C2" s="967"/>
      <c r="D2" s="967"/>
      <c r="E2" s="967"/>
      <c r="F2" s="967"/>
      <c r="G2" s="967"/>
      <c r="H2" s="967"/>
      <c r="I2" s="967"/>
      <c r="J2" s="967"/>
      <c r="K2" s="967"/>
      <c r="L2" s="967"/>
      <c r="M2" s="967"/>
      <c r="N2" s="967"/>
      <c r="O2" s="4"/>
      <c r="P2" s="100"/>
      <c r="Q2" s="100"/>
      <c r="R2" s="101"/>
    </row>
    <row r="3" spans="1:18" ht="40.75" customHeight="1" x14ac:dyDescent="0.35">
      <c r="B3" s="102"/>
      <c r="C3" s="103"/>
      <c r="D3" s="103"/>
      <c r="E3" s="102"/>
      <c r="F3" s="967"/>
      <c r="G3" s="102"/>
      <c r="H3" s="104"/>
      <c r="I3" s="104"/>
      <c r="J3" s="104"/>
      <c r="K3" s="104"/>
      <c r="L3" s="104"/>
      <c r="M3" s="104"/>
      <c r="N3" s="104"/>
      <c r="O3" s="104"/>
      <c r="P3" s="104"/>
      <c r="Q3" s="104"/>
      <c r="R3" s="101"/>
    </row>
    <row r="4" spans="1:18" ht="19.5" x14ac:dyDescent="0.35">
      <c r="B4" s="1577" t="s">
        <v>1443</v>
      </c>
      <c r="C4" s="1577"/>
      <c r="D4" s="1577"/>
      <c r="E4" s="1577"/>
      <c r="F4" s="1577"/>
      <c r="G4" s="102"/>
      <c r="H4" s="104"/>
      <c r="I4" s="104"/>
      <c r="J4" s="104"/>
      <c r="K4" s="104"/>
      <c r="L4" s="104"/>
      <c r="M4" s="104"/>
      <c r="N4" s="104"/>
      <c r="O4" s="104"/>
      <c r="P4" s="104"/>
      <c r="Q4" s="104"/>
      <c r="R4" s="101"/>
    </row>
    <row r="5" spans="1:18" ht="45" customHeight="1" x14ac:dyDescent="0.35">
      <c r="B5" s="1578" t="s">
        <v>1442</v>
      </c>
      <c r="C5" s="1578"/>
      <c r="D5" s="1578"/>
      <c r="E5" s="1578"/>
      <c r="F5" s="1578"/>
      <c r="G5" s="1578"/>
      <c r="H5" s="1578"/>
      <c r="I5" s="1578"/>
      <c r="J5" s="742"/>
      <c r="K5" s="742"/>
      <c r="L5"/>
      <c r="M5" s="101"/>
      <c r="N5" s="356"/>
      <c r="O5" s="101"/>
      <c r="P5" s="113"/>
      <c r="Q5" s="101"/>
      <c r="R5" s="101"/>
    </row>
    <row r="6" spans="1:18" ht="15" x14ac:dyDescent="0.35">
      <c r="B6" s="17"/>
      <c r="C6" s="98"/>
      <c r="D6" s="98"/>
      <c r="E6" s="17"/>
      <c r="F6" s="17"/>
      <c r="G6" s="17"/>
      <c r="H6" s="18"/>
      <c r="I6" s="18"/>
      <c r="J6" s="18"/>
      <c r="K6" s="742"/>
      <c r="L6" s="101"/>
      <c r="M6" s="101"/>
      <c r="N6" s="101"/>
      <c r="O6" s="101"/>
      <c r="P6" s="968"/>
      <c r="Q6" s="101"/>
      <c r="R6" s="101"/>
    </row>
    <row r="7" spans="1:18" ht="19.5" x14ac:dyDescent="0.35">
      <c r="B7" s="969" t="s">
        <v>556</v>
      </c>
      <c r="C7" s="970"/>
      <c r="D7" s="970"/>
      <c r="E7" s="971"/>
      <c r="F7" s="971"/>
      <c r="G7" s="971"/>
      <c r="H7" s="972"/>
      <c r="I7" s="972"/>
      <c r="J7" s="972"/>
      <c r="K7" s="972"/>
      <c r="L7" s="101"/>
      <c r="M7" s="101"/>
      <c r="N7" s="101"/>
      <c r="O7" s="101"/>
      <c r="P7" s="968"/>
      <c r="Q7" s="101"/>
      <c r="R7" s="101"/>
    </row>
    <row r="8" spans="1:18" ht="19.5" x14ac:dyDescent="0.35">
      <c r="B8" s="973"/>
      <c r="C8" s="974"/>
      <c r="D8" s="975"/>
      <c r="E8" s="976"/>
      <c r="F8" s="977"/>
      <c r="G8" s="977"/>
      <c r="H8" s="978"/>
      <c r="I8" s="978"/>
      <c r="J8" s="978"/>
      <c r="K8" s="979"/>
      <c r="L8" s="115"/>
      <c r="M8" s="115"/>
      <c r="N8" s="115"/>
      <c r="O8" s="115"/>
      <c r="P8" s="968"/>
      <c r="Q8" s="115"/>
      <c r="R8" s="115"/>
    </row>
    <row r="9" spans="1:18" ht="39.65" customHeight="1" x14ac:dyDescent="0.35">
      <c r="B9" s="1580" t="s">
        <v>429</v>
      </c>
      <c r="C9" s="1581" t="s">
        <v>430</v>
      </c>
      <c r="D9" s="981" t="s">
        <v>431</v>
      </c>
      <c r="E9" s="982" t="s">
        <v>432</v>
      </c>
      <c r="F9" s="982" t="s">
        <v>433</v>
      </c>
      <c r="G9" s="982" t="s">
        <v>434</v>
      </c>
      <c r="H9" s="982" t="s">
        <v>435</v>
      </c>
      <c r="I9" s="982" t="s">
        <v>436</v>
      </c>
      <c r="J9" s="983" t="s">
        <v>557</v>
      </c>
      <c r="K9" s="983" t="s">
        <v>558</v>
      </c>
      <c r="L9" s="742"/>
      <c r="M9" s="101"/>
      <c r="N9" s="101"/>
      <c r="O9" s="101"/>
      <c r="P9" s="968"/>
      <c r="Q9" s="101"/>
    </row>
    <row r="10" spans="1:18" x14ac:dyDescent="0.35">
      <c r="B10" s="1580"/>
      <c r="C10" s="1581"/>
      <c r="D10" s="982" t="s">
        <v>438</v>
      </c>
      <c r="E10" s="982" t="s">
        <v>438</v>
      </c>
      <c r="F10" s="982" t="s">
        <v>438</v>
      </c>
      <c r="G10" s="982" t="s">
        <v>438</v>
      </c>
      <c r="H10" s="982" t="s">
        <v>438</v>
      </c>
      <c r="I10" s="982" t="s">
        <v>438</v>
      </c>
      <c r="J10" s="984" t="s">
        <v>438</v>
      </c>
      <c r="K10" s="984" t="s">
        <v>438</v>
      </c>
      <c r="L10" s="101"/>
      <c r="M10" s="101"/>
      <c r="N10" s="101"/>
      <c r="O10" s="101"/>
      <c r="P10" s="968"/>
      <c r="Q10" s="101"/>
    </row>
    <row r="11" spans="1:18" ht="18" customHeight="1" x14ac:dyDescent="0.3">
      <c r="B11" s="534" t="s">
        <v>368</v>
      </c>
      <c r="C11" s="568" t="s">
        <v>441</v>
      </c>
      <c r="D11" s="985">
        <v>225330</v>
      </c>
      <c r="E11" s="535">
        <v>215647</v>
      </c>
      <c r="F11" s="535">
        <v>215166</v>
      </c>
      <c r="G11" s="535">
        <v>226341</v>
      </c>
      <c r="H11" s="535">
        <v>229150</v>
      </c>
      <c r="I11" s="535">
        <v>227933</v>
      </c>
      <c r="J11" s="986">
        <f t="shared" ref="J11:J15" si="0">(D11-E11)/E11</f>
        <v>4.4902085352450993E-2</v>
      </c>
      <c r="K11" s="987">
        <f t="shared" ref="K11:K16" si="1">(D11-I11)/I11</f>
        <v>-1.1420022550486327E-2</v>
      </c>
      <c r="L11" s="101"/>
      <c r="M11" s="101"/>
      <c r="N11" s="101"/>
      <c r="O11" s="101"/>
      <c r="P11" s="113"/>
      <c r="Q11" s="101"/>
    </row>
    <row r="12" spans="1:18" ht="18" customHeight="1" x14ac:dyDescent="0.3">
      <c r="B12" s="534" t="s">
        <v>370</v>
      </c>
      <c r="C12" s="568" t="s">
        <v>441</v>
      </c>
      <c r="D12" s="988">
        <v>21204</v>
      </c>
      <c r="E12" s="535">
        <v>66265</v>
      </c>
      <c r="F12" s="535">
        <v>128768</v>
      </c>
      <c r="G12" s="535">
        <v>167772</v>
      </c>
      <c r="H12" s="535">
        <v>165830</v>
      </c>
      <c r="I12" s="535">
        <v>176107</v>
      </c>
      <c r="J12" s="986">
        <f t="shared" si="0"/>
        <v>-0.68001207273824793</v>
      </c>
      <c r="K12" s="987">
        <f t="shared" si="1"/>
        <v>-0.87959592747590953</v>
      </c>
      <c r="L12" s="101"/>
      <c r="M12" s="101"/>
      <c r="N12" s="101"/>
      <c r="O12" s="101"/>
      <c r="P12" s="113"/>
      <c r="Q12" s="101"/>
    </row>
    <row r="13" spans="1:18" ht="18" customHeight="1" x14ac:dyDescent="0.3">
      <c r="B13" s="534" t="s">
        <v>442</v>
      </c>
      <c r="C13" s="568" t="s">
        <v>441</v>
      </c>
      <c r="D13" s="988">
        <v>178481</v>
      </c>
      <c r="E13" s="535">
        <v>195176</v>
      </c>
      <c r="F13" s="535">
        <v>202348</v>
      </c>
      <c r="G13" s="535">
        <v>223643</v>
      </c>
      <c r="H13" s="535">
        <v>205943</v>
      </c>
      <c r="I13" s="535">
        <v>227469</v>
      </c>
      <c r="J13" s="986">
        <f t="shared" si="0"/>
        <v>-8.5538180923884086E-2</v>
      </c>
      <c r="K13" s="987">
        <f t="shared" si="1"/>
        <v>-0.21536121405554162</v>
      </c>
      <c r="L13" s="101"/>
      <c r="M13" s="101"/>
      <c r="N13" s="101"/>
      <c r="O13" s="101"/>
      <c r="P13" s="113"/>
      <c r="Q13" s="101"/>
    </row>
    <row r="14" spans="1:18" ht="18" customHeight="1" x14ac:dyDescent="0.3">
      <c r="B14" s="536" t="s">
        <v>460</v>
      </c>
      <c r="C14" s="569" t="s">
        <v>444</v>
      </c>
      <c r="D14" s="988">
        <v>246533</v>
      </c>
      <c r="E14" s="989">
        <v>281912</v>
      </c>
      <c r="F14" s="989">
        <v>343933</v>
      </c>
      <c r="G14" s="989">
        <v>394113</v>
      </c>
      <c r="H14" s="989">
        <v>394980</v>
      </c>
      <c r="I14" s="989">
        <v>404040</v>
      </c>
      <c r="J14" s="986">
        <f t="shared" si="0"/>
        <v>-0.12549660887085332</v>
      </c>
      <c r="K14" s="987">
        <f t="shared" si="1"/>
        <v>-0.38983021483021485</v>
      </c>
      <c r="M14" s="990"/>
      <c r="N14" s="991"/>
      <c r="O14" s="992"/>
      <c r="Q14" s="101"/>
    </row>
    <row r="15" spans="1:18" ht="18" customHeight="1" x14ac:dyDescent="0.3">
      <c r="B15" s="534" t="s">
        <v>1289</v>
      </c>
      <c r="C15" s="568" t="s">
        <v>441</v>
      </c>
      <c r="D15" s="988">
        <v>403811</v>
      </c>
      <c r="E15" s="535">
        <v>410823</v>
      </c>
      <c r="F15" s="535">
        <v>417514</v>
      </c>
      <c r="G15" s="535">
        <v>449984</v>
      </c>
      <c r="H15" s="535">
        <v>435092</v>
      </c>
      <c r="I15" s="535">
        <v>455402</v>
      </c>
      <c r="J15" s="986">
        <f t="shared" si="0"/>
        <v>-1.7068177779725087E-2</v>
      </c>
      <c r="K15" s="987">
        <f t="shared" si="1"/>
        <v>-0.11328672250012077</v>
      </c>
      <c r="M15" s="990"/>
      <c r="N15" s="991"/>
      <c r="O15" s="990"/>
      <c r="P15" s="993"/>
      <c r="Q15" s="101"/>
    </row>
    <row r="16" spans="1:18" ht="31.5" customHeight="1" x14ac:dyDescent="0.35">
      <c r="B16" s="536" t="s">
        <v>446</v>
      </c>
      <c r="C16" s="994" t="s">
        <v>447</v>
      </c>
      <c r="D16" s="662">
        <f>D14/97876</f>
        <v>2.5188299480975931</v>
      </c>
      <c r="E16" s="995">
        <f>E14/104994</f>
        <v>2.6850296207402327</v>
      </c>
      <c r="F16" s="995">
        <f>F14/103566</f>
        <v>3.3209064750980053</v>
      </c>
      <c r="G16" s="995">
        <f>G14/105896</f>
        <v>3.7216986477298484</v>
      </c>
      <c r="H16" s="995">
        <f>H14/102204</f>
        <v>3.8646236937888929</v>
      </c>
      <c r="I16" s="995">
        <f>404040/108710</f>
        <v>3.716677398583387</v>
      </c>
      <c r="J16" s="996">
        <f>(D16-E16)/E16</f>
        <v>-6.1898636558363251E-2</v>
      </c>
      <c r="K16" s="987">
        <f t="shared" si="1"/>
        <v>-0.32228986323708209</v>
      </c>
      <c r="M16" s="101"/>
      <c r="P16" s="101"/>
      <c r="Q16" s="101"/>
    </row>
    <row r="17" spans="2:18" x14ac:dyDescent="0.35">
      <c r="B17" s="114"/>
      <c r="C17" s="997"/>
      <c r="D17" s="481"/>
      <c r="E17" s="998"/>
      <c r="F17" s="999"/>
      <c r="G17" s="481"/>
      <c r="H17" s="481"/>
      <c r="I17" s="117"/>
      <c r="J17" s="117"/>
      <c r="K17" s="117"/>
      <c r="M17" s="1000"/>
      <c r="N17" s="1001"/>
      <c r="P17" s="101"/>
      <c r="Q17" s="101"/>
      <c r="R17" s="101"/>
    </row>
    <row r="18" spans="2:18" ht="41.5" customHeight="1" x14ac:dyDescent="0.35">
      <c r="B18" s="1002" t="s">
        <v>559</v>
      </c>
      <c r="C18" s="980" t="s">
        <v>430</v>
      </c>
      <c r="D18" s="981" t="s">
        <v>431</v>
      </c>
      <c r="E18" s="982" t="s">
        <v>432</v>
      </c>
      <c r="F18" s="982" t="s">
        <v>433</v>
      </c>
      <c r="G18" s="982" t="s">
        <v>434</v>
      </c>
      <c r="H18" s="982" t="s">
        <v>435</v>
      </c>
      <c r="I18" s="982" t="s">
        <v>436</v>
      </c>
      <c r="J18" s="1003" t="s">
        <v>557</v>
      </c>
      <c r="K18" s="1003" t="s">
        <v>558</v>
      </c>
      <c r="M18" s="1000"/>
      <c r="N18" s="101"/>
      <c r="O18" s="101"/>
      <c r="P18" s="101"/>
      <c r="Q18" s="101"/>
      <c r="R18" s="101"/>
    </row>
    <row r="19" spans="2:18" ht="17" x14ac:dyDescent="0.35">
      <c r="B19" s="1004" t="s">
        <v>560</v>
      </c>
      <c r="C19" s="1004" t="s">
        <v>561</v>
      </c>
      <c r="D19" s="1005">
        <v>3085054</v>
      </c>
      <c r="E19" s="1006">
        <v>3258688</v>
      </c>
      <c r="F19" s="1006">
        <v>3042748</v>
      </c>
      <c r="G19" s="1007">
        <v>2950358</v>
      </c>
      <c r="H19" s="1007">
        <v>2994379</v>
      </c>
      <c r="I19" s="1007">
        <v>3345528</v>
      </c>
      <c r="J19" s="1008">
        <f t="shared" ref="J19:J26" si="2">(D19-E19)/E19</f>
        <v>-5.3283407309935776E-2</v>
      </c>
      <c r="K19" s="1008">
        <f t="shared" ref="K19:K26" si="3">(D19-I19)/I19</f>
        <v>-7.7857366609993997E-2</v>
      </c>
      <c r="L19" s="1009"/>
      <c r="M19" s="1000"/>
      <c r="N19" s="101"/>
      <c r="O19" s="101"/>
      <c r="P19" s="101"/>
      <c r="Q19" s="101"/>
      <c r="R19" s="101"/>
    </row>
    <row r="20" spans="2:18" ht="17" x14ac:dyDescent="0.35">
      <c r="B20" s="1004" t="s">
        <v>562</v>
      </c>
      <c r="C20" s="1004" t="s">
        <v>561</v>
      </c>
      <c r="D20" s="1005">
        <v>110988</v>
      </c>
      <c r="E20" s="1006">
        <v>174532</v>
      </c>
      <c r="F20" s="1006">
        <v>172064</v>
      </c>
      <c r="G20" s="1007">
        <v>152744</v>
      </c>
      <c r="H20" s="1007">
        <v>218941</v>
      </c>
      <c r="I20" s="1007">
        <v>347715</v>
      </c>
      <c r="J20" s="1008">
        <f t="shared" si="2"/>
        <v>-0.36408223133866568</v>
      </c>
      <c r="K20" s="1008">
        <f t="shared" si="3"/>
        <v>-0.68080755791380876</v>
      </c>
      <c r="M20" s="1000"/>
      <c r="N20" s="101"/>
      <c r="O20" s="101"/>
      <c r="P20" s="101"/>
      <c r="Q20" s="101"/>
      <c r="R20" s="101"/>
    </row>
    <row r="21" spans="2:18" ht="17" x14ac:dyDescent="0.35">
      <c r="B21" s="1004" t="s">
        <v>563</v>
      </c>
      <c r="C21" s="1004" t="s">
        <v>561</v>
      </c>
      <c r="D21" s="1005">
        <v>35476</v>
      </c>
      <c r="E21" s="1007">
        <v>38617</v>
      </c>
      <c r="F21" s="1007">
        <v>42099</v>
      </c>
      <c r="G21" s="1007">
        <v>45803</v>
      </c>
      <c r="H21" s="1007">
        <v>38114</v>
      </c>
      <c r="I21" s="1007">
        <v>39605</v>
      </c>
      <c r="J21" s="1008">
        <f t="shared" si="2"/>
        <v>-8.133723489654815E-2</v>
      </c>
      <c r="K21" s="1008">
        <f t="shared" si="3"/>
        <v>-0.10425451331902537</v>
      </c>
      <c r="M21" s="1000"/>
      <c r="N21" s="101"/>
      <c r="O21" s="1010"/>
      <c r="P21" s="101"/>
      <c r="Q21" s="101"/>
      <c r="R21" s="101"/>
    </row>
    <row r="22" spans="2:18" ht="17" x14ac:dyDescent="0.35">
      <c r="B22" s="1004" t="s">
        <v>564</v>
      </c>
      <c r="C22" s="1004" t="s">
        <v>561</v>
      </c>
      <c r="D22" s="1005">
        <v>43583.403535995269</v>
      </c>
      <c r="E22" s="1007">
        <v>81707</v>
      </c>
      <c r="F22" s="1007">
        <v>96589</v>
      </c>
      <c r="G22" s="1007">
        <v>120343</v>
      </c>
      <c r="H22" s="1007">
        <v>94348</v>
      </c>
      <c r="I22" s="1007">
        <v>97424</v>
      </c>
      <c r="J22" s="1008">
        <f t="shared" si="2"/>
        <v>-0.46658911065153208</v>
      </c>
      <c r="K22" s="1008">
        <f t="shared" si="3"/>
        <v>-0.5526420231565603</v>
      </c>
      <c r="M22" s="1000"/>
      <c r="N22" s="1011"/>
      <c r="O22" s="101"/>
      <c r="P22" s="101"/>
      <c r="Q22" s="101"/>
      <c r="R22" s="101"/>
    </row>
    <row r="23" spans="2:18" ht="17" x14ac:dyDescent="0.35">
      <c r="B23" s="1004" t="s">
        <v>565</v>
      </c>
      <c r="C23" s="1004" t="s">
        <v>561</v>
      </c>
      <c r="D23" s="1005">
        <v>2870</v>
      </c>
      <c r="E23" s="1007">
        <v>3780</v>
      </c>
      <c r="F23" s="1007">
        <v>3922</v>
      </c>
      <c r="G23" s="1007">
        <v>5236</v>
      </c>
      <c r="H23" s="1007">
        <v>4647</v>
      </c>
      <c r="I23" s="1007">
        <v>3351</v>
      </c>
      <c r="J23" s="1008">
        <f t="shared" si="2"/>
        <v>-0.24074074074074073</v>
      </c>
      <c r="K23" s="1008">
        <f t="shared" si="3"/>
        <v>-0.14353924201730828</v>
      </c>
      <c r="M23" s="1000"/>
      <c r="N23" s="1011"/>
      <c r="O23" s="101"/>
      <c r="P23" s="101"/>
      <c r="Q23" s="101"/>
      <c r="R23" s="101"/>
    </row>
    <row r="24" spans="2:18" ht="17" x14ac:dyDescent="0.35">
      <c r="B24" s="1004" t="s">
        <v>566</v>
      </c>
      <c r="C24" s="1004" t="s">
        <v>561</v>
      </c>
      <c r="D24" s="1005">
        <v>12779.970138156714</v>
      </c>
      <c r="E24" s="1007">
        <v>9235.9</v>
      </c>
      <c r="F24" s="1007">
        <v>7670.9333333333307</v>
      </c>
      <c r="G24" s="1007">
        <v>1925</v>
      </c>
      <c r="H24" s="1007">
        <v>439</v>
      </c>
      <c r="I24" s="1007">
        <v>14006</v>
      </c>
      <c r="J24" s="1008">
        <f t="shared" si="2"/>
        <v>0.3837276430187328</v>
      </c>
      <c r="K24" s="1008">
        <f t="shared" si="3"/>
        <v>-8.753604611190105E-2</v>
      </c>
      <c r="M24" s="1000"/>
      <c r="N24" s="1011"/>
      <c r="O24" s="101"/>
      <c r="P24" s="101"/>
      <c r="Q24" s="101"/>
      <c r="R24" s="101"/>
    </row>
    <row r="25" spans="2:18" ht="17" x14ac:dyDescent="0.35">
      <c r="B25" s="1004" t="s">
        <v>567</v>
      </c>
      <c r="C25" s="1004" t="s">
        <v>561</v>
      </c>
      <c r="D25" s="1005">
        <v>13381</v>
      </c>
      <c r="E25" s="1007">
        <v>14936</v>
      </c>
      <c r="F25" s="1007">
        <v>13627</v>
      </c>
      <c r="G25" s="1007">
        <v>13517.48</v>
      </c>
      <c r="H25" s="1007">
        <v>15718</v>
      </c>
      <c r="I25" s="1007">
        <v>25763.02</v>
      </c>
      <c r="J25" s="1008">
        <f t="shared" si="2"/>
        <v>-0.10411087305838243</v>
      </c>
      <c r="K25" s="1008">
        <f t="shared" si="3"/>
        <v>-0.4806121332048805</v>
      </c>
      <c r="M25" s="1000"/>
      <c r="N25" s="1011"/>
      <c r="O25" s="101"/>
      <c r="P25" s="101"/>
      <c r="Q25" s="101"/>
      <c r="R25" s="101"/>
    </row>
    <row r="26" spans="2:18" ht="17" x14ac:dyDescent="0.35">
      <c r="B26" s="1004" t="s">
        <v>568</v>
      </c>
      <c r="C26" s="1004" t="s">
        <v>561</v>
      </c>
      <c r="D26" s="1005">
        <v>13115.002467463355</v>
      </c>
      <c r="E26" s="1012">
        <v>12889.588388161046</v>
      </c>
      <c r="F26" s="1012">
        <v>12264.738455127888</v>
      </c>
      <c r="G26" s="1012">
        <v>11595.828985289012</v>
      </c>
      <c r="H26" s="1012">
        <v>11176.611380432463</v>
      </c>
      <c r="I26" s="1012">
        <v>10761.94394134824</v>
      </c>
      <c r="J26" s="1008">
        <f t="shared" si="2"/>
        <v>1.7488074290203819E-2</v>
      </c>
      <c r="K26" s="1008">
        <f t="shared" si="3"/>
        <v>0.21864623519125373</v>
      </c>
      <c r="M26" s="1000"/>
      <c r="N26" s="101"/>
      <c r="O26" s="101"/>
      <c r="P26" s="101"/>
      <c r="Q26" s="101"/>
      <c r="R26" s="101"/>
    </row>
    <row r="27" spans="2:18" ht="17" x14ac:dyDescent="0.35">
      <c r="B27" s="1004" t="s">
        <v>569</v>
      </c>
      <c r="C27" s="1004" t="s">
        <v>561</v>
      </c>
      <c r="D27" s="1005">
        <v>15175</v>
      </c>
      <c r="E27" s="1007">
        <v>0</v>
      </c>
      <c r="F27" s="1007">
        <v>0</v>
      </c>
      <c r="G27" s="1007">
        <v>0</v>
      </c>
      <c r="H27" s="1007">
        <v>0</v>
      </c>
      <c r="I27" s="1007">
        <v>0</v>
      </c>
      <c r="J27" s="1008"/>
      <c r="K27" s="1008"/>
      <c r="M27" s="1000"/>
      <c r="N27" s="101"/>
      <c r="O27" s="101"/>
      <c r="P27" s="101"/>
      <c r="Q27" s="101"/>
      <c r="R27" s="101"/>
    </row>
    <row r="28" spans="2:18" ht="17" x14ac:dyDescent="0.35">
      <c r="B28" s="1004" t="s">
        <v>570</v>
      </c>
      <c r="C28" s="1004" t="s">
        <v>561</v>
      </c>
      <c r="D28" s="1005">
        <v>9855.7660644999996</v>
      </c>
      <c r="E28" s="1007">
        <v>10572</v>
      </c>
      <c r="F28" s="1007">
        <v>10699</v>
      </c>
      <c r="G28" s="1007">
        <v>10755.990558000001</v>
      </c>
      <c r="H28" s="1007">
        <v>11279.552607000001</v>
      </c>
      <c r="I28" s="1007">
        <v>13021</v>
      </c>
      <c r="J28" s="1008">
        <f>(D28-E28)/E28</f>
        <v>-6.7748196698827132E-2</v>
      </c>
      <c r="K28" s="1008">
        <f>(D28-I28)/I28</f>
        <v>-0.24308685473465944</v>
      </c>
      <c r="M28" s="1000"/>
      <c r="N28" s="101"/>
      <c r="O28" s="101"/>
      <c r="P28" s="101"/>
      <c r="Q28" s="101"/>
      <c r="R28" s="101"/>
    </row>
    <row r="29" spans="2:18" ht="17" x14ac:dyDescent="0.35">
      <c r="B29" s="1004" t="s">
        <v>571</v>
      </c>
      <c r="C29" s="1004" t="s">
        <v>561</v>
      </c>
      <c r="D29" s="1005">
        <v>0</v>
      </c>
      <c r="E29" s="1007">
        <v>0</v>
      </c>
      <c r="F29" s="1007">
        <v>0</v>
      </c>
      <c r="G29" s="1007">
        <v>0</v>
      </c>
      <c r="H29" s="1007">
        <v>0</v>
      </c>
      <c r="I29" s="1007">
        <v>0</v>
      </c>
      <c r="J29" s="1008"/>
      <c r="K29" s="1008"/>
      <c r="M29" s="1013"/>
      <c r="N29" s="101"/>
      <c r="O29" s="101"/>
      <c r="P29" s="101"/>
      <c r="Q29" s="101"/>
      <c r="R29" s="101"/>
    </row>
    <row r="30" spans="2:18" ht="17" x14ac:dyDescent="0.35">
      <c r="B30" s="1004" t="s">
        <v>572</v>
      </c>
      <c r="C30" s="1004" t="s">
        <v>561</v>
      </c>
      <c r="D30" s="1005">
        <v>15666</v>
      </c>
      <c r="E30" s="1007">
        <v>16466</v>
      </c>
      <c r="F30" s="1007">
        <v>14397</v>
      </c>
      <c r="G30" s="1007">
        <v>20291</v>
      </c>
      <c r="H30" s="1007">
        <v>22537</v>
      </c>
      <c r="I30" s="1007">
        <v>26827</v>
      </c>
      <c r="J30" s="1008">
        <f>(D30-E30)/E30</f>
        <v>-4.8584962953965749E-2</v>
      </c>
      <c r="K30" s="1008">
        <f>(D30-I30)/I30</f>
        <v>-0.41603608305065792</v>
      </c>
      <c r="M30" s="1013"/>
      <c r="N30" s="101"/>
      <c r="O30" s="101"/>
      <c r="P30" s="101"/>
      <c r="Q30" s="101"/>
      <c r="R30" s="101"/>
    </row>
    <row r="31" spans="2:18" ht="17" x14ac:dyDescent="0.35">
      <c r="B31" s="1004" t="s">
        <v>573</v>
      </c>
      <c r="C31" s="1004" t="s">
        <v>561</v>
      </c>
      <c r="D31" s="1005">
        <v>2085.8763418455228</v>
      </c>
      <c r="E31" s="1012">
        <v>2224.256140424588</v>
      </c>
      <c r="F31" s="1012">
        <v>2075.2235148753443</v>
      </c>
      <c r="G31" s="1012">
        <v>1362.2058322878061</v>
      </c>
      <c r="H31" s="1012">
        <v>1200.9657122515898</v>
      </c>
      <c r="I31" s="1012">
        <v>959.46769940738113</v>
      </c>
      <c r="J31" s="1008"/>
      <c r="K31" s="1008"/>
      <c r="M31" s="1000"/>
      <c r="N31" s="101"/>
      <c r="O31" s="101"/>
      <c r="P31" s="101"/>
      <c r="Q31" s="101"/>
      <c r="R31" s="101"/>
    </row>
    <row r="32" spans="2:18" ht="17" x14ac:dyDescent="0.35">
      <c r="B32" s="1004" t="s">
        <v>574</v>
      </c>
      <c r="C32" s="1004" t="s">
        <v>561</v>
      </c>
      <c r="D32" s="1005">
        <v>0</v>
      </c>
      <c r="E32" s="1007">
        <v>0</v>
      </c>
      <c r="F32" s="1007">
        <v>0</v>
      </c>
      <c r="G32" s="1007">
        <v>0</v>
      </c>
      <c r="H32" s="1007">
        <v>0</v>
      </c>
      <c r="I32" s="1007">
        <v>0</v>
      </c>
      <c r="J32" s="1008"/>
      <c r="K32" s="1008"/>
      <c r="M32" s="1000"/>
      <c r="N32" s="101"/>
      <c r="O32" s="101"/>
      <c r="P32" s="101"/>
      <c r="Q32" s="101"/>
      <c r="R32" s="101"/>
    </row>
    <row r="33" spans="2:18" ht="17" x14ac:dyDescent="0.35">
      <c r="B33" s="1004" t="s">
        <v>575</v>
      </c>
      <c r="C33" s="1004" t="s">
        <v>561</v>
      </c>
      <c r="D33" s="1005">
        <v>85456</v>
      </c>
      <c r="E33" s="1007">
        <v>103153</v>
      </c>
      <c r="F33" s="1007">
        <v>111993</v>
      </c>
      <c r="G33" s="1007">
        <v>118356</v>
      </c>
      <c r="H33" s="1007">
        <v>119005</v>
      </c>
      <c r="I33" s="1007">
        <v>129337</v>
      </c>
      <c r="J33" s="1008">
        <f>(D33-E33)/E33</f>
        <v>-0.17156069140015318</v>
      </c>
      <c r="K33" s="1008">
        <f>(D33-I33)/I33</f>
        <v>-0.33927646381159299</v>
      </c>
      <c r="M33" s="1000"/>
      <c r="N33" s="101"/>
      <c r="O33" s="101"/>
      <c r="P33" s="101"/>
      <c r="Q33" s="101"/>
      <c r="R33" s="101"/>
    </row>
    <row r="34" spans="2:18" ht="17" x14ac:dyDescent="0.35">
      <c r="B34" s="1014" t="s">
        <v>576</v>
      </c>
      <c r="C34" s="1004" t="s">
        <v>561</v>
      </c>
      <c r="D34" s="1005">
        <f>SUM(D19:D26)</f>
        <v>3317247.3761416152</v>
      </c>
      <c r="E34" s="1005">
        <f>SUM(E19:E26)</f>
        <v>3594385.4883881612</v>
      </c>
      <c r="F34" s="1005">
        <f t="shared" ref="F34:I34" si="4">SUM(F19:F26)</f>
        <v>3390984.671788461</v>
      </c>
      <c r="G34" s="1005">
        <f t="shared" si="4"/>
        <v>3301522.3089852892</v>
      </c>
      <c r="H34" s="1005">
        <f t="shared" si="4"/>
        <v>3377762.6113804323</v>
      </c>
      <c r="I34" s="1005">
        <f t="shared" si="4"/>
        <v>3884153.9639413483</v>
      </c>
      <c r="J34" s="1008"/>
      <c r="K34" s="1008"/>
      <c r="M34" s="1000"/>
      <c r="N34" s="101"/>
      <c r="O34" s="101"/>
      <c r="P34" s="101"/>
      <c r="Q34" s="101"/>
      <c r="R34" s="101"/>
    </row>
    <row r="35" spans="2:18" ht="17" x14ac:dyDescent="0.35">
      <c r="B35" s="1014" t="s">
        <v>577</v>
      </c>
      <c r="C35" s="1004" t="s">
        <v>561</v>
      </c>
      <c r="D35" s="1005">
        <f>SUM(D27:D33)</f>
        <v>128238.64240634552</v>
      </c>
      <c r="E35" s="1005">
        <f>SUM(E27:E33)</f>
        <v>132415.25614042458</v>
      </c>
      <c r="F35" s="1005">
        <f t="shared" ref="F35:I35" si="5">SUM(F27:F33)</f>
        <v>139164.22351487534</v>
      </c>
      <c r="G35" s="1005">
        <f t="shared" si="5"/>
        <v>150765.19639028781</v>
      </c>
      <c r="H35" s="1005">
        <f t="shared" si="5"/>
        <v>154022.5183192516</v>
      </c>
      <c r="I35" s="1005">
        <f t="shared" si="5"/>
        <v>170144.46769940737</v>
      </c>
      <c r="J35" s="1008"/>
      <c r="K35" s="1008"/>
      <c r="M35" s="1000"/>
      <c r="N35" s="101"/>
      <c r="O35" s="101"/>
      <c r="P35" s="101"/>
      <c r="Q35" s="101"/>
      <c r="R35" s="101"/>
    </row>
    <row r="36" spans="2:18" ht="17" x14ac:dyDescent="0.35">
      <c r="B36" s="1015" t="s">
        <v>578</v>
      </c>
      <c r="C36" s="1014" t="s">
        <v>579</v>
      </c>
      <c r="D36" s="1005">
        <f>SUM(D19:D33)</f>
        <v>3445486.0185479606</v>
      </c>
      <c r="E36" s="1007">
        <f>SUM(E19:E33)</f>
        <v>3726800.7445285856</v>
      </c>
      <c r="F36" s="1007">
        <f>SUM(F19:F33)</f>
        <v>3530148.8953033364</v>
      </c>
      <c r="G36" s="1007">
        <f>SUM(G19:G33)</f>
        <v>3452287.5053755767</v>
      </c>
      <c r="H36" s="1007">
        <f t="shared" ref="H36" si="6">SUM(H19:H33)</f>
        <v>3531785.1296996837</v>
      </c>
      <c r="I36" s="1007">
        <f>SUM(I19:I33)</f>
        <v>4054298.4316407559</v>
      </c>
      <c r="J36" s="1008">
        <f>(D36-E36)/E36</f>
        <v>-7.5484241113139894E-2</v>
      </c>
      <c r="K36" s="1008">
        <f>(D36-I36)/I36</f>
        <v>-0.15016467666550429</v>
      </c>
      <c r="L36" s="1000"/>
      <c r="M36" s="1000"/>
      <c r="N36" s="101"/>
      <c r="O36" s="101"/>
      <c r="P36" s="101"/>
      <c r="Q36" s="101"/>
      <c r="R36" s="101"/>
    </row>
    <row r="37" spans="2:18" x14ac:dyDescent="0.35">
      <c r="B37" s="118"/>
      <c r="C37" s="1016"/>
      <c r="D37" s="1017"/>
      <c r="E37" s="1017"/>
      <c r="F37" s="1017"/>
      <c r="G37" s="1017"/>
      <c r="H37" s="121"/>
      <c r="I37" s="121"/>
      <c r="J37" s="1018"/>
      <c r="K37" s="1018"/>
      <c r="L37" s="117"/>
      <c r="M37" s="1000"/>
      <c r="N37" s="101"/>
      <c r="O37" s="101"/>
      <c r="P37" s="101"/>
      <c r="Q37" s="101"/>
      <c r="R37" s="101"/>
    </row>
    <row r="38" spans="2:18" ht="40.5" customHeight="1" x14ac:dyDescent="0.35">
      <c r="B38" s="1002" t="s">
        <v>580</v>
      </c>
      <c r="C38" s="980" t="s">
        <v>430</v>
      </c>
      <c r="D38" s="981" t="s">
        <v>431</v>
      </c>
      <c r="E38" s="1019" t="s">
        <v>432</v>
      </c>
      <c r="F38" s="1019" t="str">
        <f>F18</f>
        <v>2022/23</v>
      </c>
      <c r="G38" s="1019" t="str">
        <f>G18</f>
        <v>2021/22</v>
      </c>
      <c r="H38" s="1019" t="str">
        <f>H18</f>
        <v>2020/21</v>
      </c>
      <c r="I38" s="1019" t="str">
        <f>I18</f>
        <v>2019/20</v>
      </c>
      <c r="J38" s="1003" t="s">
        <v>557</v>
      </c>
      <c r="K38" s="1003" t="s">
        <v>558</v>
      </c>
      <c r="M38" s="122"/>
      <c r="N38" s="122"/>
      <c r="O38" s="101"/>
      <c r="P38" s="101"/>
      <c r="Q38" s="101"/>
      <c r="R38" s="101"/>
    </row>
    <row r="39" spans="2:18" ht="17" x14ac:dyDescent="0.35">
      <c r="B39" s="543" t="str">
        <f>B11</f>
        <v>Total Scope 1 GHG emissions</v>
      </c>
      <c r="C39" s="1004" t="s">
        <v>561</v>
      </c>
      <c r="D39" s="1020">
        <f>D11</f>
        <v>225330</v>
      </c>
      <c r="E39" s="1021">
        <f>E11</f>
        <v>215647</v>
      </c>
      <c r="F39" s="1021">
        <f t="shared" ref="F39:G39" si="7">F11</f>
        <v>215166</v>
      </c>
      <c r="G39" s="1021">
        <f t="shared" si="7"/>
        <v>226341</v>
      </c>
      <c r="H39" s="1021">
        <f>H11</f>
        <v>229150</v>
      </c>
      <c r="I39" s="1021">
        <f t="shared" ref="I39" si="8">I11</f>
        <v>227933</v>
      </c>
      <c r="J39" s="1022">
        <f>(D39-E39)/E39</f>
        <v>4.4902085352450993E-2</v>
      </c>
      <c r="K39" s="1022">
        <f t="shared" ref="K39:K45" si="9">(D39-I39)/I39</f>
        <v>-1.1420022550486327E-2</v>
      </c>
      <c r="M39" s="58" t="str">
        <f>B39</f>
        <v>Total Scope 1 GHG emissions</v>
      </c>
      <c r="N39" s="1023">
        <f>D39/$D$43</f>
        <v>6.103163007458999E-2</v>
      </c>
      <c r="O39" s="101"/>
      <c r="P39" s="101"/>
      <c r="Q39" s="101"/>
      <c r="R39" s="101"/>
    </row>
    <row r="40" spans="2:18" ht="17" x14ac:dyDescent="0.35">
      <c r="B40" s="543" t="str">
        <f>B12</f>
        <v>Total Scope 2 GHG emissions (market-based)</v>
      </c>
      <c r="C40" s="1004" t="s">
        <v>561</v>
      </c>
      <c r="D40" s="1020">
        <f>D12</f>
        <v>21204</v>
      </c>
      <c r="E40" s="1021">
        <f>E12</f>
        <v>66265</v>
      </c>
      <c r="F40" s="1021">
        <f t="shared" ref="F40:G40" si="10">F12</f>
        <v>128768</v>
      </c>
      <c r="G40" s="1021">
        <f t="shared" si="10"/>
        <v>167772</v>
      </c>
      <c r="H40" s="1021">
        <f>H12</f>
        <v>165830</v>
      </c>
      <c r="I40" s="1021">
        <f t="shared" ref="I40" si="11">I12</f>
        <v>176107</v>
      </c>
      <c r="J40" s="1022">
        <f t="shared" ref="J40:J45" si="12">(D40-E40)/E40</f>
        <v>-0.68001207273824793</v>
      </c>
      <c r="K40" s="1022">
        <f t="shared" si="9"/>
        <v>-0.87959592747590953</v>
      </c>
      <c r="M40" s="58" t="str">
        <f t="shared" ref="M40:M42" si="13">B40</f>
        <v>Total Scope 2 GHG emissions (market-based)</v>
      </c>
      <c r="N40" s="1023">
        <f>D40/$D$43</f>
        <v>5.7431974619518312E-3</v>
      </c>
      <c r="O40" s="101"/>
      <c r="P40" s="101"/>
      <c r="Q40" s="101"/>
      <c r="R40" s="101"/>
    </row>
    <row r="41" spans="2:18" ht="17" x14ac:dyDescent="0.35">
      <c r="B41" s="543" t="str">
        <f>"Scope 3 - "&amp;B19</f>
        <v>Scope 3 - Total Scope 3 (Category 1) Purchased goods and services GHG emissions</v>
      </c>
      <c r="C41" s="1004" t="s">
        <v>561</v>
      </c>
      <c r="D41" s="1020">
        <f>D19</f>
        <v>3085054</v>
      </c>
      <c r="E41" s="1021">
        <f t="shared" ref="E41:I41" si="14">E19</f>
        <v>3258688</v>
      </c>
      <c r="F41" s="1021">
        <f t="shared" si="14"/>
        <v>3042748</v>
      </c>
      <c r="G41" s="1021">
        <f t="shared" si="14"/>
        <v>2950358</v>
      </c>
      <c r="H41" s="1021">
        <f t="shared" si="14"/>
        <v>2994379</v>
      </c>
      <c r="I41" s="1021">
        <f t="shared" si="14"/>
        <v>3345528</v>
      </c>
      <c r="J41" s="1022">
        <f t="shared" si="12"/>
        <v>-5.3283407309935776E-2</v>
      </c>
      <c r="K41" s="1022">
        <f t="shared" si="9"/>
        <v>-7.7857366609993997E-2</v>
      </c>
      <c r="M41" s="58" t="str">
        <f t="shared" si="13"/>
        <v>Scope 3 - Total Scope 3 (Category 1) Purchased goods and services GHG emissions</v>
      </c>
      <c r="N41" s="1023">
        <f>D41/$D$43</f>
        <v>0.83560056134617733</v>
      </c>
      <c r="O41" s="101"/>
      <c r="P41" s="101"/>
      <c r="Q41" s="101"/>
      <c r="R41" s="101"/>
    </row>
    <row r="42" spans="2:18" ht="17" x14ac:dyDescent="0.35">
      <c r="B42" s="543" t="str">
        <f>"Scope 3 - All other categories"</f>
        <v>Scope 3 - All other categories</v>
      </c>
      <c r="C42" s="1004" t="s">
        <v>561</v>
      </c>
      <c r="D42" s="1024">
        <f>D36-D19</f>
        <v>360432.01854796056</v>
      </c>
      <c r="E42" s="1025">
        <f>E36-E19</f>
        <v>468112.74452858558</v>
      </c>
      <c r="F42" s="1025">
        <f t="shared" ref="F42:I42" si="15">F36-F19</f>
        <v>487400.89530333644</v>
      </c>
      <c r="G42" s="1025">
        <f t="shared" si="15"/>
        <v>501929.50537557667</v>
      </c>
      <c r="H42" s="1025">
        <f t="shared" si="15"/>
        <v>537406.12969968375</v>
      </c>
      <c r="I42" s="1025">
        <f t="shared" si="15"/>
        <v>708770.43164075585</v>
      </c>
      <c r="J42" s="1022">
        <f t="shared" si="12"/>
        <v>-0.23003160507639081</v>
      </c>
      <c r="K42" s="1022">
        <f t="shared" si="9"/>
        <v>-0.49146860188060515</v>
      </c>
      <c r="M42" s="58" t="str">
        <f t="shared" si="13"/>
        <v>Scope 3 - All other categories</v>
      </c>
      <c r="N42" s="1023">
        <f>D42/$D$43</f>
        <v>9.762461111728081E-2</v>
      </c>
      <c r="O42" s="101"/>
      <c r="P42" s="101"/>
      <c r="Q42" s="101"/>
      <c r="R42" s="101"/>
    </row>
    <row r="43" spans="2:18" ht="17" x14ac:dyDescent="0.35">
      <c r="B43" s="1026" t="s">
        <v>582</v>
      </c>
      <c r="C43" s="1014" t="s">
        <v>579</v>
      </c>
      <c r="D43" s="1005">
        <f>SUM(D39:D42)</f>
        <v>3692020.0185479606</v>
      </c>
      <c r="E43" s="1007">
        <f>SUM(E39:E42)</f>
        <v>4008712.7445285856</v>
      </c>
      <c r="F43" s="1007">
        <f>SUM(F39:F42)</f>
        <v>3874082.8953033364</v>
      </c>
      <c r="G43" s="1007">
        <f t="shared" ref="G43:I43" si="16">SUM(G39:G42)</f>
        <v>3846400.5053755767</v>
      </c>
      <c r="H43" s="1007">
        <f t="shared" si="16"/>
        <v>3926765.1296996837</v>
      </c>
      <c r="I43" s="1007">
        <f t="shared" si="16"/>
        <v>4458338.4316407554</v>
      </c>
      <c r="J43" s="1008">
        <f t="shared" si="12"/>
        <v>-7.9001102389507152E-2</v>
      </c>
      <c r="K43" s="1008">
        <f t="shared" si="9"/>
        <v>-0.17188430731373947</v>
      </c>
      <c r="M43" s="1027"/>
      <c r="N43" s="1028">
        <f>SUM(N39:N42)</f>
        <v>1</v>
      </c>
      <c r="O43" s="101"/>
      <c r="P43" s="101"/>
      <c r="Q43" s="101"/>
      <c r="R43" s="101"/>
    </row>
    <row r="44" spans="2:18" ht="32" x14ac:dyDescent="0.35">
      <c r="B44" s="529" t="s">
        <v>583</v>
      </c>
      <c r="C44" s="568" t="s">
        <v>584</v>
      </c>
      <c r="D44" s="1029">
        <f t="shared" ref="D44:I44" si="17">D43/D158</f>
        <v>37.721402780538234</v>
      </c>
      <c r="E44" s="1030">
        <f t="shared" si="17"/>
        <v>38.18039835160662</v>
      </c>
      <c r="F44" s="1030">
        <f t="shared" si="17"/>
        <v>37.406898936942014</v>
      </c>
      <c r="G44" s="1030">
        <f t="shared" si="17"/>
        <v>36.322434325900666</v>
      </c>
      <c r="H44" s="1030">
        <f t="shared" si="17"/>
        <v>38.420855638719459</v>
      </c>
      <c r="I44" s="1030">
        <f t="shared" si="17"/>
        <v>41.011300079484457</v>
      </c>
      <c r="J44" s="1008">
        <f t="shared" si="12"/>
        <v>-1.2021759617106532E-2</v>
      </c>
      <c r="K44" s="1008">
        <f t="shared" si="9"/>
        <v>-8.0219288161312505E-2</v>
      </c>
      <c r="L44" s="122"/>
      <c r="M44" s="101"/>
      <c r="N44" s="101"/>
      <c r="O44" s="101"/>
      <c r="P44" s="101"/>
      <c r="Q44" s="101"/>
      <c r="R44" s="101"/>
    </row>
    <row r="45" spans="2:18" ht="32" x14ac:dyDescent="0.35">
      <c r="B45" s="529" t="s">
        <v>585</v>
      </c>
      <c r="C45" s="568" t="s">
        <v>586</v>
      </c>
      <c r="D45" s="1029">
        <f>D43/D159</f>
        <v>316.26006669076241</v>
      </c>
      <c r="E45" s="1030">
        <f t="shared" ref="E45:I45" si="18">E43/E159</f>
        <v>312.13211434466911</v>
      </c>
      <c r="F45" s="1030">
        <f t="shared" si="18"/>
        <v>259.43098475211519</v>
      </c>
      <c r="G45" s="1030">
        <f t="shared" si="18"/>
        <v>240.02499253513739</v>
      </c>
      <c r="H45" s="1030">
        <f t="shared" si="18"/>
        <v>254.40655197276863</v>
      </c>
      <c r="I45" s="1030">
        <f t="shared" si="18"/>
        <v>305.84746049535266</v>
      </c>
      <c r="J45" s="1008">
        <f t="shared" si="12"/>
        <v>1.3225016447795099E-2</v>
      </c>
      <c r="K45" s="1008">
        <f t="shared" si="9"/>
        <v>3.4045096135653444E-2</v>
      </c>
      <c r="L45" s="122"/>
      <c r="M45" s="101"/>
      <c r="N45" s="101"/>
      <c r="O45" s="101"/>
      <c r="P45" s="101"/>
      <c r="Q45" s="101"/>
      <c r="R45" s="101"/>
    </row>
    <row r="46" spans="2:18" ht="15" x14ac:dyDescent="0.35">
      <c r="B46" s="1031"/>
      <c r="C46" s="1032"/>
      <c r="D46" s="1033"/>
      <c r="E46" s="1034"/>
      <c r="F46" s="1034"/>
      <c r="G46" s="1035"/>
      <c r="H46" s="1035"/>
      <c r="I46" s="1035"/>
      <c r="J46" s="1036"/>
      <c r="K46" s="1036"/>
      <c r="L46" s="122"/>
      <c r="M46" s="101"/>
      <c r="N46" s="101"/>
      <c r="O46" s="101"/>
      <c r="P46" s="101"/>
      <c r="Q46" s="101"/>
      <c r="R46" s="101"/>
    </row>
    <row r="47" spans="2:18" ht="39" customHeight="1" x14ac:dyDescent="0.35">
      <c r="B47" s="1002" t="s">
        <v>587</v>
      </c>
      <c r="C47" s="980" t="s">
        <v>430</v>
      </c>
      <c r="D47" s="981" t="s">
        <v>431</v>
      </c>
      <c r="E47" s="1019" t="s">
        <v>432</v>
      </c>
      <c r="F47" s="1019" t="s">
        <v>433</v>
      </c>
      <c r="G47" s="1019" t="s">
        <v>434</v>
      </c>
      <c r="H47" s="1019" t="s">
        <v>588</v>
      </c>
      <c r="I47" s="982" t="s">
        <v>436</v>
      </c>
      <c r="J47" s="1003" t="s">
        <v>557</v>
      </c>
      <c r="K47" s="1003" t="s">
        <v>558</v>
      </c>
      <c r="L47" s="122"/>
      <c r="M47" s="101"/>
      <c r="N47" s="101"/>
      <c r="O47" s="101"/>
      <c r="P47" s="101"/>
      <c r="Q47" s="101"/>
      <c r="R47" s="101"/>
    </row>
    <row r="48" spans="2:18" ht="17" x14ac:dyDescent="0.35">
      <c r="B48" s="1026" t="s">
        <v>589</v>
      </c>
      <c r="C48" s="1014" t="s">
        <v>579</v>
      </c>
      <c r="D48" s="1005">
        <v>1606644</v>
      </c>
      <c r="E48" s="1007">
        <v>1335881</v>
      </c>
      <c r="F48" s="1007">
        <v>1006019</v>
      </c>
      <c r="G48" s="1007">
        <v>548819</v>
      </c>
      <c r="H48" s="1007">
        <v>253163</v>
      </c>
      <c r="I48" s="1037"/>
      <c r="J48" s="1008">
        <f>(D48-E48)/E48</f>
        <v>0.20268496969415689</v>
      </c>
      <c r="K48" s="1008">
        <f>(D48-H48)/H48</f>
        <v>5.346282829639402</v>
      </c>
      <c r="L48" s="122"/>
      <c r="M48" s="101"/>
      <c r="N48" s="101"/>
      <c r="O48" s="101"/>
      <c r="P48" s="101"/>
      <c r="Q48" s="101"/>
      <c r="R48" s="101"/>
    </row>
    <row r="49" spans="2:19" x14ac:dyDescent="0.35">
      <c r="C49" s="61"/>
      <c r="D49" s="992"/>
      <c r="E49" s="992"/>
      <c r="F49" s="992"/>
      <c r="G49" s="992"/>
      <c r="K49" s="121"/>
      <c r="L49" s="122"/>
      <c r="M49" s="122"/>
      <c r="N49" s="101"/>
      <c r="O49" s="101"/>
      <c r="P49" s="101"/>
      <c r="Q49" s="101"/>
      <c r="R49" s="101"/>
      <c r="S49" s="101"/>
    </row>
    <row r="50" spans="2:19" ht="19.5" x14ac:dyDescent="0.35">
      <c r="B50" s="1038" t="s">
        <v>590</v>
      </c>
      <c r="C50" s="970"/>
      <c r="D50" s="971"/>
      <c r="E50" s="971"/>
      <c r="F50" s="971"/>
      <c r="G50" s="971"/>
      <c r="H50" s="971"/>
      <c r="I50" s="972"/>
      <c r="J50" s="972"/>
      <c r="K50" s="972"/>
      <c r="L50" s="122"/>
      <c r="M50" s="122"/>
      <c r="N50" s="101"/>
      <c r="O50" s="101"/>
      <c r="P50" s="101"/>
    </row>
    <row r="51" spans="2:19" x14ac:dyDescent="0.35">
      <c r="B51" s="120"/>
      <c r="C51" s="1039"/>
      <c r="D51" s="120"/>
      <c r="E51" s="120"/>
      <c r="F51" s="120"/>
      <c r="G51" s="120"/>
      <c r="H51" s="120"/>
      <c r="I51" s="121"/>
      <c r="J51" s="121"/>
      <c r="K51" s="121"/>
      <c r="L51" s="122"/>
      <c r="M51" s="122"/>
      <c r="N51" s="101"/>
      <c r="O51" s="101"/>
      <c r="P51" s="101"/>
      <c r="Q51" s="101"/>
      <c r="R51" s="101"/>
      <c r="S51" s="101"/>
    </row>
    <row r="52" spans="2:19" ht="42" customHeight="1" x14ac:dyDescent="0.35">
      <c r="B52" s="1582" t="s">
        <v>448</v>
      </c>
      <c r="C52" s="1583" t="s">
        <v>430</v>
      </c>
      <c r="D52" s="981" t="s">
        <v>431</v>
      </c>
      <c r="E52" s="982" t="s">
        <v>432</v>
      </c>
      <c r="F52" s="982" t="s">
        <v>433</v>
      </c>
      <c r="G52" s="982" t="s">
        <v>434</v>
      </c>
      <c r="H52" s="982" t="s">
        <v>435</v>
      </c>
      <c r="I52" s="982" t="s">
        <v>436</v>
      </c>
      <c r="J52" s="1003" t="str">
        <f>J106</f>
        <v>Performance against prior year</v>
      </c>
      <c r="K52" s="1040"/>
      <c r="M52" s="122"/>
      <c r="N52" s="101"/>
      <c r="O52" s="101"/>
      <c r="P52" s="101"/>
      <c r="Q52" s="101"/>
    </row>
    <row r="53" spans="2:19" x14ac:dyDescent="0.35">
      <c r="B53" s="1582"/>
      <c r="C53" s="1583"/>
      <c r="D53" s="982" t="s">
        <v>438</v>
      </c>
      <c r="E53" s="982" t="s">
        <v>438</v>
      </c>
      <c r="F53" s="982" t="s">
        <v>438</v>
      </c>
      <c r="G53" s="982" t="s">
        <v>438</v>
      </c>
      <c r="H53" s="982" t="s">
        <v>438</v>
      </c>
      <c r="I53" s="982" t="s">
        <v>438</v>
      </c>
      <c r="J53" s="982" t="s">
        <v>438</v>
      </c>
      <c r="K53" s="1040"/>
      <c r="N53" s="101"/>
      <c r="O53" s="101"/>
      <c r="P53" s="113"/>
      <c r="Q53" s="101"/>
    </row>
    <row r="54" spans="2:19" ht="15" x14ac:dyDescent="0.35">
      <c r="B54" s="530" t="s">
        <v>449</v>
      </c>
      <c r="C54" s="570" t="s">
        <v>450</v>
      </c>
      <c r="D54" s="1041">
        <v>1126108</v>
      </c>
      <c r="E54" s="1042">
        <v>1206508</v>
      </c>
      <c r="F54" s="1042">
        <v>1203247</v>
      </c>
      <c r="G54" s="1042">
        <v>1270929</v>
      </c>
      <c r="H54" s="1042">
        <v>1199807</v>
      </c>
      <c r="I54" s="1042">
        <v>1231348</v>
      </c>
      <c r="J54" s="1043">
        <f>(D54-E54)/E54</f>
        <v>-6.6638596677353154E-2</v>
      </c>
      <c r="K54" s="1040"/>
      <c r="N54" s="101"/>
      <c r="O54" s="101"/>
      <c r="P54" s="113"/>
      <c r="Q54" s="101"/>
    </row>
    <row r="55" spans="2:19" ht="15" x14ac:dyDescent="0.35">
      <c r="B55" s="530" t="s">
        <v>451</v>
      </c>
      <c r="C55" s="532" t="s">
        <v>452</v>
      </c>
      <c r="D55" s="709">
        <f t="shared" ref="D55:I55" si="19">D54/D158</f>
        <v>11.505455882953942</v>
      </c>
      <c r="E55" s="1044">
        <f t="shared" si="19"/>
        <v>11.491209021467894</v>
      </c>
      <c r="F55" s="1044">
        <f t="shared" si="19"/>
        <v>11.61816619353842</v>
      </c>
      <c r="G55" s="1044">
        <f t="shared" si="19"/>
        <v>12.001671451235174</v>
      </c>
      <c r="H55" s="1044">
        <f t="shared" si="19"/>
        <v>11.739335055379437</v>
      </c>
      <c r="I55" s="1044">
        <f t="shared" si="19"/>
        <v>11.326906448348819</v>
      </c>
      <c r="J55" s="1043">
        <f>(D55-E55)/E55</f>
        <v>1.239805268482428E-3</v>
      </c>
      <c r="K55" s="1040"/>
      <c r="N55" s="101"/>
      <c r="O55" s="101"/>
      <c r="P55" s="113"/>
      <c r="Q55" s="101"/>
    </row>
    <row r="56" spans="2:19" ht="15" x14ac:dyDescent="0.35">
      <c r="B56" s="532" t="s">
        <v>467</v>
      </c>
      <c r="C56" s="532" t="s">
        <v>591</v>
      </c>
      <c r="D56" s="1045">
        <v>0.71</v>
      </c>
      <c r="E56" s="1046">
        <v>0.56559999999999999</v>
      </c>
      <c r="F56" s="1046">
        <v>0.41170000000000001</v>
      </c>
      <c r="G56" s="1046">
        <v>0.32319999999999999</v>
      </c>
      <c r="H56" s="1046">
        <v>0.2898</v>
      </c>
      <c r="I56" s="1046">
        <v>0.25879999999999997</v>
      </c>
      <c r="J56" s="1043">
        <f>(D56-E56)/E56</f>
        <v>0.25530410183875524</v>
      </c>
      <c r="K56" s="1047"/>
      <c r="L56" s="101"/>
      <c r="O56" s="101"/>
    </row>
    <row r="57" spans="2:19" ht="15" x14ac:dyDescent="0.35">
      <c r="B57" s="532" t="s">
        <v>592</v>
      </c>
      <c r="C57" s="532" t="s">
        <v>591</v>
      </c>
      <c r="D57" s="1045">
        <v>0.26400000000000001</v>
      </c>
      <c r="E57" s="1046">
        <v>0.2273</v>
      </c>
      <c r="F57" s="1046">
        <v>0.16439999999999999</v>
      </c>
      <c r="G57" s="1046">
        <v>0.127</v>
      </c>
      <c r="H57" s="1046">
        <v>0.12</v>
      </c>
      <c r="I57" s="1046">
        <v>0.11</v>
      </c>
      <c r="J57" s="1043">
        <f>(D57-E57)/E57</f>
        <v>0.16146062472503303</v>
      </c>
      <c r="K57" s="1047"/>
      <c r="L57" s="101"/>
      <c r="O57" s="101"/>
    </row>
    <row r="58" spans="2:19" x14ac:dyDescent="0.35">
      <c r="B58" s="146"/>
      <c r="C58" s="1039"/>
      <c r="D58" s="1048"/>
      <c r="E58" s="1049"/>
      <c r="F58" s="1049"/>
      <c r="G58" s="1049"/>
      <c r="H58" s="121"/>
      <c r="I58" s="122"/>
      <c r="J58" s="1040"/>
      <c r="K58" s="1040"/>
      <c r="L58" s="101"/>
      <c r="O58" s="101"/>
      <c r="P58" s="101"/>
      <c r="Q58" s="113"/>
    </row>
    <row r="59" spans="2:19" ht="45.65" customHeight="1" x14ac:dyDescent="0.35">
      <c r="B59" s="1050" t="s">
        <v>593</v>
      </c>
      <c r="C59" s="1051" t="s">
        <v>430</v>
      </c>
      <c r="D59" s="981" t="s">
        <v>431</v>
      </c>
      <c r="E59" s="982" t="s">
        <v>432</v>
      </c>
      <c r="F59" s="982" t="s">
        <v>433</v>
      </c>
      <c r="G59" s="982" t="s">
        <v>434</v>
      </c>
      <c r="H59" s="982" t="s">
        <v>435</v>
      </c>
      <c r="I59" s="982" t="s">
        <v>436</v>
      </c>
      <c r="J59" s="1003" t="s">
        <v>557</v>
      </c>
      <c r="K59" s="1003" t="s">
        <v>558</v>
      </c>
      <c r="M59" s="101"/>
      <c r="N59" s="101"/>
      <c r="O59" s="101"/>
      <c r="P59" s="113"/>
    </row>
    <row r="60" spans="2:19" ht="21.65" hidden="1" customHeight="1" x14ac:dyDescent="0.35">
      <c r="B60" s="1052" t="s">
        <v>594</v>
      </c>
      <c r="C60" s="1053" t="s">
        <v>595</v>
      </c>
      <c r="D60" s="1054"/>
      <c r="E60" s="1055"/>
      <c r="F60" s="1055">
        <f t="shared" ref="F60:I68" si="20">F70*0.0036</f>
        <v>4268204.0532</v>
      </c>
      <c r="G60" s="1055">
        <f t="shared" ref="G60:I66" si="21">G70*0.0036</f>
        <v>4470500.8043999998</v>
      </c>
      <c r="H60" s="1056">
        <f t="shared" si="21"/>
        <v>4206015.5760000004</v>
      </c>
      <c r="I60" s="1056">
        <f t="shared" si="21"/>
        <v>4327636.1075999998</v>
      </c>
      <c r="J60" s="1022">
        <f t="shared" ref="J60:J64" si="22">(F60-G60)/G60</f>
        <v>-4.5251474063239927E-2</v>
      </c>
      <c r="K60" s="1022">
        <f t="shared" ref="K60:K64" si="23">(F60-I60)/I60</f>
        <v>-1.3733145052475158E-2</v>
      </c>
      <c r="M60" s="101"/>
      <c r="N60" s="101"/>
      <c r="O60" s="101"/>
      <c r="P60" s="113"/>
    </row>
    <row r="61" spans="2:19" ht="21.65" hidden="1" customHeight="1" x14ac:dyDescent="0.35">
      <c r="B61" s="1052" t="s">
        <v>596</v>
      </c>
      <c r="C61" s="1053" t="s">
        <v>595</v>
      </c>
      <c r="D61" s="1054"/>
      <c r="E61" s="1055"/>
      <c r="F61" s="1055">
        <f t="shared" si="20"/>
        <v>1721541.3336</v>
      </c>
      <c r="G61" s="1055">
        <f t="shared" si="21"/>
        <v>1791069.2963999999</v>
      </c>
      <c r="H61" s="1056">
        <f t="shared" si="21"/>
        <v>1702765.4904</v>
      </c>
      <c r="I61" s="1056">
        <f t="shared" si="21"/>
        <v>1785969.0684</v>
      </c>
      <c r="J61" s="1022">
        <f t="shared" si="22"/>
        <v>-3.8819247775476448E-2</v>
      </c>
      <c r="K61" s="1022">
        <f t="shared" si="23"/>
        <v>-3.6074384456007962E-2</v>
      </c>
      <c r="M61" s="101"/>
      <c r="N61" s="101"/>
      <c r="O61" s="101"/>
      <c r="P61" s="113"/>
    </row>
    <row r="62" spans="2:19" ht="21.65" hidden="1" customHeight="1" x14ac:dyDescent="0.35">
      <c r="B62" s="1052" t="s">
        <v>597</v>
      </c>
      <c r="C62" s="1053" t="s">
        <v>595</v>
      </c>
      <c r="D62" s="1054"/>
      <c r="E62" s="1055"/>
      <c r="F62" s="1055">
        <f t="shared" si="20"/>
        <v>2327419.2456</v>
      </c>
      <c r="G62" s="1055">
        <f t="shared" si="21"/>
        <v>2448951.6348000001</v>
      </c>
      <c r="H62" s="1056">
        <f t="shared" si="21"/>
        <v>2318962.1831999999</v>
      </c>
      <c r="I62" s="1056">
        <f t="shared" si="21"/>
        <v>2347654.9608</v>
      </c>
      <c r="J62" s="1022">
        <f t="shared" si="22"/>
        <v>-4.9626292113329279E-2</v>
      </c>
      <c r="K62" s="1022">
        <f t="shared" si="23"/>
        <v>-8.6195439866105124E-3</v>
      </c>
      <c r="M62" s="101"/>
      <c r="N62" s="101"/>
      <c r="O62" s="101"/>
      <c r="P62" s="113"/>
    </row>
    <row r="63" spans="2:19" ht="21.65" hidden="1" customHeight="1" x14ac:dyDescent="0.35">
      <c r="B63" s="1052" t="s">
        <v>598</v>
      </c>
      <c r="C63" s="1053" t="s">
        <v>595</v>
      </c>
      <c r="D63" s="1054"/>
      <c r="E63" s="1055"/>
      <c r="F63" s="1055">
        <f>986948044*0.0036</f>
        <v>3553012.9583999999</v>
      </c>
      <c r="G63" s="1055">
        <f t="shared" si="21"/>
        <v>3996294.0551999998</v>
      </c>
      <c r="H63" s="1056">
        <f t="shared" si="21"/>
        <v>3822197.0831999998</v>
      </c>
      <c r="I63" s="1056">
        <f t="shared" si="21"/>
        <v>3967335.4751999998</v>
      </c>
      <c r="J63" s="1022">
        <f t="shared" si="22"/>
        <v>-0.11092304286847965</v>
      </c>
      <c r="K63" s="1022">
        <f t="shared" si="23"/>
        <v>-0.10443344642517613</v>
      </c>
      <c r="M63" s="101"/>
      <c r="N63" s="101"/>
      <c r="O63" s="101"/>
      <c r="P63" s="113"/>
    </row>
    <row r="64" spans="2:19" ht="21.65" hidden="1" customHeight="1" x14ac:dyDescent="0.35">
      <c r="B64" s="1057" t="s">
        <v>599</v>
      </c>
      <c r="C64" s="1053" t="s">
        <v>595</v>
      </c>
      <c r="D64" s="1054"/>
      <c r="E64" s="1055"/>
      <c r="F64" s="1055">
        <f>F74*0.0036</f>
        <v>2570328.7667999999</v>
      </c>
      <c r="G64" s="1055">
        <f t="shared" si="21"/>
        <v>2750570.1540000001</v>
      </c>
      <c r="H64" s="1056">
        <f t="shared" si="21"/>
        <v>2614205.5559999999</v>
      </c>
      <c r="I64" s="1056">
        <f t="shared" si="21"/>
        <v>2626174.5263999999</v>
      </c>
      <c r="J64" s="1022">
        <f t="shared" si="22"/>
        <v>-6.5528736628616899E-2</v>
      </c>
      <c r="K64" s="1022">
        <f t="shared" si="23"/>
        <v>-2.1265060276307764E-2</v>
      </c>
      <c r="M64" s="101"/>
      <c r="N64" s="101"/>
      <c r="O64" s="101"/>
      <c r="P64" s="113"/>
    </row>
    <row r="65" spans="2:16" ht="21.65" hidden="1" customHeight="1" x14ac:dyDescent="0.35">
      <c r="B65" s="1057" t="s">
        <v>600</v>
      </c>
      <c r="C65" s="1053" t="s">
        <v>595</v>
      </c>
      <c r="D65" s="1054"/>
      <c r="E65" s="1055"/>
      <c r="F65" s="1055">
        <f>F75*0.0036</f>
        <v>914445.36359999992</v>
      </c>
      <c r="G65" s="1055">
        <f t="shared" si="21"/>
        <v>1105419.2760000001</v>
      </c>
      <c r="H65" s="1056">
        <f t="shared" si="21"/>
        <v>1090881.6443999999</v>
      </c>
      <c r="I65" s="1056">
        <f t="shared" si="21"/>
        <v>1224831.9095999999</v>
      </c>
      <c r="J65" s="1022">
        <f t="shared" ref="J65:J68" si="24">(F65-G65)/G65</f>
        <v>-0.17276151822776803</v>
      </c>
      <c r="K65" s="1022">
        <f t="shared" ref="K65:K68" si="25">(F65-I65)/I65</f>
        <v>-0.25341154452888531</v>
      </c>
      <c r="M65" s="101"/>
      <c r="N65" s="101"/>
      <c r="O65" s="101"/>
      <c r="P65" s="113"/>
    </row>
    <row r="66" spans="2:16" ht="21.65" hidden="1" customHeight="1" x14ac:dyDescent="0.35">
      <c r="B66" s="1058" t="s">
        <v>601</v>
      </c>
      <c r="C66" s="1053" t="s">
        <v>595</v>
      </c>
      <c r="D66" s="1054"/>
      <c r="E66" s="1055"/>
      <c r="F66" s="1055">
        <f>F76*0.0036</f>
        <v>124706.22839999999</v>
      </c>
      <c r="G66" s="1055">
        <f t="shared" si="21"/>
        <v>109428.0696</v>
      </c>
      <c r="H66" s="1056">
        <f t="shared" si="21"/>
        <v>108413.298</v>
      </c>
      <c r="I66" s="1056">
        <f t="shared" si="21"/>
        <v>116329.0392</v>
      </c>
      <c r="J66" s="1022">
        <f t="shared" si="24"/>
        <v>0.13961827944006783</v>
      </c>
      <c r="K66" s="1022">
        <f t="shared" si="25"/>
        <v>7.201288051212576E-2</v>
      </c>
      <c r="M66" s="101"/>
      <c r="N66" s="101"/>
      <c r="O66" s="101"/>
      <c r="P66" s="113"/>
    </row>
    <row r="67" spans="2:16" ht="38.5" hidden="1" customHeight="1" x14ac:dyDescent="0.35">
      <c r="B67" s="1058" t="s">
        <v>602</v>
      </c>
      <c r="C67" s="1053" t="s">
        <v>595</v>
      </c>
      <c r="D67" s="1054"/>
      <c r="E67" s="1055"/>
      <c r="F67" s="1055">
        <f>F77*0.0036</f>
        <v>12216.3228</v>
      </c>
      <c r="G67" s="1055">
        <f t="shared" si="20"/>
        <v>30876.5556</v>
      </c>
      <c r="H67" s="1055">
        <f t="shared" si="20"/>
        <v>8696.5848000000005</v>
      </c>
      <c r="I67" s="1055" t="s">
        <v>603</v>
      </c>
      <c r="J67" s="1022">
        <f t="shared" si="24"/>
        <v>-0.60434956028579812</v>
      </c>
      <c r="K67" s="1022" t="e">
        <f t="shared" si="25"/>
        <v>#VALUE!</v>
      </c>
      <c r="M67" s="113"/>
      <c r="N67" s="113"/>
      <c r="O67" s="113"/>
      <c r="P67" s="113"/>
    </row>
    <row r="68" spans="2:16" ht="21.65" hidden="1" customHeight="1" x14ac:dyDescent="0.35">
      <c r="B68" s="1053" t="s">
        <v>604</v>
      </c>
      <c r="C68" s="1053" t="s">
        <v>595</v>
      </c>
      <c r="D68" s="1054"/>
      <c r="E68" s="1055"/>
      <c r="F68" s="1055">
        <f>F78*0.0036</f>
        <v>709991.15039999993</v>
      </c>
      <c r="G68" s="1055">
        <f t="shared" si="20"/>
        <v>579050.48159999994</v>
      </c>
      <c r="H68" s="1056">
        <f t="shared" si="20"/>
        <v>497108.60639999999</v>
      </c>
      <c r="I68" s="1056">
        <f t="shared" si="20"/>
        <v>465518.16359999997</v>
      </c>
      <c r="J68" s="1022">
        <f t="shared" si="24"/>
        <v>0.22612997132511148</v>
      </c>
      <c r="K68" s="1022">
        <f t="shared" si="25"/>
        <v>0.52516315348344866</v>
      </c>
      <c r="M68" s="113"/>
      <c r="N68" s="113"/>
      <c r="O68" s="113"/>
      <c r="P68" s="113"/>
    </row>
    <row r="69" spans="2:16" ht="21.65" hidden="1" customHeight="1" x14ac:dyDescent="0.25">
      <c r="B69" s="943"/>
      <c r="C69" s="1059"/>
      <c r="D69" s="1060"/>
      <c r="E69" s="1060"/>
      <c r="F69" s="1060"/>
      <c r="G69" s="1060"/>
      <c r="H69" s="1060"/>
      <c r="I69" s="1060"/>
      <c r="J69" s="1061"/>
      <c r="K69" s="1061"/>
      <c r="L69" s="7"/>
      <c r="P69" s="113"/>
    </row>
    <row r="70" spans="2:16" ht="13.5" hidden="1" customHeight="1" x14ac:dyDescent="0.35">
      <c r="B70" s="1052" t="s">
        <v>594</v>
      </c>
      <c r="C70" s="1053" t="s">
        <v>465</v>
      </c>
      <c r="D70" s="1054"/>
      <c r="E70" s="1055"/>
      <c r="F70" s="1055">
        <v>1185612237</v>
      </c>
      <c r="G70" s="1055">
        <v>1241805779</v>
      </c>
      <c r="H70" s="1056">
        <v>1168337660</v>
      </c>
      <c r="I70" s="1056">
        <v>1202121141</v>
      </c>
      <c r="J70" s="1022">
        <f t="shared" ref="J70" si="26">(F70-G70)/G70</f>
        <v>-4.5251474063239962E-2</v>
      </c>
      <c r="K70" s="1022">
        <f t="shared" ref="K70" si="27">(F70-I70)/I70</f>
        <v>-1.3733145052475207E-2</v>
      </c>
      <c r="L70" s="113"/>
      <c r="N70" s="59"/>
      <c r="O70" s="143"/>
    </row>
    <row r="71" spans="2:16" ht="15" x14ac:dyDescent="0.35">
      <c r="B71" s="533" t="s">
        <v>596</v>
      </c>
      <c r="C71" s="532" t="s">
        <v>465</v>
      </c>
      <c r="D71" s="1062">
        <v>426655760</v>
      </c>
      <c r="E71" s="1006">
        <v>482611803</v>
      </c>
      <c r="F71" s="1006">
        <v>478205926</v>
      </c>
      <c r="G71" s="1006">
        <v>497519249</v>
      </c>
      <c r="H71" s="1063">
        <v>472990414</v>
      </c>
      <c r="I71" s="1063">
        <v>496102519</v>
      </c>
      <c r="J71" s="1043">
        <f>(D71-E71)/E71</f>
        <v>-0.11594420743994942</v>
      </c>
      <c r="K71" s="1043">
        <f>(D71-I71)/I71</f>
        <v>-0.13998469336536468</v>
      </c>
      <c r="L71" s="113"/>
      <c r="N71" s="59"/>
      <c r="O71" s="143"/>
    </row>
    <row r="72" spans="2:16" ht="15" x14ac:dyDescent="0.35">
      <c r="B72" s="533" t="s">
        <v>597</v>
      </c>
      <c r="C72" s="532" t="s">
        <v>465</v>
      </c>
      <c r="D72" s="1062">
        <v>646833093</v>
      </c>
      <c r="E72" s="1006">
        <v>675822873</v>
      </c>
      <c r="F72" s="1006">
        <v>646505346</v>
      </c>
      <c r="G72" s="1006">
        <v>680264343</v>
      </c>
      <c r="H72" s="1063">
        <v>644156162</v>
      </c>
      <c r="I72" s="1063">
        <v>652126378</v>
      </c>
      <c r="J72" s="1043">
        <f t="shared" ref="J72:J79" si="28">(D72-E72)/E72</f>
        <v>-4.2895529521386887E-2</v>
      </c>
      <c r="K72" s="1043">
        <f t="shared" ref="K72:K76" si="29">(D72-I72)/I72</f>
        <v>-8.1169619548804688E-3</v>
      </c>
      <c r="L72" s="113"/>
      <c r="N72" s="59"/>
      <c r="O72" s="143"/>
    </row>
    <row r="73" spans="2:16" ht="15" x14ac:dyDescent="0.35">
      <c r="B73" s="533" t="s">
        <v>598</v>
      </c>
      <c r="C73" s="532" t="s">
        <v>465</v>
      </c>
      <c r="D73" s="1062">
        <v>822281609</v>
      </c>
      <c r="E73" s="1006">
        <v>932568705</v>
      </c>
      <c r="F73" s="1006">
        <v>1006026587</v>
      </c>
      <c r="G73" s="1006">
        <v>1110081682</v>
      </c>
      <c r="H73" s="1063">
        <v>1061721412</v>
      </c>
      <c r="I73" s="1063">
        <v>1102037632</v>
      </c>
      <c r="J73" s="1043">
        <f t="shared" si="28"/>
        <v>-0.11826163092187401</v>
      </c>
      <c r="K73" s="1043">
        <f t="shared" si="29"/>
        <v>-0.25385342104179615</v>
      </c>
      <c r="L73" s="113"/>
      <c r="N73" s="59"/>
      <c r="O73" s="143"/>
    </row>
    <row r="74" spans="2:16" ht="15" x14ac:dyDescent="0.35">
      <c r="B74" s="1064" t="s">
        <v>599</v>
      </c>
      <c r="C74" s="532" t="s">
        <v>465</v>
      </c>
      <c r="D74" s="1062">
        <v>698345825</v>
      </c>
      <c r="E74" s="1006">
        <v>729293134</v>
      </c>
      <c r="F74" s="1006">
        <v>713980213</v>
      </c>
      <c r="G74" s="1006">
        <v>764047265</v>
      </c>
      <c r="H74" s="1063">
        <v>726168210</v>
      </c>
      <c r="I74" s="1063">
        <v>729492924</v>
      </c>
      <c r="J74" s="1043">
        <f>(D74-E74)/E74</f>
        <v>-4.24346638645305E-2</v>
      </c>
      <c r="K74" s="1043">
        <f t="shared" si="29"/>
        <v>-4.2696917235622148E-2</v>
      </c>
      <c r="L74" s="113"/>
      <c r="N74" s="1065"/>
      <c r="O74" s="143"/>
    </row>
    <row r="75" spans="2:16" ht="15" x14ac:dyDescent="0.35">
      <c r="B75" s="1064" t="s">
        <v>600</v>
      </c>
      <c r="C75" s="532" t="s">
        <v>465</v>
      </c>
      <c r="D75" s="1062">
        <v>93259870</v>
      </c>
      <c r="E75" s="1006">
        <v>172286436</v>
      </c>
      <c r="F75" s="1006">
        <v>254012601</v>
      </c>
      <c r="G75" s="1006">
        <v>307060910</v>
      </c>
      <c r="H75" s="1063">
        <v>303022679</v>
      </c>
      <c r="I75" s="1063">
        <v>340231086</v>
      </c>
      <c r="J75" s="1043">
        <f t="shared" si="28"/>
        <v>-0.45869290603933555</v>
      </c>
      <c r="K75" s="1043">
        <f t="shared" si="29"/>
        <v>-0.72589256585449102</v>
      </c>
      <c r="L75" s="113"/>
      <c r="N75" s="1065"/>
      <c r="O75" s="143"/>
    </row>
    <row r="76" spans="2:16" ht="15" x14ac:dyDescent="0.35">
      <c r="B76" s="1066" t="s">
        <v>601</v>
      </c>
      <c r="C76" s="532" t="s">
        <v>465</v>
      </c>
      <c r="D76" s="1062">
        <v>29446484</v>
      </c>
      <c r="E76" s="1006">
        <v>27685923</v>
      </c>
      <c r="F76" s="1006">
        <v>34640619</v>
      </c>
      <c r="G76" s="1006">
        <v>30396686</v>
      </c>
      <c r="H76" s="1063">
        <v>30114805</v>
      </c>
      <c r="I76" s="1063">
        <v>32313622</v>
      </c>
      <c r="J76" s="1043">
        <f t="shared" si="28"/>
        <v>6.3590475202867536E-2</v>
      </c>
      <c r="K76" s="1043">
        <f t="shared" si="29"/>
        <v>-8.8728462566034838E-2</v>
      </c>
      <c r="L76" s="113"/>
      <c r="N76" s="1067"/>
      <c r="O76" s="143"/>
    </row>
    <row r="77" spans="2:16" ht="36" customHeight="1" x14ac:dyDescent="0.35">
      <c r="B77" s="1066" t="s">
        <v>602</v>
      </c>
      <c r="C77" s="532" t="s">
        <v>465</v>
      </c>
      <c r="D77" s="1062">
        <v>1229430</v>
      </c>
      <c r="E77" s="1006">
        <v>3303212</v>
      </c>
      <c r="F77" s="1006">
        <v>3393423</v>
      </c>
      <c r="G77" s="1006">
        <v>8576821</v>
      </c>
      <c r="H77" s="1063">
        <v>2415718</v>
      </c>
      <c r="I77" s="1063"/>
      <c r="J77" s="1043">
        <f>(D77-E77)/E77</f>
        <v>-0.62780772169633681</v>
      </c>
      <c r="K77" s="1043"/>
      <c r="L77" s="113"/>
      <c r="N77" s="1067"/>
      <c r="O77" s="143"/>
    </row>
    <row r="78" spans="2:16" ht="15" x14ac:dyDescent="0.35">
      <c r="B78" s="1068" t="s">
        <v>604</v>
      </c>
      <c r="C78" s="532" t="s">
        <v>465</v>
      </c>
      <c r="D78" s="1062">
        <v>303826014</v>
      </c>
      <c r="E78" s="1069">
        <v>273939630</v>
      </c>
      <c r="F78" s="1069">
        <v>197219764</v>
      </c>
      <c r="G78" s="1069">
        <v>160847356</v>
      </c>
      <c r="H78" s="1069">
        <v>138085724</v>
      </c>
      <c r="I78" s="1069">
        <v>129310601</v>
      </c>
      <c r="J78" s="1043">
        <f t="shared" si="28"/>
        <v>0.10909843165079838</v>
      </c>
      <c r="K78" s="1043">
        <f>(D78-I78)/I78</f>
        <v>1.3495831869190678</v>
      </c>
      <c r="L78" s="113"/>
      <c r="N78" s="1070"/>
      <c r="O78" s="143"/>
    </row>
    <row r="79" spans="2:16" ht="15" x14ac:dyDescent="0.35">
      <c r="B79" s="1071" t="s">
        <v>605</v>
      </c>
      <c r="C79" s="532" t="s">
        <v>465</v>
      </c>
      <c r="D79" s="1062">
        <v>303826014</v>
      </c>
      <c r="E79" s="1006">
        <v>273939630</v>
      </c>
      <c r="F79" s="1006">
        <v>197219764</v>
      </c>
      <c r="G79" s="1006">
        <v>160847356</v>
      </c>
      <c r="H79" s="1063">
        <v>138085724</v>
      </c>
      <c r="I79" s="1063">
        <v>129310601</v>
      </c>
      <c r="J79" s="1043">
        <f t="shared" si="28"/>
        <v>0.10909843165079838</v>
      </c>
      <c r="K79" s="1043">
        <f>(D79-I79)/I79</f>
        <v>1.3495831869190678</v>
      </c>
      <c r="L79" s="113"/>
      <c r="N79" s="1070"/>
      <c r="O79" s="143"/>
    </row>
    <row r="80" spans="2:16" ht="15" x14ac:dyDescent="0.35">
      <c r="B80" s="1071" t="s">
        <v>606</v>
      </c>
      <c r="C80" s="532" t="s">
        <v>465</v>
      </c>
      <c r="D80" s="1072">
        <v>0</v>
      </c>
      <c r="E80" s="1055">
        <v>0</v>
      </c>
      <c r="F80" s="1055">
        <v>0</v>
      </c>
      <c r="G80" s="1055">
        <v>0</v>
      </c>
      <c r="H80" s="1055">
        <v>0</v>
      </c>
      <c r="I80" s="1055">
        <v>0</v>
      </c>
      <c r="J80" s="1043" t="s">
        <v>836</v>
      </c>
      <c r="K80" s="1043" t="s">
        <v>836</v>
      </c>
      <c r="L80" s="113"/>
      <c r="N80" s="1070"/>
      <c r="O80" s="143"/>
    </row>
    <row r="81" spans="2:19" x14ac:dyDescent="0.35">
      <c r="C81" s="61"/>
      <c r="D81" s="992"/>
      <c r="E81" s="992"/>
      <c r="J81" s="1073"/>
      <c r="K81" s="1073"/>
    </row>
    <row r="82" spans="2:19" ht="19.5" x14ac:dyDescent="0.35">
      <c r="B82" s="1038" t="s">
        <v>607</v>
      </c>
      <c r="C82" s="970"/>
      <c r="D82" s="971"/>
      <c r="E82" s="971"/>
      <c r="F82" s="971"/>
      <c r="G82" s="971"/>
      <c r="H82" s="971"/>
      <c r="I82" s="1579"/>
      <c r="J82" s="1579"/>
      <c r="K82" s="1579"/>
      <c r="M82" s="124"/>
      <c r="N82" s="124"/>
      <c r="O82" s="124"/>
      <c r="P82" s="124"/>
      <c r="Q82" s="101"/>
      <c r="R82" s="101"/>
      <c r="S82" s="101"/>
    </row>
    <row r="83" spans="2:19" x14ac:dyDescent="0.35">
      <c r="B83" s="125"/>
      <c r="C83" s="1074"/>
      <c r="D83" s="1075"/>
      <c r="E83" s="128"/>
      <c r="F83" s="128"/>
      <c r="G83" s="128"/>
      <c r="H83" s="1076"/>
      <c r="I83" s="1076"/>
      <c r="J83" s="1076"/>
    </row>
    <row r="84" spans="2:19" ht="46" customHeight="1" x14ac:dyDescent="0.35">
      <c r="B84" s="1077" t="s">
        <v>34</v>
      </c>
      <c r="C84" s="980" t="s">
        <v>430</v>
      </c>
      <c r="D84" s="981" t="s">
        <v>431</v>
      </c>
      <c r="E84" s="1078" t="s">
        <v>432</v>
      </c>
      <c r="F84" s="1078" t="s">
        <v>433</v>
      </c>
      <c r="G84" s="1078" t="s">
        <v>434</v>
      </c>
      <c r="H84" s="1079" t="s">
        <v>435</v>
      </c>
      <c r="I84" s="1079" t="s">
        <v>436</v>
      </c>
      <c r="J84" s="1003" t="str">
        <f>J18</f>
        <v>Performance against prior year</v>
      </c>
      <c r="K84" s="1003" t="str">
        <f>K18</f>
        <v>Performance against 2019/20 baseline</v>
      </c>
    </row>
    <row r="85" spans="2:19" ht="17.5" x14ac:dyDescent="0.35">
      <c r="B85" s="1080" t="s">
        <v>608</v>
      </c>
      <c r="C85" s="1081"/>
      <c r="D85" s="1082"/>
      <c r="E85" s="1082"/>
      <c r="F85" s="1082"/>
      <c r="G85" s="1082"/>
      <c r="H85" s="1082"/>
      <c r="I85" s="1082"/>
      <c r="J85" s="1083"/>
      <c r="K85" s="1083"/>
    </row>
    <row r="86" spans="2:19" ht="16.5" x14ac:dyDescent="0.35">
      <c r="B86" s="541" t="s">
        <v>609</v>
      </c>
      <c r="C86" s="1087" t="s">
        <v>471</v>
      </c>
      <c r="D86" s="1084">
        <v>1441490</v>
      </c>
      <c r="E86" s="1006">
        <v>1610140</v>
      </c>
      <c r="F86" s="1006">
        <v>1712853</v>
      </c>
      <c r="G86" s="1006">
        <v>1815369</v>
      </c>
      <c r="H86" s="1085">
        <v>1729882</v>
      </c>
      <c r="I86" s="1085">
        <v>1837437</v>
      </c>
      <c r="J86" s="1086">
        <f>(D86-E86)/E86</f>
        <v>-0.10474244475635659</v>
      </c>
      <c r="K86" s="1086">
        <f>(D86-I86)/I86</f>
        <v>-0.21548874872988844</v>
      </c>
      <c r="L86" s="129"/>
    </row>
    <row r="87" spans="2:19" ht="16.5" x14ac:dyDescent="0.35">
      <c r="B87" s="1087" t="s">
        <v>611</v>
      </c>
      <c r="C87" s="1087" t="s">
        <v>471</v>
      </c>
      <c r="D87" s="1088">
        <v>0</v>
      </c>
      <c r="E87" s="1089">
        <v>0</v>
      </c>
      <c r="F87" s="1089">
        <v>0</v>
      </c>
      <c r="G87" s="1089">
        <v>0</v>
      </c>
      <c r="H87" s="1090">
        <v>0</v>
      </c>
      <c r="I87" s="1090">
        <v>0</v>
      </c>
      <c r="J87" s="1086"/>
      <c r="K87" s="1086"/>
    </row>
    <row r="88" spans="2:19" ht="16.5" x14ac:dyDescent="0.35">
      <c r="B88" s="1087" t="s">
        <v>612</v>
      </c>
      <c r="C88" s="1087" t="s">
        <v>471</v>
      </c>
      <c r="D88" s="1084">
        <v>87682</v>
      </c>
      <c r="E88" s="1089">
        <v>72649</v>
      </c>
      <c r="F88" s="1089">
        <v>92696</v>
      </c>
      <c r="G88" s="1089">
        <v>91118</v>
      </c>
      <c r="H88" s="1091">
        <v>70306</v>
      </c>
      <c r="I88" s="1091">
        <v>66119</v>
      </c>
      <c r="J88" s="1086">
        <f>(D88-E88)/E88</f>
        <v>0.20692645459675976</v>
      </c>
      <c r="K88" s="1086">
        <f>(D88-I88)/I88</f>
        <v>0.32612410956003568</v>
      </c>
    </row>
    <row r="89" spans="2:19" ht="16.5" x14ac:dyDescent="0.35">
      <c r="B89" s="1068" t="s">
        <v>613</v>
      </c>
      <c r="C89" s="1087" t="s">
        <v>471</v>
      </c>
      <c r="D89" s="1084">
        <v>1078</v>
      </c>
      <c r="E89" s="1092">
        <v>430</v>
      </c>
      <c r="F89" s="1092">
        <v>603</v>
      </c>
      <c r="G89" s="1089"/>
      <c r="H89" s="1091"/>
      <c r="I89" s="1091"/>
      <c r="J89" s="1086"/>
      <c r="K89" s="1086"/>
    </row>
    <row r="90" spans="2:19" ht="16.5" x14ac:dyDescent="0.35">
      <c r="B90" s="1093" t="s">
        <v>470</v>
      </c>
      <c r="C90" s="1180" t="s">
        <v>1444</v>
      </c>
      <c r="D90" s="1084">
        <v>1530250</v>
      </c>
      <c r="E90" s="1094">
        <v>1683219</v>
      </c>
      <c r="F90" s="1094">
        <v>1806152</v>
      </c>
      <c r="G90" s="1094">
        <v>1906487</v>
      </c>
      <c r="H90" s="1094">
        <v>1800189</v>
      </c>
      <c r="I90" s="1094">
        <v>1903556</v>
      </c>
      <c r="J90" s="1086">
        <f>(D90-E90)/E90</f>
        <v>-9.0878845830518792E-2</v>
      </c>
      <c r="K90" s="1086">
        <f>(D90-I90)/I90</f>
        <v>-0.19610980711888698</v>
      </c>
    </row>
    <row r="91" spans="2:19" ht="17.5" x14ac:dyDescent="0.35">
      <c r="B91" s="1080" t="s">
        <v>615</v>
      </c>
      <c r="C91" s="1181"/>
      <c r="D91" s="1095"/>
      <c r="E91" s="1082"/>
      <c r="F91" s="1082"/>
      <c r="G91" s="1082"/>
      <c r="H91" s="1082"/>
      <c r="I91" s="1082"/>
      <c r="J91" s="1086"/>
      <c r="K91" s="1086"/>
    </row>
    <row r="92" spans="2:19" ht="16.5" x14ac:dyDescent="0.35">
      <c r="B92" s="1087" t="s">
        <v>616</v>
      </c>
      <c r="C92" s="1087" t="s">
        <v>1444</v>
      </c>
      <c r="D92" s="1095">
        <v>33966</v>
      </c>
      <c r="E92" s="1089">
        <v>36477</v>
      </c>
      <c r="F92" s="1089">
        <v>48993</v>
      </c>
      <c r="G92" s="1089">
        <v>77174</v>
      </c>
      <c r="H92" s="1091">
        <v>65976</v>
      </c>
      <c r="I92" s="1091">
        <v>72194</v>
      </c>
      <c r="J92" s="1086">
        <f>(D92-E92)/E92</f>
        <v>-6.8837897853441896E-2</v>
      </c>
      <c r="K92" s="1086">
        <f>(D92-I92)/I92</f>
        <v>-0.52951768845056379</v>
      </c>
    </row>
    <row r="93" spans="2:19" ht="20.5" customHeight="1" x14ac:dyDescent="0.35">
      <c r="B93" s="1093" t="s">
        <v>617</v>
      </c>
      <c r="C93" s="1180" t="s">
        <v>1444</v>
      </c>
      <c r="D93" s="1095">
        <v>949785</v>
      </c>
      <c r="E93" s="1094">
        <v>1150543</v>
      </c>
      <c r="F93" s="1094">
        <v>1282068</v>
      </c>
      <c r="G93" s="1094">
        <v>1297635</v>
      </c>
      <c r="H93" s="1094">
        <v>1414308</v>
      </c>
      <c r="I93" s="1094">
        <v>1295217</v>
      </c>
      <c r="J93" s="1086">
        <f>(D93-E93)/E93</f>
        <v>-0.17448978438876253</v>
      </c>
      <c r="K93" s="1086">
        <f>(D93-I93)/I93</f>
        <v>-0.26669816717970812</v>
      </c>
    </row>
    <row r="94" spans="2:19" ht="16.5" x14ac:dyDescent="0.35">
      <c r="B94" s="1087" t="s">
        <v>618</v>
      </c>
      <c r="C94" s="1087" t="s">
        <v>1445</v>
      </c>
      <c r="D94" s="1095">
        <v>1000716</v>
      </c>
      <c r="E94" s="1089">
        <v>1197825</v>
      </c>
      <c r="F94" s="1089">
        <v>1342455</v>
      </c>
      <c r="G94" s="1089">
        <v>1385139</v>
      </c>
      <c r="H94" s="1091">
        <v>1487696</v>
      </c>
      <c r="I94" s="1091">
        <v>1375207</v>
      </c>
      <c r="J94" s="1086">
        <f>(D94-E94)/E94</f>
        <v>-0.16455575731012459</v>
      </c>
      <c r="K94" s="1086">
        <f>(D94-I94)/I94</f>
        <v>-0.27231609495879527</v>
      </c>
    </row>
    <row r="95" spans="2:19" ht="15" x14ac:dyDescent="0.35">
      <c r="B95" s="130"/>
      <c r="C95" s="1182"/>
      <c r="D95" s="1096"/>
      <c r="E95" s="1097"/>
      <c r="F95" s="1097"/>
      <c r="G95" s="1097"/>
      <c r="H95" s="1097"/>
      <c r="I95" s="1097"/>
      <c r="J95" s="1098"/>
      <c r="K95" s="1099"/>
    </row>
    <row r="96" spans="2:19" ht="17.5" x14ac:dyDescent="0.35">
      <c r="B96" s="1080" t="s">
        <v>620</v>
      </c>
      <c r="C96" s="1181"/>
      <c r="D96" s="1095"/>
      <c r="E96" s="1100"/>
      <c r="F96" s="1100"/>
      <c r="G96" s="1100"/>
      <c r="H96" s="1082"/>
      <c r="I96" s="1082"/>
      <c r="J96" s="1101"/>
      <c r="K96" s="1102"/>
    </row>
    <row r="97" spans="2:18" ht="15" x14ac:dyDescent="0.35">
      <c r="B97" s="534" t="s">
        <v>476</v>
      </c>
      <c r="C97" s="1183" t="s">
        <v>477</v>
      </c>
      <c r="D97" s="1103">
        <v>346</v>
      </c>
      <c r="E97" s="1104">
        <v>264</v>
      </c>
      <c r="F97" s="1104">
        <v>242</v>
      </c>
      <c r="G97" s="1104">
        <v>220</v>
      </c>
      <c r="H97" s="1104">
        <v>112</v>
      </c>
      <c r="I97" s="1104">
        <v>104</v>
      </c>
      <c r="J97" s="1101"/>
      <c r="K97" s="1105"/>
    </row>
    <row r="98" spans="2:18" ht="15" x14ac:dyDescent="0.35">
      <c r="B98" s="534" t="s">
        <v>478</v>
      </c>
      <c r="C98" s="1183" t="s">
        <v>463</v>
      </c>
      <c r="D98" s="1045">
        <v>0.91</v>
      </c>
      <c r="E98" s="1106">
        <v>0.9</v>
      </c>
      <c r="F98" s="1106">
        <v>0.75</v>
      </c>
      <c r="G98" s="1106">
        <v>0.78</v>
      </c>
      <c r="H98" s="1106">
        <v>0.8</v>
      </c>
      <c r="I98" s="1106">
        <v>0.7</v>
      </c>
      <c r="J98" s="1098"/>
      <c r="K98" s="1107"/>
    </row>
    <row r="99" spans="2:18" ht="15" x14ac:dyDescent="0.35">
      <c r="B99" s="1108"/>
      <c r="C99" s="1182"/>
      <c r="D99" s="1109"/>
      <c r="E99" s="1110"/>
      <c r="F99" s="1110"/>
      <c r="G99" s="1110"/>
      <c r="H99" s="1110"/>
      <c r="I99" s="1110"/>
      <c r="J99" s="1098"/>
      <c r="K99" s="1107"/>
    </row>
    <row r="100" spans="2:18" ht="17.5" x14ac:dyDescent="0.35">
      <c r="B100" s="1080" t="s">
        <v>621</v>
      </c>
      <c r="C100" s="1181"/>
      <c r="D100" s="1095"/>
      <c r="E100" s="1082"/>
      <c r="F100" s="1082"/>
      <c r="G100" s="1082"/>
      <c r="H100" s="1082"/>
      <c r="I100" s="1082"/>
      <c r="J100" s="1083"/>
      <c r="K100" s="1083"/>
    </row>
    <row r="101" spans="2:18" ht="16.5" x14ac:dyDescent="0.35">
      <c r="B101" s="536" t="s">
        <v>473</v>
      </c>
      <c r="C101" s="1183" t="s">
        <v>1446</v>
      </c>
      <c r="D101" s="1095">
        <v>1495</v>
      </c>
      <c r="E101" s="1111">
        <v>1646</v>
      </c>
      <c r="F101" s="1111">
        <v>1757</v>
      </c>
      <c r="G101" s="1111">
        <v>1829</v>
      </c>
      <c r="H101" s="1111">
        <v>1734</v>
      </c>
      <c r="I101" s="1111">
        <v>1831</v>
      </c>
      <c r="J101" s="1086">
        <f>(D101-E101)/E101</f>
        <v>-9.1737545565006073E-2</v>
      </c>
      <c r="K101" s="1086">
        <f>(D101-I101)/I101</f>
        <v>-0.18350628072091754</v>
      </c>
      <c r="N101" s="1112"/>
      <c r="O101" s="1112"/>
      <c r="P101" s="1112"/>
      <c r="Q101" s="1112"/>
      <c r="R101" s="1112"/>
    </row>
    <row r="102" spans="2:18" ht="16.5" x14ac:dyDescent="0.35">
      <c r="B102" s="529" t="s">
        <v>475</v>
      </c>
      <c r="C102" s="1184" t="s">
        <v>1447</v>
      </c>
      <c r="D102" s="1095">
        <v>348</v>
      </c>
      <c r="E102" s="1113">
        <v>397</v>
      </c>
      <c r="F102" s="1113">
        <v>408</v>
      </c>
      <c r="G102" s="1113">
        <v>436</v>
      </c>
      <c r="H102" s="1113">
        <v>414</v>
      </c>
      <c r="I102" s="1091">
        <v>470</v>
      </c>
      <c r="J102" s="1086">
        <f>(D102-E102)/E102</f>
        <v>-0.12342569269521411</v>
      </c>
      <c r="K102" s="1086">
        <f>(D102-I102)/I102</f>
        <v>-0.25957446808510637</v>
      </c>
    </row>
    <row r="103" spans="2:18" ht="15" x14ac:dyDescent="0.35">
      <c r="B103" s="529" t="s">
        <v>624</v>
      </c>
      <c r="C103" s="1184" t="s">
        <v>463</v>
      </c>
      <c r="D103" s="1045">
        <v>0.23</v>
      </c>
      <c r="E103" s="1114">
        <v>0.24</v>
      </c>
      <c r="F103" s="1114">
        <v>0.23</v>
      </c>
      <c r="G103" s="1114">
        <v>0.24</v>
      </c>
      <c r="H103" s="1114">
        <v>0.24</v>
      </c>
      <c r="I103" s="1115">
        <v>0.26</v>
      </c>
      <c r="J103" s="1086">
        <f>(D103-E103)/E103</f>
        <v>-4.1666666666666588E-2</v>
      </c>
      <c r="K103" s="1086">
        <f>(D103-I103)/I103</f>
        <v>-0.11538461538461538</v>
      </c>
    </row>
    <row r="104" spans="2:18" s="505" customFormat="1" ht="16.5" x14ac:dyDescent="0.35">
      <c r="B104" s="529" t="s">
        <v>625</v>
      </c>
      <c r="C104" s="1184" t="s">
        <v>1448</v>
      </c>
      <c r="D104" s="1116">
        <f>D101/3.433</f>
        <v>435.47917273521705</v>
      </c>
      <c r="E104" s="1117"/>
      <c r="F104" s="1117"/>
      <c r="G104" s="1117"/>
      <c r="H104" s="1117"/>
      <c r="I104" s="1118">
        <f>I101/3.5067</f>
        <v>522.14332563378673</v>
      </c>
      <c r="J104" s="1117"/>
      <c r="K104" s="1119">
        <f>(D104-I104)/I104</f>
        <v>-0.16597770888553484</v>
      </c>
      <c r="M104" s="1120"/>
    </row>
    <row r="105" spans="2:18" x14ac:dyDescent="0.35">
      <c r="C105" s="58"/>
      <c r="D105" s="58"/>
    </row>
    <row r="106" spans="2:18" ht="47.15" customHeight="1" x14ac:dyDescent="0.35">
      <c r="B106" s="1077" t="s">
        <v>149</v>
      </c>
      <c r="C106" s="980" t="s">
        <v>430</v>
      </c>
      <c r="D106" s="981" t="s">
        <v>431</v>
      </c>
      <c r="E106" s="1078" t="s">
        <v>432</v>
      </c>
      <c r="F106" s="1078" t="s">
        <v>433</v>
      </c>
      <c r="G106" s="1078" t="s">
        <v>434</v>
      </c>
      <c r="H106" s="1079" t="s">
        <v>435</v>
      </c>
      <c r="I106" s="1079" t="s">
        <v>436</v>
      </c>
      <c r="J106" s="1003" t="str">
        <f>J84</f>
        <v>Performance against prior year</v>
      </c>
      <c r="K106" s="1003" t="str">
        <f>K84</f>
        <v>Performance against 2019/20 baseline</v>
      </c>
    </row>
    <row r="107" spans="2:18" ht="17.5" x14ac:dyDescent="0.35">
      <c r="B107" s="1121" t="s">
        <v>626</v>
      </c>
      <c r="C107" s="1122"/>
      <c r="D107" s="1123"/>
      <c r="E107" s="1123"/>
      <c r="F107" s="1123"/>
      <c r="G107" s="1123"/>
      <c r="H107" s="1123"/>
      <c r="I107" s="1123"/>
      <c r="J107" s="1124"/>
      <c r="K107" s="1125"/>
    </row>
    <row r="108" spans="2:18" ht="15" x14ac:dyDescent="0.35">
      <c r="B108" s="542" t="s">
        <v>627</v>
      </c>
      <c r="C108" s="532" t="s">
        <v>480</v>
      </c>
      <c r="D108" s="1126">
        <v>34735</v>
      </c>
      <c r="E108" s="1127">
        <v>39340</v>
      </c>
      <c r="F108" s="1127">
        <v>38492</v>
      </c>
      <c r="G108" s="1127">
        <v>45130</v>
      </c>
      <c r="H108" s="1127">
        <v>40994</v>
      </c>
      <c r="I108" s="1128">
        <v>39991</v>
      </c>
      <c r="J108" s="1086">
        <f t="shared" ref="J108:J113" si="30">(D108-E108)/E108</f>
        <v>-0.11705643111337062</v>
      </c>
      <c r="K108" s="1086">
        <f t="shared" ref="K108:K113" si="31">(D108-I108)/I108</f>
        <v>-0.13142957165362207</v>
      </c>
    </row>
    <row r="109" spans="2:18" ht="15" x14ac:dyDescent="0.35">
      <c r="B109" s="543" t="s">
        <v>628</v>
      </c>
      <c r="C109" s="532" t="s">
        <v>480</v>
      </c>
      <c r="D109" s="1126">
        <v>2700</v>
      </c>
      <c r="E109" s="1007">
        <v>2955</v>
      </c>
      <c r="F109" s="1007">
        <v>3331</v>
      </c>
      <c r="G109" s="1007">
        <v>2635</v>
      </c>
      <c r="H109" s="1007">
        <v>2614</v>
      </c>
      <c r="I109" s="1128">
        <v>2462</v>
      </c>
      <c r="J109" s="1086">
        <f t="shared" si="30"/>
        <v>-8.6294416243654817E-2</v>
      </c>
      <c r="K109" s="1086">
        <f t="shared" si="31"/>
        <v>9.6669374492282703E-2</v>
      </c>
    </row>
    <row r="110" spans="2:18" ht="15" x14ac:dyDescent="0.35">
      <c r="B110" s="543" t="s">
        <v>629</v>
      </c>
      <c r="C110" s="532" t="s">
        <v>480</v>
      </c>
      <c r="D110" s="1126">
        <v>4557</v>
      </c>
      <c r="E110" s="1007">
        <v>10625</v>
      </c>
      <c r="F110" s="1007">
        <v>7056</v>
      </c>
      <c r="G110" s="1007">
        <v>8559</v>
      </c>
      <c r="H110" s="1007">
        <v>7013</v>
      </c>
      <c r="I110" s="1128">
        <v>7772</v>
      </c>
      <c r="J110" s="1086">
        <f t="shared" si="30"/>
        <v>-0.57110588235294113</v>
      </c>
      <c r="K110" s="1086">
        <f t="shared" si="31"/>
        <v>-0.41366443643849715</v>
      </c>
    </row>
    <row r="111" spans="2:18" ht="15" x14ac:dyDescent="0.35">
      <c r="B111" s="543" t="s">
        <v>630</v>
      </c>
      <c r="C111" s="532" t="s">
        <v>480</v>
      </c>
      <c r="D111" s="1126">
        <v>12923</v>
      </c>
      <c r="E111" s="1007">
        <v>11837</v>
      </c>
      <c r="F111" s="1007">
        <v>13158</v>
      </c>
      <c r="G111" s="1007">
        <v>14686</v>
      </c>
      <c r="H111" s="1007">
        <v>10896</v>
      </c>
      <c r="I111" s="1128">
        <v>12948</v>
      </c>
      <c r="J111" s="1086">
        <f t="shared" si="30"/>
        <v>9.1746219481287486E-2</v>
      </c>
      <c r="K111" s="1086">
        <f t="shared" si="31"/>
        <v>-1.9308001235712078E-3</v>
      </c>
    </row>
    <row r="112" spans="2:18" ht="15" x14ac:dyDescent="0.35">
      <c r="B112" s="534" t="s">
        <v>489</v>
      </c>
      <c r="C112" s="1184" t="s">
        <v>480</v>
      </c>
      <c r="D112" s="1129">
        <v>37435</v>
      </c>
      <c r="E112" s="1130">
        <v>42296</v>
      </c>
      <c r="F112" s="1130">
        <v>41823</v>
      </c>
      <c r="G112" s="1130">
        <v>47765</v>
      </c>
      <c r="H112" s="1130">
        <v>43608</v>
      </c>
      <c r="I112" s="1111">
        <v>42453</v>
      </c>
      <c r="J112" s="1086">
        <f t="shared" si="30"/>
        <v>-0.11492812559107245</v>
      </c>
      <c r="K112" s="1086">
        <f t="shared" si="31"/>
        <v>-0.11820130497255789</v>
      </c>
    </row>
    <row r="113" spans="2:17" ht="15" x14ac:dyDescent="0.35">
      <c r="B113" s="536" t="s">
        <v>484</v>
      </c>
      <c r="C113" s="1184" t="s">
        <v>480</v>
      </c>
      <c r="D113" s="1129">
        <v>54915</v>
      </c>
      <c r="E113" s="1131">
        <v>64757</v>
      </c>
      <c r="F113" s="1131">
        <v>62037</v>
      </c>
      <c r="G113" s="1131">
        <v>71010</v>
      </c>
      <c r="H113" s="1131">
        <v>61517</v>
      </c>
      <c r="I113" s="1131">
        <v>63173</v>
      </c>
      <c r="J113" s="1086">
        <f t="shared" si="30"/>
        <v>-0.15198356934385471</v>
      </c>
      <c r="K113" s="1086">
        <f t="shared" si="31"/>
        <v>-0.13072040270368671</v>
      </c>
    </row>
    <row r="114" spans="2:17" ht="15" x14ac:dyDescent="0.35">
      <c r="B114" s="130"/>
      <c r="C114" s="1185"/>
      <c r="D114" s="1132"/>
      <c r="E114" s="1133"/>
      <c r="F114" s="1134"/>
      <c r="G114" s="1133"/>
      <c r="H114" s="1133"/>
      <c r="I114" s="1133"/>
      <c r="J114" s="1086"/>
      <c r="K114" s="1086"/>
      <c r="L114" s="1135"/>
    </row>
    <row r="115" spans="2:17" ht="17.5" x14ac:dyDescent="0.35">
      <c r="B115" s="1121" t="s">
        <v>631</v>
      </c>
      <c r="C115" s="1186"/>
      <c r="D115" s="1123"/>
      <c r="E115" s="1123"/>
      <c r="F115" s="1123"/>
      <c r="G115" s="1123"/>
      <c r="H115" s="1123"/>
      <c r="I115" s="1123"/>
      <c r="J115" s="1103"/>
      <c r="K115" s="1136"/>
    </row>
    <row r="116" spans="2:17" ht="15" x14ac:dyDescent="0.35">
      <c r="B116" s="542" t="s">
        <v>632</v>
      </c>
      <c r="C116" s="532" t="s">
        <v>480</v>
      </c>
      <c r="D116" s="1137">
        <v>500</v>
      </c>
      <c r="E116" s="1127">
        <v>532</v>
      </c>
      <c r="F116" s="1127">
        <v>1038</v>
      </c>
      <c r="G116" s="1127">
        <v>1002</v>
      </c>
      <c r="H116" s="1127">
        <v>1031</v>
      </c>
      <c r="I116" s="1128">
        <v>718</v>
      </c>
      <c r="J116" s="1086">
        <f t="shared" ref="J116:J121" si="32">(D116-E116)/E116</f>
        <v>-6.0150375939849621E-2</v>
      </c>
      <c r="K116" s="1086">
        <f t="shared" ref="K116:K121" si="33">(D116-I116)/I116</f>
        <v>-0.30362116991643456</v>
      </c>
    </row>
    <row r="117" spans="2:17" ht="15" x14ac:dyDescent="0.35">
      <c r="B117" s="543" t="s">
        <v>633</v>
      </c>
      <c r="C117" s="532" t="s">
        <v>480</v>
      </c>
      <c r="D117" s="1137">
        <v>33971</v>
      </c>
      <c r="E117" s="1007">
        <v>36633</v>
      </c>
      <c r="F117" s="1007">
        <v>36128</v>
      </c>
      <c r="G117" s="1007">
        <v>37739</v>
      </c>
      <c r="H117" s="1007">
        <v>22788</v>
      </c>
      <c r="I117" s="1128">
        <v>18865</v>
      </c>
      <c r="J117" s="1086">
        <f t="shared" si="32"/>
        <v>-7.2666721262249878E-2</v>
      </c>
      <c r="K117" s="1086">
        <f t="shared" si="33"/>
        <v>0.80074211502782933</v>
      </c>
    </row>
    <row r="118" spans="2:17" ht="15" x14ac:dyDescent="0.35">
      <c r="B118" s="543" t="s">
        <v>482</v>
      </c>
      <c r="C118" s="532" t="s">
        <v>480</v>
      </c>
      <c r="D118" s="1137">
        <v>1200</v>
      </c>
      <c r="E118" s="1007">
        <v>1245</v>
      </c>
      <c r="F118" s="1007">
        <v>1067</v>
      </c>
      <c r="G118" s="1007">
        <v>2032</v>
      </c>
      <c r="H118" s="1007">
        <v>990</v>
      </c>
      <c r="I118" s="1128">
        <v>1652</v>
      </c>
      <c r="J118" s="1086">
        <f t="shared" si="32"/>
        <v>-3.614457831325301E-2</v>
      </c>
      <c r="K118" s="1086">
        <f t="shared" si="33"/>
        <v>-0.27360774818401939</v>
      </c>
    </row>
    <row r="119" spans="2:17" ht="15" x14ac:dyDescent="0.35">
      <c r="B119" s="543" t="s">
        <v>483</v>
      </c>
      <c r="C119" s="532" t="s">
        <v>480</v>
      </c>
      <c r="D119" s="1137">
        <v>16403</v>
      </c>
      <c r="E119" s="1007">
        <v>23045</v>
      </c>
      <c r="F119" s="1007">
        <v>19504</v>
      </c>
      <c r="G119" s="1007">
        <v>26148</v>
      </c>
      <c r="H119" s="1007">
        <v>33557</v>
      </c>
      <c r="I119" s="1128">
        <v>38968</v>
      </c>
      <c r="J119" s="1086">
        <f t="shared" si="32"/>
        <v>-0.28821870253851162</v>
      </c>
      <c r="K119" s="1086">
        <f t="shared" si="33"/>
        <v>-0.579064873742558</v>
      </c>
    </row>
    <row r="120" spans="2:17" ht="15" x14ac:dyDescent="0.35">
      <c r="B120" s="534" t="s">
        <v>481</v>
      </c>
      <c r="C120" s="1184" t="s">
        <v>480</v>
      </c>
      <c r="D120" s="1138">
        <v>2841</v>
      </c>
      <c r="E120" s="1139">
        <v>3302</v>
      </c>
      <c r="F120" s="1139">
        <v>4301</v>
      </c>
      <c r="G120" s="1139">
        <v>4089</v>
      </c>
      <c r="H120" s="1139">
        <v>3152</v>
      </c>
      <c r="I120" s="1139">
        <v>2970</v>
      </c>
      <c r="J120" s="1086">
        <f t="shared" si="32"/>
        <v>-0.13961235614778922</v>
      </c>
      <c r="K120" s="1086">
        <f t="shared" si="33"/>
        <v>-4.3434343434343436E-2</v>
      </c>
    </row>
    <row r="121" spans="2:17" ht="13.5" customHeight="1" x14ac:dyDescent="0.35">
      <c r="B121" s="536" t="s">
        <v>484</v>
      </c>
      <c r="C121" s="1184" t="s">
        <v>480</v>
      </c>
      <c r="D121" s="1140">
        <v>54915</v>
      </c>
      <c r="E121" s="1141">
        <v>64757</v>
      </c>
      <c r="F121" s="1141">
        <v>62037</v>
      </c>
      <c r="G121" s="1141">
        <v>71010</v>
      </c>
      <c r="H121" s="1141">
        <v>61517</v>
      </c>
      <c r="I121" s="1141">
        <v>63173</v>
      </c>
      <c r="J121" s="1086">
        <f t="shared" si="32"/>
        <v>-0.15198356934385471</v>
      </c>
      <c r="K121" s="1086">
        <f t="shared" si="33"/>
        <v>-0.13072040270368671</v>
      </c>
    </row>
    <row r="122" spans="2:17" ht="13.5" customHeight="1" x14ac:dyDescent="0.35">
      <c r="I122" s="992"/>
    </row>
    <row r="123" spans="2:17" ht="25.5" customHeight="1" x14ac:dyDescent="0.35">
      <c r="B123" s="1077" t="s">
        <v>634</v>
      </c>
      <c r="C123" s="980" t="s">
        <v>430</v>
      </c>
      <c r="D123" s="981" t="s">
        <v>431</v>
      </c>
      <c r="E123" s="1078" t="s">
        <v>432</v>
      </c>
      <c r="F123" s="1078" t="s">
        <v>433</v>
      </c>
      <c r="G123" s="1078" t="s">
        <v>434</v>
      </c>
      <c r="H123" s="1079" t="s">
        <v>435</v>
      </c>
      <c r="I123" s="1079" t="s">
        <v>436</v>
      </c>
      <c r="J123" s="1142"/>
      <c r="K123" s="1142"/>
    </row>
    <row r="124" spans="2:17" s="503" customFormat="1" ht="15" x14ac:dyDescent="0.35">
      <c r="B124" s="1143" t="s">
        <v>635</v>
      </c>
      <c r="C124" s="1144" t="s">
        <v>480</v>
      </c>
      <c r="D124" s="1145">
        <v>966</v>
      </c>
      <c r="E124" s="1146">
        <v>1044</v>
      </c>
      <c r="F124" s="1146">
        <v>848</v>
      </c>
      <c r="G124" s="1146">
        <v>1744</v>
      </c>
      <c r="H124" s="1146">
        <v>866</v>
      </c>
      <c r="I124" s="1146">
        <v>1468</v>
      </c>
      <c r="J124" s="1098"/>
      <c r="K124" s="1098"/>
      <c r="M124" s="58"/>
      <c r="N124" s="58"/>
      <c r="O124" s="58"/>
      <c r="P124" s="58"/>
      <c r="Q124" s="58"/>
    </row>
    <row r="125" spans="2:17" s="503" customFormat="1" ht="30" x14ac:dyDescent="0.35">
      <c r="B125" s="1143" t="s">
        <v>636</v>
      </c>
      <c r="C125" s="1144" t="s">
        <v>480</v>
      </c>
      <c r="D125" s="1145">
        <v>2566</v>
      </c>
      <c r="E125" s="1146">
        <v>7600</v>
      </c>
      <c r="F125" s="1146">
        <v>3869</v>
      </c>
      <c r="G125" s="1146">
        <v>6882</v>
      </c>
      <c r="H125" s="1146">
        <v>5355</v>
      </c>
      <c r="I125" s="1146">
        <v>4990</v>
      </c>
      <c r="J125" s="1098"/>
      <c r="K125" s="1147"/>
      <c r="M125" s="58"/>
      <c r="N125" s="58"/>
      <c r="O125" s="58"/>
      <c r="P125" s="58"/>
      <c r="Q125" s="58"/>
    </row>
    <row r="126" spans="2:17" s="503" customFormat="1" ht="15" x14ac:dyDescent="0.35">
      <c r="B126" s="1143" t="s">
        <v>637</v>
      </c>
      <c r="C126" s="1144" t="s">
        <v>480</v>
      </c>
      <c r="D126" s="1145">
        <v>2234</v>
      </c>
      <c r="E126" s="1146">
        <v>1930</v>
      </c>
      <c r="F126" s="1146">
        <v>1993</v>
      </c>
      <c r="G126" s="1146">
        <v>2734</v>
      </c>
      <c r="H126" s="1146">
        <v>1533</v>
      </c>
      <c r="I126" s="1146">
        <v>1334</v>
      </c>
      <c r="J126" s="1098"/>
      <c r="K126" s="1098"/>
      <c r="M126" s="58"/>
      <c r="N126" s="58"/>
      <c r="O126" s="58"/>
      <c r="P126" s="58"/>
      <c r="Q126" s="58"/>
    </row>
    <row r="127" spans="2:17" s="503" customFormat="1" ht="15" x14ac:dyDescent="0.35">
      <c r="B127" s="1187" t="s">
        <v>638</v>
      </c>
      <c r="C127" s="1148" t="s">
        <v>480</v>
      </c>
      <c r="D127" s="1149">
        <v>5767</v>
      </c>
      <c r="E127" s="1150">
        <v>10574</v>
      </c>
      <c r="F127" s="1150">
        <v>6710</v>
      </c>
      <c r="G127" s="1150">
        <v>11360</v>
      </c>
      <c r="H127" s="1150">
        <v>7754</v>
      </c>
      <c r="I127" s="1150">
        <v>7792</v>
      </c>
      <c r="J127" s="1098"/>
      <c r="K127" s="1098"/>
      <c r="M127" s="58"/>
      <c r="N127" s="58"/>
      <c r="O127" s="58"/>
      <c r="P127" s="58"/>
      <c r="Q127" s="58"/>
    </row>
    <row r="128" spans="2:17" s="503" customFormat="1" ht="15" x14ac:dyDescent="0.35">
      <c r="B128" s="1143" t="s">
        <v>639</v>
      </c>
      <c r="C128" s="1144" t="s">
        <v>480</v>
      </c>
      <c r="D128" s="1145">
        <v>234</v>
      </c>
      <c r="E128" s="1146">
        <v>201</v>
      </c>
      <c r="F128" s="1146">
        <v>218</v>
      </c>
      <c r="G128" s="1146">
        <v>287</v>
      </c>
      <c r="H128" s="1146">
        <v>124</v>
      </c>
      <c r="I128" s="1146">
        <v>184</v>
      </c>
      <c r="J128" s="1098"/>
      <c r="K128" s="1098"/>
      <c r="M128" s="58"/>
      <c r="N128" s="58"/>
      <c r="O128" s="58"/>
      <c r="P128" s="58"/>
      <c r="Q128" s="58"/>
    </row>
    <row r="129" spans="2:17" s="503" customFormat="1" ht="15" x14ac:dyDescent="0.35">
      <c r="B129" s="1143" t="s">
        <v>640</v>
      </c>
      <c r="C129" s="1144" t="s">
        <v>480</v>
      </c>
      <c r="D129" s="1145">
        <v>13836</v>
      </c>
      <c r="E129" s="1146">
        <v>15445</v>
      </c>
      <c r="F129" s="1146">
        <v>15635</v>
      </c>
      <c r="G129" s="1146">
        <v>19266</v>
      </c>
      <c r="H129" s="1146">
        <v>28202</v>
      </c>
      <c r="I129" s="1146">
        <v>33978</v>
      </c>
      <c r="J129" s="1098"/>
      <c r="K129" s="1098"/>
      <c r="M129" s="58"/>
      <c r="N129" s="58"/>
      <c r="O129" s="58"/>
      <c r="P129" s="58"/>
      <c r="Q129" s="58"/>
    </row>
    <row r="130" spans="2:17" s="503" customFormat="1" ht="15" x14ac:dyDescent="0.35">
      <c r="B130" s="1143" t="s">
        <v>641</v>
      </c>
      <c r="C130" s="1144" t="s">
        <v>480</v>
      </c>
      <c r="D130" s="1145">
        <v>607</v>
      </c>
      <c r="E130" s="1146">
        <v>1372</v>
      </c>
      <c r="F130" s="1146">
        <v>2308</v>
      </c>
      <c r="G130" s="1146">
        <v>1355</v>
      </c>
      <c r="H130" s="1146">
        <v>1619</v>
      </c>
      <c r="I130" s="1146">
        <v>1636</v>
      </c>
      <c r="J130" s="1098"/>
      <c r="K130" s="1098"/>
      <c r="M130" s="58"/>
      <c r="N130" s="58"/>
      <c r="O130" s="58"/>
      <c r="P130" s="58"/>
      <c r="Q130" s="58"/>
    </row>
    <row r="131" spans="2:17" s="503" customFormat="1" ht="15" x14ac:dyDescent="0.35">
      <c r="B131" s="1187" t="s">
        <v>642</v>
      </c>
      <c r="C131" s="1148" t="s">
        <v>480</v>
      </c>
      <c r="D131" s="1149">
        <v>14677</v>
      </c>
      <c r="E131" s="1150">
        <v>17018</v>
      </c>
      <c r="F131" s="1150">
        <v>18161</v>
      </c>
      <c r="G131" s="1150">
        <v>20908</v>
      </c>
      <c r="H131" s="1150">
        <v>29945</v>
      </c>
      <c r="I131" s="1150">
        <v>35798</v>
      </c>
      <c r="J131" s="1098"/>
      <c r="K131" s="1098"/>
      <c r="M131" s="58"/>
      <c r="N131" s="58"/>
      <c r="O131" s="58"/>
      <c r="P131" s="58"/>
      <c r="Q131" s="58"/>
    </row>
    <row r="132" spans="2:17" s="503" customFormat="1" ht="15" x14ac:dyDescent="0.35">
      <c r="B132" s="1187" t="s">
        <v>643</v>
      </c>
      <c r="C132" s="1148" t="s">
        <v>480</v>
      </c>
      <c r="D132" s="1149">
        <v>20444</v>
      </c>
      <c r="E132" s="1150">
        <v>27592</v>
      </c>
      <c r="F132" s="1150">
        <v>24871</v>
      </c>
      <c r="G132" s="1150">
        <v>32269</v>
      </c>
      <c r="H132" s="1150">
        <v>37698</v>
      </c>
      <c r="I132" s="1150">
        <v>43590</v>
      </c>
      <c r="J132" s="1098"/>
      <c r="K132" s="1098"/>
      <c r="M132" s="58"/>
      <c r="N132" s="58"/>
      <c r="O132" s="58"/>
      <c r="P132" s="58"/>
      <c r="Q132" s="58"/>
    </row>
    <row r="133" spans="2:17" s="503" customFormat="1" ht="15" x14ac:dyDescent="0.35">
      <c r="B133" s="1187" t="s">
        <v>644</v>
      </c>
      <c r="C133" s="1148" t="s">
        <v>480</v>
      </c>
      <c r="D133" s="1149">
        <v>2841</v>
      </c>
      <c r="E133" s="1150">
        <v>3302</v>
      </c>
      <c r="F133" s="1150">
        <v>4301</v>
      </c>
      <c r="G133" s="1150">
        <v>4089</v>
      </c>
      <c r="H133" s="1150">
        <v>3152</v>
      </c>
      <c r="I133" s="1150">
        <v>2970</v>
      </c>
      <c r="J133" s="1098"/>
      <c r="K133" s="1098"/>
      <c r="L133" s="669"/>
      <c r="M133" s="58"/>
      <c r="N133" s="58"/>
      <c r="O133" s="58"/>
      <c r="P133" s="58"/>
      <c r="Q133" s="58"/>
    </row>
    <row r="134" spans="2:17" ht="23.5" customHeight="1" x14ac:dyDescent="0.35">
      <c r="B134" s="1189" t="s">
        <v>645</v>
      </c>
      <c r="C134" s="980" t="s">
        <v>430</v>
      </c>
      <c r="D134" s="981" t="s">
        <v>431</v>
      </c>
      <c r="E134" s="1078" t="s">
        <v>432</v>
      </c>
      <c r="F134" s="1078" t="s">
        <v>433</v>
      </c>
      <c r="G134" s="1078" t="s">
        <v>434</v>
      </c>
      <c r="H134" s="1079" t="s">
        <v>435</v>
      </c>
      <c r="I134" s="1079" t="s">
        <v>436</v>
      </c>
      <c r="J134" s="1142"/>
      <c r="K134" s="1142"/>
    </row>
    <row r="135" spans="2:17" s="503" customFormat="1" ht="15" x14ac:dyDescent="0.35">
      <c r="B135" s="1151" t="s">
        <v>646</v>
      </c>
      <c r="C135" s="1144" t="s">
        <v>480</v>
      </c>
      <c r="D135" s="1152">
        <v>127</v>
      </c>
      <c r="E135" s="1153">
        <v>119</v>
      </c>
      <c r="F135" s="1153">
        <v>119</v>
      </c>
      <c r="G135" s="1153">
        <v>109</v>
      </c>
      <c r="H135" s="1153">
        <v>106</v>
      </c>
      <c r="I135" s="1153">
        <v>125</v>
      </c>
      <c r="J135" s="1098"/>
      <c r="K135" s="1098"/>
    </row>
    <row r="136" spans="2:17" s="503" customFormat="1" ht="15" x14ac:dyDescent="0.35">
      <c r="B136" s="1151" t="s">
        <v>647</v>
      </c>
      <c r="C136" s="1144" t="s">
        <v>480</v>
      </c>
      <c r="D136" s="1152">
        <v>373</v>
      </c>
      <c r="E136" s="1153">
        <v>413</v>
      </c>
      <c r="F136" s="1153">
        <v>920</v>
      </c>
      <c r="G136" s="1153">
        <v>893</v>
      </c>
      <c r="H136" s="1153">
        <v>925</v>
      </c>
      <c r="I136" s="1153">
        <v>593</v>
      </c>
      <c r="J136" s="1098"/>
      <c r="K136" s="1098"/>
    </row>
    <row r="137" spans="2:17" s="503" customFormat="1" ht="15" x14ac:dyDescent="0.35">
      <c r="B137" s="1151" t="s">
        <v>648</v>
      </c>
      <c r="C137" s="1144" t="s">
        <v>480</v>
      </c>
      <c r="D137" s="1152">
        <v>11586</v>
      </c>
      <c r="E137" s="1153">
        <v>11769</v>
      </c>
      <c r="F137" s="1153">
        <v>13386</v>
      </c>
      <c r="G137" s="1153">
        <v>11775</v>
      </c>
      <c r="H137" s="1146">
        <v>10049</v>
      </c>
      <c r="I137" s="1146">
        <v>12803</v>
      </c>
      <c r="J137" s="1098"/>
      <c r="K137" s="1098"/>
    </row>
    <row r="138" spans="2:17" s="503" customFormat="1" ht="15" x14ac:dyDescent="0.35">
      <c r="B138" s="1151" t="s">
        <v>649</v>
      </c>
      <c r="C138" s="1144" t="s">
        <v>480</v>
      </c>
      <c r="D138" s="1152">
        <v>22385</v>
      </c>
      <c r="E138" s="1153">
        <v>24864</v>
      </c>
      <c r="F138" s="1153">
        <v>22742</v>
      </c>
      <c r="G138" s="1153">
        <v>25964</v>
      </c>
      <c r="H138" s="1153">
        <v>12738</v>
      </c>
      <c r="I138" s="1153">
        <v>6062</v>
      </c>
      <c r="J138" s="1098"/>
      <c r="K138" s="1098"/>
    </row>
    <row r="139" spans="2:17" s="503" customFormat="1" ht="15" x14ac:dyDescent="0.35">
      <c r="B139" s="1188" t="s">
        <v>650</v>
      </c>
      <c r="C139" s="1148" t="s">
        <v>480</v>
      </c>
      <c r="D139" s="1149">
        <v>34472</v>
      </c>
      <c r="E139" s="1150">
        <v>37165</v>
      </c>
      <c r="F139" s="1150">
        <v>37166</v>
      </c>
      <c r="G139" s="1150">
        <v>38741</v>
      </c>
      <c r="H139" s="1150">
        <v>23819</v>
      </c>
      <c r="I139" s="1150">
        <v>19583</v>
      </c>
      <c r="J139" s="1154"/>
      <c r="K139" s="1154"/>
    </row>
    <row r="140" spans="2:17" s="503" customFormat="1" ht="15" x14ac:dyDescent="0.35">
      <c r="B140" s="1151" t="s">
        <v>651</v>
      </c>
      <c r="C140" s="1144" t="s">
        <v>463</v>
      </c>
      <c r="D140" s="1155">
        <v>0.67</v>
      </c>
      <c r="E140" s="1156">
        <v>0.52900000000000003</v>
      </c>
      <c r="F140" s="1156">
        <v>0.66800000000000004</v>
      </c>
      <c r="G140" s="1156">
        <v>0.51100000000000001</v>
      </c>
      <c r="H140" s="1156">
        <v>0.56699999999999995</v>
      </c>
      <c r="I140" s="1156">
        <v>0.624</v>
      </c>
      <c r="J140" s="1107"/>
      <c r="K140" s="1107"/>
    </row>
    <row r="141" spans="2:17" s="503" customFormat="1" ht="15" x14ac:dyDescent="0.35">
      <c r="B141" s="1157" t="s">
        <v>652</v>
      </c>
      <c r="C141" s="1158" t="s">
        <v>463</v>
      </c>
      <c r="D141" s="1155">
        <v>0.60799999999999998</v>
      </c>
      <c r="E141" s="1156">
        <v>0.59799999999999998</v>
      </c>
      <c r="F141" s="1156">
        <v>0.56599999999999995</v>
      </c>
      <c r="G141" s="1156">
        <v>0.56200000000000006</v>
      </c>
      <c r="H141" s="1156">
        <v>0.313</v>
      </c>
      <c r="I141" s="1156">
        <v>0.157</v>
      </c>
      <c r="J141" s="1098"/>
      <c r="K141" s="1098"/>
    </row>
    <row r="142" spans="2:17" s="503" customFormat="1" ht="15" x14ac:dyDescent="0.35">
      <c r="B142" s="1157" t="s">
        <v>653</v>
      </c>
      <c r="C142" s="1158" t="s">
        <v>463</v>
      </c>
      <c r="D142" s="1155">
        <v>0.628</v>
      </c>
      <c r="E142" s="1156">
        <v>0.57399999999999995</v>
      </c>
      <c r="F142" s="1156">
        <v>0.59899999999999998</v>
      </c>
      <c r="G142" s="1156">
        <v>0.54600000000000004</v>
      </c>
      <c r="H142" s="1156">
        <v>0.38700000000000001</v>
      </c>
      <c r="I142" s="1156">
        <v>0.31</v>
      </c>
      <c r="J142" s="1098"/>
      <c r="K142" s="1098"/>
    </row>
    <row r="143" spans="2:17" ht="17.5" x14ac:dyDescent="0.35">
      <c r="B143" s="246" t="s">
        <v>654</v>
      </c>
      <c r="C143" s="980" t="s">
        <v>430</v>
      </c>
      <c r="D143" s="981" t="s">
        <v>431</v>
      </c>
      <c r="E143" s="1078" t="s">
        <v>432</v>
      </c>
      <c r="F143" s="1078" t="s">
        <v>433</v>
      </c>
      <c r="G143" s="1078" t="s">
        <v>434</v>
      </c>
      <c r="H143" s="1079" t="s">
        <v>435</v>
      </c>
      <c r="I143" s="1079" t="s">
        <v>436</v>
      </c>
      <c r="J143" s="1142"/>
      <c r="K143" s="1142"/>
    </row>
    <row r="144" spans="2:17" s="503" customFormat="1" ht="17.5" customHeight="1" x14ac:dyDescent="0.35">
      <c r="B144" s="1159" t="s">
        <v>491</v>
      </c>
      <c r="C144" s="1144" t="s">
        <v>480</v>
      </c>
      <c r="D144" s="1145">
        <v>15623</v>
      </c>
      <c r="E144" s="1160">
        <v>14792</v>
      </c>
      <c r="F144" s="1160">
        <v>16490</v>
      </c>
      <c r="G144" s="1160">
        <v>17321</v>
      </c>
      <c r="H144" s="1160">
        <v>13510</v>
      </c>
      <c r="I144" s="1160">
        <v>15410</v>
      </c>
      <c r="J144" s="1098"/>
      <c r="K144" s="1098"/>
    </row>
    <row r="145" spans="2:18" s="503" customFormat="1" ht="15" x14ac:dyDescent="0.35">
      <c r="B145" s="1159" t="s">
        <v>655</v>
      </c>
      <c r="C145" s="1144" t="s">
        <v>480</v>
      </c>
      <c r="D145" s="1161">
        <v>146</v>
      </c>
      <c r="E145" s="1162">
        <v>195</v>
      </c>
      <c r="F145" s="1162">
        <v>481</v>
      </c>
      <c r="G145" s="1162">
        <v>512</v>
      </c>
      <c r="H145" s="1162">
        <v>421</v>
      </c>
      <c r="I145" s="1162">
        <v>219</v>
      </c>
      <c r="J145" s="1098"/>
      <c r="K145" s="1098"/>
    </row>
    <row r="146" spans="2:18" s="503" customFormat="1" ht="15" x14ac:dyDescent="0.35">
      <c r="B146" s="1159" t="s">
        <v>656</v>
      </c>
      <c r="C146" s="1144" t="s">
        <v>480</v>
      </c>
      <c r="D146" s="1161">
        <v>12070</v>
      </c>
      <c r="E146" s="1162">
        <v>11032</v>
      </c>
      <c r="F146" s="1162">
        <v>11695</v>
      </c>
      <c r="G146" s="1162">
        <v>11433</v>
      </c>
      <c r="H146" s="1163">
        <v>9676</v>
      </c>
      <c r="I146" s="1163">
        <v>11205</v>
      </c>
      <c r="J146" s="1098"/>
      <c r="K146" s="1098"/>
    </row>
    <row r="147" spans="2:18" s="503" customFormat="1" ht="15" x14ac:dyDescent="0.35">
      <c r="B147" s="1164" t="s">
        <v>490</v>
      </c>
      <c r="C147" s="1144" t="s">
        <v>480</v>
      </c>
      <c r="D147" s="1149">
        <f>D144-D145-D146</f>
        <v>3407</v>
      </c>
      <c r="E147" s="1165">
        <f>E144-E145-E146</f>
        <v>3565</v>
      </c>
      <c r="F147" s="1165">
        <f t="shared" ref="F147:I147" si="34">F144-F145-F146</f>
        <v>4314</v>
      </c>
      <c r="G147" s="1165">
        <f t="shared" si="34"/>
        <v>5376</v>
      </c>
      <c r="H147" s="1165">
        <f t="shared" si="34"/>
        <v>3413</v>
      </c>
      <c r="I147" s="1165">
        <f t="shared" si="34"/>
        <v>3986</v>
      </c>
      <c r="J147" s="1098"/>
      <c r="K147" s="1098"/>
    </row>
    <row r="148" spans="2:18" x14ac:dyDescent="0.35">
      <c r="B148" s="500"/>
      <c r="C148" s="1166"/>
      <c r="D148" s="1167"/>
      <c r="E148" s="1167"/>
      <c r="F148" s="1167"/>
      <c r="G148" s="1167"/>
      <c r="H148" s="1167"/>
      <c r="I148" s="1167"/>
      <c r="J148" s="1142"/>
      <c r="K148" s="1142"/>
    </row>
    <row r="149" spans="2:18" ht="33" customHeight="1" x14ac:dyDescent="0.35">
      <c r="B149" s="1168" t="s">
        <v>657</v>
      </c>
      <c r="C149" s="1051" t="s">
        <v>430</v>
      </c>
      <c r="D149" s="981" t="s">
        <v>431</v>
      </c>
      <c r="E149" s="1078" t="s">
        <v>432</v>
      </c>
      <c r="F149" s="1078" t="s">
        <v>433</v>
      </c>
      <c r="G149" s="1078" t="s">
        <v>434</v>
      </c>
      <c r="H149" s="1079" t="s">
        <v>435</v>
      </c>
      <c r="I149" s="1079" t="s">
        <v>436</v>
      </c>
      <c r="J149" s="1003" t="str">
        <f>J84</f>
        <v>Performance against prior year</v>
      </c>
      <c r="K149" s="1142"/>
    </row>
    <row r="150" spans="2:18" ht="17" x14ac:dyDescent="0.35">
      <c r="B150" s="533" t="s">
        <v>658</v>
      </c>
      <c r="C150" s="532" t="s">
        <v>480</v>
      </c>
      <c r="D150" s="1169">
        <v>278</v>
      </c>
      <c r="E150" s="1063">
        <v>318.29000000000002</v>
      </c>
      <c r="F150" s="1063">
        <v>336.7</v>
      </c>
      <c r="G150" s="1063">
        <v>358.26</v>
      </c>
      <c r="H150" s="1063">
        <v>338.34</v>
      </c>
      <c r="I150" s="1063">
        <v>320.41000000000003</v>
      </c>
      <c r="J150" s="1086">
        <f t="shared" ref="J150:J155" si="35">(E150-F150)/F150</f>
        <v>-5.4677754677754584E-2</v>
      </c>
      <c r="K150" s="1142"/>
    </row>
    <row r="151" spans="2:18" ht="17" x14ac:dyDescent="0.35">
      <c r="B151" s="533" t="s">
        <v>659</v>
      </c>
      <c r="C151" s="532" t="s">
        <v>480</v>
      </c>
      <c r="D151" s="1169">
        <v>42</v>
      </c>
      <c r="E151" s="1063">
        <v>36.020000000000003</v>
      </c>
      <c r="F151" s="1063">
        <v>31.17</v>
      </c>
      <c r="G151" s="1063">
        <v>73.42</v>
      </c>
      <c r="H151" s="1063">
        <v>42.28</v>
      </c>
      <c r="I151" s="1063">
        <v>16.420000000000002</v>
      </c>
      <c r="J151" s="1086">
        <f t="shared" si="35"/>
        <v>0.15559833172922685</v>
      </c>
      <c r="K151" s="1142"/>
    </row>
    <row r="152" spans="2:18" ht="15" x14ac:dyDescent="0.35">
      <c r="B152" s="533" t="s">
        <v>496</v>
      </c>
      <c r="C152" s="532" t="s">
        <v>480</v>
      </c>
      <c r="D152" s="1169">
        <v>50</v>
      </c>
      <c r="E152" s="1063">
        <v>44.76</v>
      </c>
      <c r="F152" s="1063">
        <v>42.41</v>
      </c>
      <c r="G152" s="1063">
        <v>49.72</v>
      </c>
      <c r="H152" s="1063">
        <v>38.729999999999997</v>
      </c>
      <c r="I152" s="1063">
        <v>47.06</v>
      </c>
      <c r="J152" s="1086">
        <f t="shared" si="35"/>
        <v>5.541145956142423E-2</v>
      </c>
      <c r="K152" s="1142"/>
    </row>
    <row r="153" spans="2:18" ht="17" x14ac:dyDescent="0.35">
      <c r="B153" s="533" t="s">
        <v>660</v>
      </c>
      <c r="C153" s="532" t="s">
        <v>463</v>
      </c>
      <c r="D153" s="1045">
        <v>0.85299999999999998</v>
      </c>
      <c r="E153" s="1046">
        <v>0.875</v>
      </c>
      <c r="F153" s="1046">
        <v>0.86</v>
      </c>
      <c r="G153" s="1046">
        <v>0.85</v>
      </c>
      <c r="H153" s="1115">
        <v>0.85</v>
      </c>
      <c r="I153" s="1115">
        <v>0.82</v>
      </c>
      <c r="J153" s="1086">
        <f t="shared" si="35"/>
        <v>1.7441860465116296E-2</v>
      </c>
      <c r="K153" s="1142"/>
    </row>
    <row r="154" spans="2:18" ht="17" x14ac:dyDescent="0.35">
      <c r="B154" s="544" t="s">
        <v>661</v>
      </c>
      <c r="C154" s="532" t="s">
        <v>463</v>
      </c>
      <c r="D154" s="1045">
        <v>0.68</v>
      </c>
      <c r="E154" s="1046">
        <v>0.67500000000000004</v>
      </c>
      <c r="F154" s="1046">
        <v>0.36</v>
      </c>
      <c r="G154" s="1046">
        <v>0.34</v>
      </c>
      <c r="H154" s="1115">
        <v>0.36</v>
      </c>
      <c r="I154" s="1115">
        <v>0.32</v>
      </c>
      <c r="J154" s="1086">
        <f t="shared" si="35"/>
        <v>0.87500000000000022</v>
      </c>
      <c r="K154" s="1142"/>
    </row>
    <row r="155" spans="2:18" ht="15" x14ac:dyDescent="0.35">
      <c r="B155" s="544" t="s">
        <v>499</v>
      </c>
      <c r="C155" s="532" t="s">
        <v>463</v>
      </c>
      <c r="D155" s="1045">
        <v>0.82</v>
      </c>
      <c r="E155" s="1046">
        <v>0.8</v>
      </c>
      <c r="F155" s="1046">
        <v>0.56999999999999995</v>
      </c>
      <c r="G155" s="1046">
        <v>0.56000000000000005</v>
      </c>
      <c r="H155" s="1115">
        <v>0.54</v>
      </c>
      <c r="I155" s="1115">
        <v>0.53</v>
      </c>
      <c r="J155" s="1086">
        <f t="shared" si="35"/>
        <v>0.40350877192982476</v>
      </c>
      <c r="K155" s="1142"/>
    </row>
    <row r="156" spans="2:18" x14ac:dyDescent="0.35">
      <c r="B156" s="120"/>
      <c r="C156" s="1070"/>
      <c r="D156" s="1170"/>
      <c r="E156" s="1171"/>
      <c r="F156" s="1171"/>
      <c r="G156" s="1171"/>
      <c r="H156" s="1171"/>
      <c r="I156" s="1172"/>
      <c r="J156" s="1142"/>
      <c r="K156" s="1142"/>
    </row>
    <row r="157" spans="2:18" ht="17.5" x14ac:dyDescent="0.35">
      <c r="B157" s="1002" t="s">
        <v>662</v>
      </c>
      <c r="C157" s="980" t="s">
        <v>430</v>
      </c>
      <c r="D157" s="981" t="s">
        <v>431</v>
      </c>
      <c r="E157" s="1019" t="s">
        <v>432</v>
      </c>
      <c r="F157" s="1019" t="str">
        <f>F38</f>
        <v>2022/23</v>
      </c>
      <c r="G157" s="1019" t="str">
        <f>G38</f>
        <v>2021/22</v>
      </c>
      <c r="H157" s="1019" t="str">
        <f>H38</f>
        <v>2020/21</v>
      </c>
      <c r="I157" s="1019" t="str">
        <f>I38</f>
        <v>2019/20</v>
      </c>
      <c r="J157" s="1018"/>
      <c r="K157" s="1018"/>
      <c r="L157" s="122"/>
      <c r="M157" s="101"/>
      <c r="R157" s="101"/>
    </row>
    <row r="158" spans="2:18" ht="17.5" customHeight="1" x14ac:dyDescent="0.35">
      <c r="B158" s="543" t="s">
        <v>663</v>
      </c>
      <c r="C158" s="1004" t="s">
        <v>664</v>
      </c>
      <c r="D158" s="1005">
        <v>97876</v>
      </c>
      <c r="E158" s="1007">
        <v>104994</v>
      </c>
      <c r="F158" s="1007">
        <v>103566</v>
      </c>
      <c r="G158" s="1007">
        <v>105896</v>
      </c>
      <c r="H158" s="1007">
        <v>102204</v>
      </c>
      <c r="I158" s="1007">
        <v>108710</v>
      </c>
      <c r="J158" s="1018"/>
      <c r="K158" s="1018"/>
      <c r="L158" s="122"/>
      <c r="M158" s="101"/>
      <c r="R158" s="101"/>
    </row>
    <row r="159" spans="2:18" ht="15" x14ac:dyDescent="0.35">
      <c r="B159" s="543" t="s">
        <v>665</v>
      </c>
      <c r="C159" s="1004" t="s">
        <v>666</v>
      </c>
      <c r="D159" s="1005">
        <v>11674</v>
      </c>
      <c r="E159" s="1173">
        <v>12843</v>
      </c>
      <c r="F159" s="1173">
        <v>14933</v>
      </c>
      <c r="G159" s="1173">
        <v>16025</v>
      </c>
      <c r="H159" s="1173">
        <v>15435</v>
      </c>
      <c r="I159" s="1173">
        <v>14577</v>
      </c>
      <c r="J159" s="1135"/>
      <c r="K159" s="1135"/>
      <c r="L159" s="122"/>
      <c r="M159" s="101"/>
      <c r="R159" s="101"/>
    </row>
    <row r="160" spans="2:18" x14ac:dyDescent="0.35">
      <c r="B160" s="119"/>
      <c r="C160" s="1016"/>
      <c r="D160" s="1017"/>
      <c r="E160" s="120"/>
      <c r="F160" s="120"/>
      <c r="G160" s="120"/>
      <c r="H160" s="120"/>
      <c r="I160" s="121"/>
      <c r="J160" s="121"/>
      <c r="K160" s="121"/>
      <c r="L160" s="122"/>
      <c r="M160" s="122"/>
    </row>
    <row r="161" spans="2:18" ht="17.5" x14ac:dyDescent="0.35">
      <c r="B161" s="1077" t="s">
        <v>667</v>
      </c>
      <c r="C161" s="1051" t="s">
        <v>430</v>
      </c>
      <c r="D161" s="981" t="s">
        <v>431</v>
      </c>
      <c r="E161" s="1019" t="s">
        <v>432</v>
      </c>
      <c r="F161" s="1019" t="s">
        <v>433</v>
      </c>
      <c r="R161" s="101"/>
    </row>
    <row r="162" spans="2:18" ht="30" x14ac:dyDescent="0.35">
      <c r="B162" s="529" t="s">
        <v>287</v>
      </c>
      <c r="C162" s="532" t="s">
        <v>668</v>
      </c>
      <c r="D162" s="1174">
        <v>2</v>
      </c>
      <c r="E162" s="1063">
        <v>1</v>
      </c>
      <c r="F162" s="1063">
        <v>1</v>
      </c>
      <c r="R162" s="101"/>
    </row>
    <row r="163" spans="2:18" ht="15" x14ac:dyDescent="0.35">
      <c r="B163" s="533" t="s">
        <v>669</v>
      </c>
      <c r="C163" s="532" t="s">
        <v>670</v>
      </c>
      <c r="D163" s="1175">
        <v>47000</v>
      </c>
      <c r="E163" s="1007">
        <v>0</v>
      </c>
      <c r="F163" s="1007">
        <v>0</v>
      </c>
    </row>
    <row r="164" spans="2:18" x14ac:dyDescent="0.35"/>
    <row r="165" spans="2:18" ht="17.5" x14ac:dyDescent="0.35">
      <c r="B165" s="1077" t="s">
        <v>671</v>
      </c>
      <c r="C165" s="1051" t="s">
        <v>430</v>
      </c>
      <c r="D165" s="981" t="s">
        <v>431</v>
      </c>
      <c r="E165" s="1019" t="s">
        <v>432</v>
      </c>
      <c r="F165" s="1019" t="s">
        <v>433</v>
      </c>
    </row>
    <row r="166" spans="2:18" ht="15" x14ac:dyDescent="0.35">
      <c r="B166" s="529" t="s">
        <v>672</v>
      </c>
      <c r="C166" s="532" t="s">
        <v>463</v>
      </c>
      <c r="D166" s="1176">
        <v>0.92</v>
      </c>
      <c r="E166" s="1177">
        <v>0.93</v>
      </c>
      <c r="F166" s="1063"/>
    </row>
    <row r="167" spans="2:18" x14ac:dyDescent="0.35">
      <c r="E167" s="91"/>
    </row>
    <row r="168" spans="2:18" x14ac:dyDescent="0.35">
      <c r="E168" s="91"/>
    </row>
    <row r="169" spans="2:18" x14ac:dyDescent="0.35">
      <c r="E169" s="91"/>
      <c r="J169" s="101"/>
    </row>
    <row r="170" spans="2:18" x14ac:dyDescent="0.35">
      <c r="L170" s="101"/>
    </row>
    <row r="171" spans="2:18" x14ac:dyDescent="0.35"/>
    <row r="178" spans="3:5" ht="13.5" customHeight="1" x14ac:dyDescent="0.35">
      <c r="C178" s="1178"/>
    </row>
    <row r="179" spans="3:5" ht="13.5" customHeight="1" x14ac:dyDescent="0.35">
      <c r="C179" s="1178"/>
      <c r="D179" s="1178"/>
      <c r="E179" s="1023"/>
    </row>
    <row r="180" spans="3:5" ht="13.5" customHeight="1" x14ac:dyDescent="0.35">
      <c r="C180" s="1179"/>
    </row>
  </sheetData>
  <sheetProtection algorithmName="SHA-512" hashValue="Vy7XM5AhxeQ7l+Zq3t8Yuph0xWC6KjLgX60vWdANE8xmwQd9ku021Seox2uEZRhuAZCQPIqYnZ4LPjVy9GDvZQ==" saltValue="EGMnVp6CaY6/ZQ6w8RgM7Q==" spinCount="100000" sheet="1" objects="1" scenarios="1"/>
  <mergeCells count="7">
    <mergeCell ref="B4:F4"/>
    <mergeCell ref="B5:I5"/>
    <mergeCell ref="I82:K82"/>
    <mergeCell ref="B9:B10"/>
    <mergeCell ref="C9:C10"/>
    <mergeCell ref="B52:B53"/>
    <mergeCell ref="C52:C53"/>
  </mergeCells>
  <phoneticPr fontId="3" type="noConversion"/>
  <conditionalFormatting sqref="E104:H104">
    <cfRule type="dataBar" priority="2">
      <dataBar>
        <cfvo type="num" val="-0.2"/>
        <cfvo type="num" val="1"/>
        <color theme="3"/>
      </dataBar>
      <extLst>
        <ext xmlns:x14="http://schemas.microsoft.com/office/spreadsheetml/2009/9/main" uri="{B025F937-C7B1-47D3-B67F-A62EFF666E3E}">
          <x14:id>{BE78B56E-E9F5-415C-86FC-7F7AA965E2C0}</x14:id>
        </ext>
      </extLst>
    </cfRule>
  </conditionalFormatting>
  <conditionalFormatting sqref="J104">
    <cfRule type="dataBar" priority="1">
      <dataBar>
        <cfvo type="num" val="-0.2"/>
        <cfvo type="num" val="1"/>
        <color theme="3"/>
      </dataBar>
      <extLst>
        <ext xmlns:x14="http://schemas.microsoft.com/office/spreadsheetml/2009/9/main" uri="{B025F937-C7B1-47D3-B67F-A62EFF666E3E}">
          <x14:id>{0741C01B-B25F-4A5B-8D3C-0598A3C7D19E}</x14:id>
        </ext>
      </extLst>
    </cfRule>
  </conditionalFormatting>
  <hyperlinks>
    <hyperlink ref="B4:D4" location="'Basis of Reporting'!A1" display="Please see ERM CVS' full assurance report on page 196-198 of our ARA 2025 and on Basis of Reporting tab for more details." xr:uid="{53DA4807-F4D2-475B-A1D4-E28298C9FF6F}"/>
  </hyperlinks>
  <pageMargins left="0.23622047244094491" right="0.23622047244094491" top="0.74803149606299213" bottom="0.74803149606299213" header="0.31496062992125984" footer="0.31496062992125984"/>
  <pageSetup paperSize="9" scale="48" fitToHeight="0" orientation="landscape" r:id="rId1"/>
  <rowBreaks count="2" manualBreakCount="2">
    <brk id="48" min="1" max="8" man="1"/>
    <brk id="105" min="1" max="8"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BE78B56E-E9F5-415C-86FC-7F7AA965E2C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E104:H104</xm:sqref>
        </x14:conditionalFormatting>
        <x14:conditionalFormatting xmlns:xm="http://schemas.microsoft.com/office/excel/2006/main">
          <x14:cfRule type="dataBar" id="{0741C01B-B25F-4A5B-8D3C-0598A3C7D19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J104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A6B4-BFB5-4FFA-B771-0CD89AA40FF1}">
  <sheetPr codeName="Sheet5">
    <tabColor rgb="FFFFC000"/>
  </sheetPr>
  <dimension ref="A2:Y144"/>
  <sheetViews>
    <sheetView workbookViewId="0"/>
  </sheetViews>
  <sheetFormatPr defaultColWidth="8.81640625" defaultRowHeight="13.5" x14ac:dyDescent="0.25"/>
  <cols>
    <col min="1" max="1" width="14.81640625" style="2" customWidth="1"/>
    <col min="2" max="2" width="88.81640625" style="2" customWidth="1"/>
    <col min="3" max="3" width="97.453125" style="2" customWidth="1"/>
    <col min="4" max="4" width="24.1796875" style="2" customWidth="1"/>
    <col min="5" max="5" width="19.453125" style="2" customWidth="1"/>
    <col min="6" max="6" width="17.1796875" style="2" customWidth="1"/>
    <col min="7" max="7" width="18.54296875" style="2" bestFit="1" customWidth="1"/>
    <col min="8" max="8" width="21.1796875" style="2" customWidth="1"/>
    <col min="9" max="9" width="17.81640625" style="2" customWidth="1"/>
    <col min="10" max="10" width="19.1796875" style="2" bestFit="1" customWidth="1"/>
    <col min="11" max="12" width="20.1796875" style="2" customWidth="1"/>
    <col min="13" max="13" width="22.1796875" style="2" customWidth="1"/>
    <col min="14" max="14" width="21.81640625" style="2" customWidth="1"/>
    <col min="15" max="15" width="20.1796875" style="2" customWidth="1"/>
    <col min="16" max="16" width="17.54296875" style="2" customWidth="1"/>
    <col min="17" max="16384" width="8.81640625" style="2"/>
  </cols>
  <sheetData>
    <row r="2" spans="1:25" ht="40.5" x14ac:dyDescent="0.25">
      <c r="A2" s="10" t="s">
        <v>673</v>
      </c>
      <c r="B2" s="1587" t="s">
        <v>31</v>
      </c>
      <c r="C2" s="1587"/>
      <c r="D2" s="1587"/>
      <c r="E2" s="1587"/>
      <c r="F2" s="1587"/>
      <c r="G2" s="1587"/>
      <c r="H2" s="1587"/>
      <c r="I2" s="1587"/>
      <c r="J2" s="1587"/>
      <c r="K2" s="1587"/>
      <c r="L2" s="1587"/>
      <c r="M2" s="1587"/>
      <c r="N2" s="1587"/>
      <c r="O2" s="4"/>
      <c r="P2" s="13"/>
      <c r="Q2" s="13"/>
      <c r="R2" s="13"/>
      <c r="S2" s="13"/>
      <c r="T2" s="13"/>
      <c r="U2" s="14"/>
      <c r="V2" s="14"/>
      <c r="W2" s="14"/>
      <c r="X2" s="14"/>
    </row>
    <row r="3" spans="1:25" ht="19.5" x14ac:dyDescent="0.25">
      <c r="B3" s="15"/>
      <c r="C3" s="15"/>
      <c r="D3" s="15"/>
      <c r="E3" s="15"/>
      <c r="F3" s="15"/>
      <c r="G3" s="16"/>
      <c r="H3" s="16"/>
      <c r="I3" s="16"/>
      <c r="J3" s="16"/>
      <c r="K3" s="16"/>
      <c r="L3" s="16"/>
      <c r="M3" s="16"/>
      <c r="N3" s="16"/>
      <c r="O3" s="16"/>
      <c r="P3" s="16"/>
      <c r="Q3" s="16"/>
      <c r="R3" s="16"/>
      <c r="S3" s="16"/>
      <c r="T3" s="16"/>
      <c r="U3" s="14"/>
      <c r="V3" s="14"/>
      <c r="W3" s="14"/>
      <c r="X3" s="14"/>
    </row>
    <row r="4" spans="1:25" ht="184.5" customHeight="1" x14ac:dyDescent="0.25">
      <c r="B4" s="1599" t="s">
        <v>674</v>
      </c>
      <c r="C4" s="1599"/>
      <c r="D4" s="1599"/>
      <c r="E4" s="1599"/>
      <c r="F4" s="1599"/>
      <c r="G4" s="1599"/>
      <c r="H4" s="1599"/>
      <c r="I4" s="1599"/>
      <c r="J4" s="1599"/>
      <c r="K4" s="1599"/>
      <c r="L4" s="1599"/>
      <c r="M4" s="14"/>
      <c r="N4" s="14"/>
      <c r="O4" s="14"/>
      <c r="P4" s="14"/>
      <c r="Q4" s="14"/>
      <c r="R4" s="14"/>
      <c r="S4" s="14"/>
      <c r="T4" s="14"/>
      <c r="U4" s="14"/>
      <c r="V4" s="14"/>
      <c r="W4" s="14"/>
      <c r="X4" s="14"/>
    </row>
    <row r="5" spans="1:25" x14ac:dyDescent="0.25">
      <c r="B5" s="17"/>
      <c r="C5" s="17"/>
      <c r="D5" s="17"/>
      <c r="E5" s="17"/>
      <c r="F5" s="17"/>
      <c r="G5" s="18"/>
      <c r="H5" s="18"/>
      <c r="I5" s="18"/>
      <c r="J5" s="14"/>
      <c r="K5" s="14"/>
      <c r="L5" s="14"/>
      <c r="M5" s="14"/>
      <c r="N5" s="14"/>
      <c r="O5" s="14"/>
      <c r="P5" s="19"/>
      <c r="Q5" s="14"/>
      <c r="R5" s="14"/>
      <c r="S5" s="14"/>
      <c r="T5" s="14"/>
      <c r="U5" s="14"/>
      <c r="V5" s="14"/>
      <c r="W5" s="14"/>
      <c r="X5" s="14"/>
    </row>
    <row r="6" spans="1:25" ht="24.5" x14ac:dyDescent="0.45">
      <c r="B6" s="20" t="s">
        <v>556</v>
      </c>
      <c r="C6" s="21"/>
      <c r="D6" s="22"/>
      <c r="E6" s="22"/>
      <c r="F6" s="22"/>
      <c r="G6" s="1584"/>
      <c r="H6" s="1584"/>
      <c r="I6" s="1584"/>
      <c r="J6" s="23"/>
      <c r="K6" s="23"/>
      <c r="L6" s="23"/>
      <c r="M6" s="23"/>
      <c r="N6" s="23"/>
      <c r="O6" s="14"/>
      <c r="P6" s="14"/>
      <c r="Q6" s="14"/>
      <c r="R6" s="14"/>
      <c r="S6" s="14"/>
      <c r="T6" s="14"/>
      <c r="U6" s="14"/>
      <c r="V6" s="14"/>
      <c r="W6" s="14"/>
      <c r="X6" s="14"/>
    </row>
    <row r="7" spans="1:25" x14ac:dyDescent="0.25">
      <c r="C7" s="24"/>
      <c r="D7" s="25"/>
      <c r="E7" s="25"/>
      <c r="F7" s="25"/>
      <c r="G7" s="26"/>
      <c r="H7" s="26"/>
      <c r="I7" s="26"/>
      <c r="J7" s="26"/>
      <c r="K7" s="26"/>
      <c r="L7" s="26"/>
      <c r="M7" s="27"/>
      <c r="N7" s="27"/>
      <c r="O7" s="14"/>
      <c r="P7" s="27"/>
      <c r="Q7" s="27"/>
      <c r="R7" s="27"/>
      <c r="S7" s="27"/>
      <c r="T7" s="27"/>
      <c r="U7" s="27"/>
      <c r="V7" s="27"/>
      <c r="W7" s="27"/>
      <c r="X7" s="27"/>
    </row>
    <row r="8" spans="1:25" ht="14.25" customHeight="1" x14ac:dyDescent="0.25">
      <c r="B8" s="1588" t="s">
        <v>429</v>
      </c>
      <c r="C8" s="1589" t="s">
        <v>675</v>
      </c>
      <c r="D8" s="1590" t="s">
        <v>430</v>
      </c>
      <c r="E8" s="1600" t="s">
        <v>433</v>
      </c>
      <c r="F8" s="1600"/>
      <c r="G8" s="1600"/>
      <c r="H8" s="1585" t="s">
        <v>434</v>
      </c>
      <c r="I8" s="1585"/>
      <c r="J8" s="1585"/>
      <c r="K8" s="1585" t="s">
        <v>435</v>
      </c>
      <c r="L8" s="1585"/>
      <c r="M8" s="1585"/>
      <c r="N8" s="226" t="s">
        <v>436</v>
      </c>
      <c r="O8" s="14"/>
      <c r="P8" s="14"/>
      <c r="Q8" s="14"/>
      <c r="R8" s="14"/>
      <c r="S8" s="14"/>
      <c r="T8" s="14"/>
      <c r="U8" s="14"/>
      <c r="V8" s="14"/>
      <c r="W8" s="14"/>
      <c r="X8" s="14"/>
      <c r="Y8" s="14"/>
    </row>
    <row r="9" spans="1:25" ht="28" customHeight="1" x14ac:dyDescent="0.25">
      <c r="B9" s="1588"/>
      <c r="C9" s="1589"/>
      <c r="D9" s="1591"/>
      <c r="E9" s="225" t="s">
        <v>438</v>
      </c>
      <c r="F9" s="225" t="s">
        <v>676</v>
      </c>
      <c r="G9" s="225" t="s">
        <v>677</v>
      </c>
      <c r="H9" s="226" t="s">
        <v>438</v>
      </c>
      <c r="I9" s="226" t="s">
        <v>676</v>
      </c>
      <c r="J9" s="227" t="s">
        <v>677</v>
      </c>
      <c r="K9" s="226" t="s">
        <v>438</v>
      </c>
      <c r="L9" s="226" t="s">
        <v>676</v>
      </c>
      <c r="M9" s="227" t="s">
        <v>677</v>
      </c>
      <c r="N9" s="226" t="s">
        <v>438</v>
      </c>
      <c r="O9" s="14"/>
      <c r="P9" s="28"/>
      <c r="Q9" s="28"/>
      <c r="R9" s="14"/>
      <c r="S9" s="14"/>
      <c r="T9" s="14"/>
      <c r="U9" s="14"/>
      <c r="V9" s="14"/>
      <c r="W9" s="14"/>
      <c r="X9" s="14"/>
      <c r="Y9" s="14"/>
    </row>
    <row r="10" spans="1:25" ht="127.5" x14ac:dyDescent="0.25">
      <c r="B10" s="148" t="s">
        <v>368</v>
      </c>
      <c r="C10" s="149" t="s">
        <v>678</v>
      </c>
      <c r="D10" s="149" t="s">
        <v>679</v>
      </c>
      <c r="E10" s="237">
        <v>235892</v>
      </c>
      <c r="F10" s="237">
        <v>100466</v>
      </c>
      <c r="G10" s="237">
        <f>E10-F10</f>
        <v>135426</v>
      </c>
      <c r="H10" s="150">
        <v>262233</v>
      </c>
      <c r="I10" s="150">
        <v>108639</v>
      </c>
      <c r="J10" s="150">
        <f>H10-I10</f>
        <v>153594</v>
      </c>
      <c r="K10" s="150">
        <v>255832</v>
      </c>
      <c r="L10" s="150">
        <v>116770</v>
      </c>
      <c r="M10" s="150">
        <f>K10-L10</f>
        <v>139062</v>
      </c>
      <c r="N10" s="150">
        <v>253097</v>
      </c>
      <c r="O10" s="14"/>
      <c r="P10" s="29"/>
      <c r="Q10" s="29"/>
      <c r="R10" s="14"/>
      <c r="S10" s="14"/>
      <c r="T10" s="14"/>
      <c r="U10" s="14"/>
      <c r="V10" s="14"/>
      <c r="W10" s="14"/>
      <c r="X10" s="14"/>
      <c r="Y10" s="14"/>
    </row>
    <row r="11" spans="1:25" ht="81" x14ac:dyDescent="0.25">
      <c r="B11" s="148" t="s">
        <v>370</v>
      </c>
      <c r="C11" s="149" t="s">
        <v>680</v>
      </c>
      <c r="D11" s="149" t="s">
        <v>679</v>
      </c>
      <c r="E11" s="237">
        <v>131449</v>
      </c>
      <c r="F11" s="237">
        <v>1024</v>
      </c>
      <c r="G11" s="237">
        <f t="shared" ref="G11:G14" si="0">E11-F11</f>
        <v>130425</v>
      </c>
      <c r="H11" s="150">
        <v>181419</v>
      </c>
      <c r="I11" s="150">
        <v>1482</v>
      </c>
      <c r="J11" s="150">
        <f t="shared" ref="J11:J14" si="1">H11-I11</f>
        <v>179937</v>
      </c>
      <c r="K11" s="150">
        <v>181525</v>
      </c>
      <c r="L11" s="150">
        <v>3969</v>
      </c>
      <c r="M11" s="150">
        <f>K11-L11</f>
        <v>177556</v>
      </c>
      <c r="N11" s="150">
        <v>192333</v>
      </c>
      <c r="O11" s="14"/>
      <c r="P11" s="29"/>
      <c r="Q11" s="29"/>
      <c r="R11" s="14"/>
      <c r="S11" s="14"/>
      <c r="T11" s="14"/>
      <c r="U11" s="14"/>
      <c r="V11" s="14"/>
      <c r="W11" s="14"/>
      <c r="X11" s="14"/>
      <c r="Y11" s="14"/>
    </row>
    <row r="12" spans="1:25" ht="81" x14ac:dyDescent="0.25">
      <c r="B12" s="148" t="s">
        <v>442</v>
      </c>
      <c r="C12" s="149" t="s">
        <v>681</v>
      </c>
      <c r="D12" s="149" t="s">
        <v>679</v>
      </c>
      <c r="E12" s="237">
        <v>206357</v>
      </c>
      <c r="F12" s="237">
        <v>21721</v>
      </c>
      <c r="G12" s="237">
        <f t="shared" si="0"/>
        <v>184636</v>
      </c>
      <c r="H12" s="150">
        <v>241531</v>
      </c>
      <c r="I12" s="150">
        <v>29037</v>
      </c>
      <c r="J12" s="150">
        <f t="shared" si="1"/>
        <v>212494</v>
      </c>
      <c r="K12" s="150">
        <v>226283</v>
      </c>
      <c r="L12" s="150">
        <v>33772</v>
      </c>
      <c r="M12" s="150">
        <f t="shared" ref="M12:M14" si="2">K12-L12</f>
        <v>192511</v>
      </c>
      <c r="N12" s="150">
        <v>251569</v>
      </c>
      <c r="O12" s="14"/>
      <c r="P12" s="29"/>
      <c r="Q12" s="29"/>
      <c r="R12" s="14"/>
      <c r="S12" s="14"/>
      <c r="T12" s="14"/>
      <c r="U12" s="14"/>
      <c r="V12" s="14"/>
      <c r="W12" s="14"/>
      <c r="X12" s="14"/>
      <c r="Y12" s="14"/>
    </row>
    <row r="13" spans="1:25" ht="27" x14ac:dyDescent="0.25">
      <c r="B13" s="151" t="s">
        <v>443</v>
      </c>
      <c r="C13" s="152" t="s">
        <v>682</v>
      </c>
      <c r="D13" s="152" t="s">
        <v>683</v>
      </c>
      <c r="E13" s="237">
        <v>367341</v>
      </c>
      <c r="F13" s="237">
        <v>101489</v>
      </c>
      <c r="G13" s="237">
        <f t="shared" si="0"/>
        <v>265852</v>
      </c>
      <c r="H13" s="234">
        <f>H10+H11</f>
        <v>443652</v>
      </c>
      <c r="I13" s="234">
        <f t="shared" ref="I13" si="3">I10+I11</f>
        <v>110121</v>
      </c>
      <c r="J13" s="234">
        <f t="shared" si="1"/>
        <v>333531</v>
      </c>
      <c r="K13" s="234">
        <v>437357</v>
      </c>
      <c r="L13" s="234">
        <v>120739</v>
      </c>
      <c r="M13" s="234">
        <f t="shared" si="2"/>
        <v>316618</v>
      </c>
      <c r="N13" s="234">
        <v>445430</v>
      </c>
      <c r="O13" s="14"/>
      <c r="P13" s="67"/>
      <c r="Q13" s="29"/>
      <c r="R13" s="14"/>
      <c r="S13" s="14"/>
      <c r="T13" s="14"/>
      <c r="U13" s="14"/>
      <c r="V13" s="14"/>
      <c r="W13" s="14"/>
      <c r="X13" s="14"/>
      <c r="Y13" s="14"/>
    </row>
    <row r="14" spans="1:25" ht="27" x14ac:dyDescent="0.25">
      <c r="B14" s="148" t="s">
        <v>445</v>
      </c>
      <c r="C14" s="149" t="s">
        <v>684</v>
      </c>
      <c r="D14" s="149" t="s">
        <v>679</v>
      </c>
      <c r="E14" s="237">
        <v>442248</v>
      </c>
      <c r="F14" s="237">
        <v>122186</v>
      </c>
      <c r="G14" s="237">
        <f t="shared" si="0"/>
        <v>320062</v>
      </c>
      <c r="H14" s="150">
        <f>H10+H12</f>
        <v>503764</v>
      </c>
      <c r="I14" s="150">
        <v>137676</v>
      </c>
      <c r="J14" s="150">
        <f t="shared" si="1"/>
        <v>366088</v>
      </c>
      <c r="K14" s="150">
        <f>K10+K12</f>
        <v>482115</v>
      </c>
      <c r="L14" s="150">
        <f t="shared" ref="L14" si="4">L10+L12</f>
        <v>150542</v>
      </c>
      <c r="M14" s="150">
        <f t="shared" si="2"/>
        <v>331573</v>
      </c>
      <c r="N14" s="150">
        <v>504666</v>
      </c>
      <c r="O14" s="14"/>
      <c r="P14" s="68"/>
      <c r="Q14" s="29"/>
      <c r="R14" s="14"/>
      <c r="S14" s="14"/>
      <c r="T14" s="14"/>
      <c r="U14" s="14"/>
      <c r="V14" s="14"/>
      <c r="W14" s="14"/>
      <c r="X14" s="14"/>
      <c r="Y14" s="14"/>
    </row>
    <row r="15" spans="1:25" ht="30" x14ac:dyDescent="0.25">
      <c r="B15" s="151" t="s">
        <v>446</v>
      </c>
      <c r="C15" s="152" t="s">
        <v>685</v>
      </c>
      <c r="D15" s="152" t="s">
        <v>686</v>
      </c>
      <c r="E15" s="238">
        <v>3.4</v>
      </c>
      <c r="F15" s="238">
        <v>22.3</v>
      </c>
      <c r="G15" s="238">
        <v>2.6</v>
      </c>
      <c r="H15" s="235">
        <v>3.9</v>
      </c>
      <c r="I15" s="235">
        <v>20.5</v>
      </c>
      <c r="J15" s="236">
        <v>3.1</v>
      </c>
      <c r="K15" s="235">
        <v>3.9</v>
      </c>
      <c r="L15" s="235">
        <v>12.2</v>
      </c>
      <c r="M15" s="235">
        <v>3.1</v>
      </c>
      <c r="N15" s="235">
        <v>3.6</v>
      </c>
      <c r="O15" s="14"/>
      <c r="P15" s="29"/>
      <c r="Q15" s="29"/>
      <c r="R15" s="14"/>
      <c r="S15" s="14"/>
      <c r="T15" s="14"/>
      <c r="U15" s="14"/>
      <c r="V15" s="14"/>
      <c r="W15" s="14"/>
      <c r="X15" s="14"/>
      <c r="Y15" s="14"/>
    </row>
    <row r="16" spans="1:25" x14ac:dyDescent="0.25">
      <c r="B16" s="30"/>
      <c r="C16" s="30"/>
      <c r="D16" s="31"/>
      <c r="E16" s="31"/>
      <c r="F16" s="31"/>
      <c r="G16" s="32"/>
      <c r="H16" s="33"/>
      <c r="I16" s="33"/>
      <c r="J16" s="33"/>
      <c r="K16" s="33"/>
      <c r="L16" s="33"/>
      <c r="M16" s="34"/>
      <c r="N16" s="14"/>
      <c r="O16" s="14"/>
      <c r="P16" s="14"/>
      <c r="Q16" s="14"/>
      <c r="R16" s="14"/>
      <c r="S16" s="14"/>
      <c r="T16" s="14"/>
      <c r="U16" s="14"/>
      <c r="V16" s="14"/>
      <c r="W16" s="14"/>
      <c r="X16" s="14"/>
    </row>
    <row r="17" spans="2:24" x14ac:dyDescent="0.25">
      <c r="B17" s="391" t="s">
        <v>559</v>
      </c>
      <c r="C17" s="391" t="s">
        <v>687</v>
      </c>
      <c r="D17" s="392" t="s">
        <v>430</v>
      </c>
      <c r="E17" s="393" t="s">
        <v>433</v>
      </c>
      <c r="F17" s="394" t="s">
        <v>434</v>
      </c>
      <c r="G17" s="394" t="s">
        <v>435</v>
      </c>
      <c r="H17" s="394" t="s">
        <v>436</v>
      </c>
      <c r="I17" s="28"/>
      <c r="J17" s="35"/>
      <c r="K17" s="33"/>
      <c r="L17" s="33"/>
      <c r="M17" s="34"/>
      <c r="N17" s="14"/>
      <c r="O17" s="14"/>
      <c r="P17" s="14"/>
      <c r="Q17" s="14"/>
      <c r="R17" s="14"/>
      <c r="S17" s="14"/>
      <c r="T17" s="14"/>
      <c r="U17" s="14"/>
      <c r="V17" s="14"/>
      <c r="W17" s="14"/>
      <c r="X17" s="14"/>
    </row>
    <row r="18" spans="2:24" ht="40.5" x14ac:dyDescent="0.25">
      <c r="B18" s="396" t="s">
        <v>560</v>
      </c>
      <c r="C18" s="395" t="s">
        <v>688</v>
      </c>
      <c r="D18" s="396" t="s">
        <v>581</v>
      </c>
      <c r="E18" s="397">
        <v>2495473</v>
      </c>
      <c r="F18" s="398">
        <v>2978197</v>
      </c>
      <c r="G18" s="398">
        <v>2812518</v>
      </c>
      <c r="H18" s="398">
        <v>3433660</v>
      </c>
      <c r="I18" s="36"/>
      <c r="J18" s="69"/>
      <c r="K18" s="33"/>
      <c r="L18" s="33"/>
      <c r="M18" s="34"/>
      <c r="N18" s="14"/>
      <c r="O18" s="14"/>
      <c r="P18" s="14"/>
      <c r="Q18" s="14"/>
      <c r="R18" s="14"/>
      <c r="S18" s="14"/>
      <c r="T18" s="14"/>
      <c r="U18" s="14"/>
      <c r="V18" s="14"/>
      <c r="W18" s="14"/>
      <c r="X18" s="14"/>
    </row>
    <row r="19" spans="2:24" ht="27" x14ac:dyDescent="0.25">
      <c r="B19" s="396" t="s">
        <v>562</v>
      </c>
      <c r="C19" s="395" t="s">
        <v>689</v>
      </c>
      <c r="D19" s="396" t="s">
        <v>581</v>
      </c>
      <c r="E19" s="397">
        <v>182667</v>
      </c>
      <c r="F19" s="398">
        <v>348360</v>
      </c>
      <c r="G19" s="398">
        <v>308835</v>
      </c>
      <c r="H19" s="398">
        <v>399630</v>
      </c>
      <c r="I19" s="33"/>
      <c r="J19" s="33"/>
      <c r="K19" s="33"/>
      <c r="L19" s="33"/>
      <c r="M19" s="34"/>
      <c r="N19" s="14"/>
      <c r="O19" s="14"/>
      <c r="P19" s="14"/>
      <c r="Q19" s="14"/>
      <c r="R19" s="14"/>
      <c r="S19" s="14"/>
      <c r="T19" s="14"/>
      <c r="U19" s="14"/>
      <c r="V19" s="14"/>
      <c r="W19" s="14"/>
      <c r="X19" s="14"/>
    </row>
    <row r="20" spans="2:24" ht="40.5" x14ac:dyDescent="0.25">
      <c r="B20" s="396" t="s">
        <v>563</v>
      </c>
      <c r="C20" s="395" t="s">
        <v>690</v>
      </c>
      <c r="D20" s="396" t="s">
        <v>581</v>
      </c>
      <c r="E20" s="397">
        <v>41485</v>
      </c>
      <c r="F20" s="411">
        <v>47438</v>
      </c>
      <c r="G20" s="411">
        <v>39899</v>
      </c>
      <c r="H20" s="411">
        <v>41259</v>
      </c>
      <c r="I20" s="33"/>
      <c r="J20" s="33"/>
      <c r="K20" s="33"/>
      <c r="L20" s="33"/>
      <c r="M20" s="34"/>
      <c r="N20" s="14"/>
      <c r="O20" s="14"/>
      <c r="P20" s="14"/>
      <c r="Q20" s="14"/>
      <c r="R20" s="14"/>
      <c r="S20" s="14"/>
      <c r="T20" s="14"/>
      <c r="U20" s="14"/>
      <c r="V20" s="14"/>
      <c r="W20" s="14"/>
      <c r="X20" s="14"/>
    </row>
    <row r="21" spans="2:24" ht="27" x14ac:dyDescent="0.25">
      <c r="B21" s="396" t="s">
        <v>564</v>
      </c>
      <c r="C21" s="395" t="s">
        <v>691</v>
      </c>
      <c r="D21" s="396" t="s">
        <v>581</v>
      </c>
      <c r="E21" s="397">
        <v>81999</v>
      </c>
      <c r="F21" s="398">
        <v>168750</v>
      </c>
      <c r="G21" s="398">
        <v>102552</v>
      </c>
      <c r="H21" s="398">
        <v>102552</v>
      </c>
      <c r="I21" s="33"/>
      <c r="J21" s="33"/>
      <c r="K21" s="33"/>
      <c r="L21" s="33"/>
      <c r="M21" s="34"/>
      <c r="N21" s="14"/>
      <c r="O21" s="14"/>
      <c r="P21" s="14"/>
      <c r="Q21" s="14"/>
      <c r="R21" s="14"/>
      <c r="S21" s="14"/>
      <c r="T21" s="14"/>
      <c r="U21" s="14"/>
      <c r="V21" s="14"/>
      <c r="W21" s="14"/>
      <c r="X21" s="14"/>
    </row>
    <row r="22" spans="2:24" ht="40.5" x14ac:dyDescent="0.25">
      <c r="B22" s="396" t="s">
        <v>565</v>
      </c>
      <c r="C22" s="395" t="s">
        <v>692</v>
      </c>
      <c r="D22" s="396" t="s">
        <v>581</v>
      </c>
      <c r="E22" s="397">
        <v>4029</v>
      </c>
      <c r="F22" s="398">
        <v>5879</v>
      </c>
      <c r="G22" s="398">
        <v>5346</v>
      </c>
      <c r="H22" s="398">
        <v>5303</v>
      </c>
      <c r="I22" s="33"/>
      <c r="J22" s="33"/>
      <c r="K22" s="33"/>
      <c r="L22" s="33"/>
      <c r="M22" s="34"/>
      <c r="N22" s="14"/>
      <c r="O22" s="14"/>
      <c r="P22" s="14"/>
      <c r="Q22" s="14"/>
      <c r="R22" s="14"/>
      <c r="S22" s="14"/>
      <c r="T22" s="14"/>
      <c r="U22" s="14"/>
      <c r="V22" s="14"/>
      <c r="W22" s="14"/>
      <c r="X22" s="14"/>
    </row>
    <row r="23" spans="2:24" ht="67.5" x14ac:dyDescent="0.25">
      <c r="B23" s="396" t="s">
        <v>566</v>
      </c>
      <c r="C23" s="395" t="s">
        <v>693</v>
      </c>
      <c r="D23" s="396" t="s">
        <v>581</v>
      </c>
      <c r="E23" s="397">
        <v>5077.333333333333</v>
      </c>
      <c r="F23" s="398">
        <v>1336</v>
      </c>
      <c r="G23" s="398">
        <v>67</v>
      </c>
      <c r="H23" s="398">
        <v>9202</v>
      </c>
      <c r="I23" s="33"/>
      <c r="J23" s="33"/>
      <c r="K23" s="33"/>
      <c r="L23" s="33"/>
      <c r="M23" s="34"/>
      <c r="N23" s="14"/>
      <c r="O23" s="14"/>
      <c r="P23" s="14"/>
      <c r="Q23" s="14"/>
      <c r="R23" s="14"/>
      <c r="S23" s="14"/>
      <c r="T23" s="14"/>
      <c r="U23" s="14"/>
      <c r="V23" s="14"/>
      <c r="W23" s="14"/>
      <c r="X23" s="14"/>
    </row>
    <row r="24" spans="2:24" ht="40.5" x14ac:dyDescent="0.25">
      <c r="B24" s="396" t="s">
        <v>567</v>
      </c>
      <c r="C24" s="395" t="s">
        <v>694</v>
      </c>
      <c r="D24" s="396" t="s">
        <v>581</v>
      </c>
      <c r="E24" s="397">
        <v>13627</v>
      </c>
      <c r="F24" s="398">
        <v>15718</v>
      </c>
      <c r="G24" s="398">
        <v>29957</v>
      </c>
      <c r="H24" s="398">
        <v>29957</v>
      </c>
      <c r="I24" s="33"/>
      <c r="J24" s="33"/>
      <c r="K24" s="33"/>
      <c r="L24" s="33"/>
      <c r="M24" s="34"/>
      <c r="N24" s="14"/>
      <c r="O24" s="14"/>
      <c r="P24" s="14"/>
      <c r="Q24" s="14"/>
      <c r="R24" s="14"/>
      <c r="S24" s="14"/>
      <c r="T24" s="14"/>
      <c r="U24" s="14"/>
      <c r="V24" s="14"/>
      <c r="W24" s="14"/>
      <c r="X24" s="14"/>
    </row>
    <row r="25" spans="2:24" ht="16.5" x14ac:dyDescent="0.25">
      <c r="B25" s="396" t="s">
        <v>568</v>
      </c>
      <c r="C25" s="395" t="s">
        <v>695</v>
      </c>
      <c r="D25" s="396" t="s">
        <v>581</v>
      </c>
      <c r="E25" s="397">
        <v>523</v>
      </c>
      <c r="F25" s="398">
        <v>698</v>
      </c>
      <c r="G25" s="398">
        <v>602</v>
      </c>
      <c r="H25" s="398">
        <v>5094</v>
      </c>
      <c r="I25" s="33"/>
      <c r="J25" s="33"/>
      <c r="K25" s="33"/>
      <c r="L25" s="33"/>
      <c r="M25" s="34"/>
      <c r="N25" s="14"/>
      <c r="O25" s="14"/>
      <c r="P25" s="14"/>
      <c r="Q25" s="14"/>
      <c r="R25" s="14"/>
      <c r="S25" s="14"/>
      <c r="T25" s="14"/>
      <c r="U25" s="14"/>
      <c r="V25" s="14"/>
      <c r="W25" s="14"/>
      <c r="X25" s="14"/>
    </row>
    <row r="26" spans="2:24" ht="40.5" x14ac:dyDescent="0.25">
      <c r="B26" s="396" t="s">
        <v>569</v>
      </c>
      <c r="C26" s="395" t="s">
        <v>696</v>
      </c>
      <c r="D26" s="396" t="s">
        <v>581</v>
      </c>
      <c r="E26" s="397">
        <v>0</v>
      </c>
      <c r="F26" s="398">
        <v>0</v>
      </c>
      <c r="G26" s="398">
        <v>0</v>
      </c>
      <c r="H26" s="398">
        <v>0</v>
      </c>
      <c r="I26" s="33"/>
      <c r="J26" s="33"/>
      <c r="K26" s="33"/>
      <c r="L26" s="33"/>
      <c r="M26" s="34"/>
      <c r="N26" s="14"/>
      <c r="O26" s="14"/>
      <c r="P26" s="14"/>
      <c r="Q26" s="14"/>
      <c r="R26" s="14"/>
      <c r="S26" s="14"/>
      <c r="T26" s="14"/>
      <c r="U26" s="14"/>
      <c r="V26" s="14"/>
      <c r="W26" s="14"/>
      <c r="X26" s="14"/>
    </row>
    <row r="27" spans="2:24" ht="27" x14ac:dyDescent="0.25">
      <c r="B27" s="396" t="s">
        <v>570</v>
      </c>
      <c r="C27" s="395" t="s">
        <v>697</v>
      </c>
      <c r="D27" s="396" t="s">
        <v>581</v>
      </c>
      <c r="E27" s="397">
        <v>0</v>
      </c>
      <c r="F27" s="398">
        <v>0</v>
      </c>
      <c r="G27" s="398">
        <v>0</v>
      </c>
      <c r="H27" s="398">
        <v>0</v>
      </c>
      <c r="I27" s="33"/>
      <c r="J27" s="33"/>
      <c r="K27" s="33"/>
      <c r="L27" s="33"/>
      <c r="M27" s="34"/>
      <c r="N27" s="14"/>
      <c r="O27" s="14"/>
      <c r="P27" s="14"/>
      <c r="Q27" s="14"/>
      <c r="R27" s="14"/>
      <c r="S27" s="14"/>
      <c r="T27" s="14"/>
      <c r="U27" s="14"/>
      <c r="V27" s="14"/>
      <c r="W27" s="14"/>
      <c r="X27" s="14"/>
    </row>
    <row r="28" spans="2:24" ht="40.5" x14ac:dyDescent="0.25">
      <c r="B28" s="396" t="s">
        <v>571</v>
      </c>
      <c r="C28" s="395" t="s">
        <v>698</v>
      </c>
      <c r="D28" s="396" t="s">
        <v>581</v>
      </c>
      <c r="E28" s="397">
        <v>0</v>
      </c>
      <c r="F28" s="398">
        <v>0</v>
      </c>
      <c r="G28" s="398">
        <v>0</v>
      </c>
      <c r="H28" s="398">
        <v>0</v>
      </c>
      <c r="I28" s="37"/>
      <c r="J28" s="37"/>
      <c r="K28" s="33"/>
      <c r="L28" s="33"/>
      <c r="M28" s="34"/>
      <c r="N28" s="14"/>
      <c r="O28" s="14"/>
      <c r="P28" s="14"/>
      <c r="Q28" s="14"/>
      <c r="R28" s="14"/>
      <c r="S28" s="14"/>
      <c r="T28" s="14"/>
      <c r="U28" s="14"/>
      <c r="V28" s="14"/>
      <c r="W28" s="14"/>
      <c r="X28" s="14"/>
    </row>
    <row r="29" spans="2:24" ht="40.5" x14ac:dyDescent="0.25">
      <c r="B29" s="396" t="s">
        <v>572</v>
      </c>
      <c r="C29" s="395" t="s">
        <v>699</v>
      </c>
      <c r="D29" s="396" t="s">
        <v>581</v>
      </c>
      <c r="E29" s="397">
        <v>0</v>
      </c>
      <c r="F29" s="398">
        <v>0</v>
      </c>
      <c r="G29" s="398">
        <v>0</v>
      </c>
      <c r="H29" s="398">
        <v>0</v>
      </c>
      <c r="I29" s="37"/>
      <c r="J29" s="37"/>
      <c r="K29" s="33"/>
      <c r="L29" s="33"/>
      <c r="M29" s="34"/>
      <c r="N29" s="14"/>
      <c r="O29" s="14"/>
      <c r="P29" s="14"/>
      <c r="Q29" s="14"/>
      <c r="R29" s="14"/>
      <c r="S29" s="14"/>
      <c r="T29" s="14"/>
      <c r="U29" s="14"/>
      <c r="V29" s="14"/>
      <c r="W29" s="14"/>
      <c r="X29" s="14"/>
    </row>
    <row r="30" spans="2:24" ht="16.5" x14ac:dyDescent="0.25">
      <c r="B30" s="396" t="s">
        <v>573</v>
      </c>
      <c r="C30" s="395" t="s">
        <v>700</v>
      </c>
      <c r="D30" s="396" t="s">
        <v>581</v>
      </c>
      <c r="E30" s="397">
        <v>0</v>
      </c>
      <c r="F30" s="398">
        <v>0</v>
      </c>
      <c r="G30" s="398">
        <v>0</v>
      </c>
      <c r="H30" s="398">
        <v>0</v>
      </c>
      <c r="I30" s="37"/>
      <c r="J30" s="37"/>
      <c r="K30" s="33"/>
      <c r="L30" s="33"/>
      <c r="M30" s="34"/>
      <c r="N30" s="14"/>
      <c r="O30" s="14"/>
      <c r="P30" s="14"/>
      <c r="Q30" s="14"/>
      <c r="R30" s="14"/>
      <c r="S30" s="14"/>
      <c r="T30" s="14"/>
      <c r="U30" s="14"/>
      <c r="V30" s="14"/>
      <c r="W30" s="14"/>
      <c r="X30" s="14"/>
    </row>
    <row r="31" spans="2:24" ht="16.5" x14ac:dyDescent="0.25">
      <c r="B31" s="396" t="s">
        <v>574</v>
      </c>
      <c r="C31" s="395" t="s">
        <v>701</v>
      </c>
      <c r="D31" s="396" t="s">
        <v>581</v>
      </c>
      <c r="E31" s="397">
        <v>0</v>
      </c>
      <c r="F31" s="398">
        <v>0</v>
      </c>
      <c r="G31" s="398">
        <v>0</v>
      </c>
      <c r="H31" s="398">
        <v>0</v>
      </c>
      <c r="I31" s="37"/>
      <c r="J31" s="37"/>
      <c r="K31" s="33"/>
      <c r="L31" s="33"/>
      <c r="M31" s="34"/>
      <c r="N31" s="14"/>
      <c r="O31" s="14"/>
      <c r="P31" s="14"/>
      <c r="Q31" s="14"/>
      <c r="R31" s="14"/>
      <c r="S31" s="14"/>
      <c r="T31" s="14"/>
      <c r="U31" s="14"/>
      <c r="V31" s="14"/>
      <c r="W31" s="14"/>
      <c r="X31" s="14"/>
    </row>
    <row r="32" spans="2:24" ht="40.5" x14ac:dyDescent="0.25">
      <c r="B32" s="396" t="s">
        <v>575</v>
      </c>
      <c r="C32" s="395" t="s">
        <v>702</v>
      </c>
      <c r="D32" s="396" t="s">
        <v>581</v>
      </c>
      <c r="E32" s="397">
        <v>125196</v>
      </c>
      <c r="F32" s="398">
        <v>118356</v>
      </c>
      <c r="G32" s="398">
        <v>119005</v>
      </c>
      <c r="H32" s="398">
        <v>129337</v>
      </c>
      <c r="I32" s="33"/>
      <c r="J32" s="33"/>
      <c r="K32" s="33"/>
      <c r="L32" s="33"/>
      <c r="M32" s="34"/>
      <c r="N32" s="14"/>
      <c r="O32" s="14"/>
      <c r="P32" s="14"/>
      <c r="Q32" s="14"/>
      <c r="R32" s="14"/>
      <c r="S32" s="14"/>
      <c r="T32" s="14"/>
      <c r="U32" s="14"/>
      <c r="V32" s="14"/>
      <c r="W32" s="14"/>
      <c r="X32" s="14"/>
    </row>
    <row r="33" spans="2:24" ht="16.5" x14ac:dyDescent="0.25">
      <c r="B33" s="396" t="s">
        <v>703</v>
      </c>
      <c r="C33" s="396"/>
      <c r="D33" s="399" t="s">
        <v>704</v>
      </c>
      <c r="E33" s="397">
        <f>SUM(E18:E32)</f>
        <v>2950076.3333333335</v>
      </c>
      <c r="F33" s="400">
        <f>SUM(F18:F32)</f>
        <v>3684732</v>
      </c>
      <c r="G33" s="400">
        <f>SUM(G18:G32)</f>
        <v>3418781</v>
      </c>
      <c r="H33" s="400">
        <f>SUM(H18:H32)</f>
        <v>4155994</v>
      </c>
      <c r="I33" s="33"/>
      <c r="J33" s="33"/>
      <c r="K33" s="33"/>
      <c r="L33" s="33"/>
      <c r="M33" s="34"/>
      <c r="N33" s="14"/>
      <c r="O33" s="14"/>
      <c r="P33" s="14"/>
      <c r="Q33" s="14"/>
      <c r="R33" s="14"/>
      <c r="S33" s="14"/>
      <c r="T33" s="14"/>
      <c r="U33" s="14"/>
      <c r="V33" s="14"/>
      <c r="W33" s="14"/>
      <c r="X33" s="14"/>
    </row>
    <row r="34" spans="2:24" x14ac:dyDescent="0.25">
      <c r="B34" s="11"/>
      <c r="C34" s="11"/>
      <c r="D34" s="11"/>
      <c r="E34" s="11"/>
      <c r="F34" s="11"/>
      <c r="G34" s="38"/>
      <c r="H34" s="38"/>
      <c r="I34" s="33"/>
      <c r="J34" s="33"/>
      <c r="K34" s="33"/>
      <c r="L34" s="33"/>
      <c r="M34" s="34"/>
      <c r="N34" s="14"/>
      <c r="O34" s="14"/>
      <c r="P34" s="14"/>
      <c r="Q34" s="14"/>
      <c r="R34" s="14"/>
      <c r="S34" s="14"/>
      <c r="T34" s="14"/>
      <c r="U34" s="14"/>
      <c r="V34" s="14"/>
      <c r="W34" s="14"/>
      <c r="X34" s="14"/>
    </row>
    <row r="35" spans="2:24" x14ac:dyDescent="0.25">
      <c r="B35" s="39"/>
      <c r="C35" s="12"/>
      <c r="E35" s="11"/>
      <c r="F35" s="11"/>
      <c r="G35" s="38"/>
      <c r="H35" s="38"/>
      <c r="I35" s="33"/>
      <c r="J35" s="33"/>
      <c r="K35" s="33"/>
      <c r="L35" s="33"/>
      <c r="M35" s="34"/>
      <c r="N35" s="14"/>
      <c r="O35" s="14"/>
      <c r="P35" s="14"/>
      <c r="Q35" s="14"/>
      <c r="R35" s="14"/>
      <c r="S35" s="14"/>
      <c r="T35" s="14"/>
      <c r="U35" s="14"/>
      <c r="V35" s="14"/>
      <c r="W35" s="14"/>
      <c r="X35" s="14"/>
    </row>
    <row r="36" spans="2:24" x14ac:dyDescent="0.25">
      <c r="B36" s="39"/>
      <c r="C36" s="12"/>
      <c r="E36" s="11"/>
      <c r="F36" s="11"/>
      <c r="G36" s="38"/>
      <c r="H36" s="38"/>
      <c r="I36" s="33"/>
      <c r="J36" s="33"/>
      <c r="K36" s="33"/>
      <c r="L36" s="33"/>
      <c r="M36" s="34"/>
      <c r="N36" s="14"/>
      <c r="O36" s="14"/>
      <c r="P36" s="14"/>
      <c r="Q36" s="14"/>
      <c r="R36" s="14"/>
      <c r="S36" s="14"/>
      <c r="T36" s="14"/>
      <c r="U36" s="14"/>
      <c r="V36" s="14"/>
      <c r="W36" s="14"/>
      <c r="X36" s="14"/>
    </row>
    <row r="37" spans="2:24" x14ac:dyDescent="0.25">
      <c r="B37" s="11"/>
      <c r="C37" s="11"/>
      <c r="D37" s="11"/>
      <c r="E37" s="11"/>
      <c r="F37" s="11"/>
      <c r="G37" s="38"/>
      <c r="H37" s="38"/>
      <c r="I37" s="38"/>
      <c r="J37" s="40"/>
      <c r="K37" s="40"/>
      <c r="L37" s="40"/>
      <c r="M37" s="14"/>
      <c r="N37" s="14"/>
      <c r="O37" s="14"/>
      <c r="P37" s="14"/>
      <c r="Q37" s="14"/>
      <c r="R37" s="14"/>
      <c r="S37" s="14"/>
      <c r="T37" s="14"/>
      <c r="U37" s="14"/>
      <c r="V37" s="14"/>
      <c r="W37" s="14"/>
      <c r="X37" s="14"/>
    </row>
    <row r="38" spans="2:24" ht="17.5" x14ac:dyDescent="0.25">
      <c r="B38" s="228" t="s">
        <v>705</v>
      </c>
      <c r="C38" s="159"/>
      <c r="D38" s="229" t="s">
        <v>430</v>
      </c>
      <c r="E38" s="267" t="str">
        <f>E17</f>
        <v>2022/23</v>
      </c>
      <c r="F38" s="268" t="str">
        <f>F17</f>
        <v>2021/22</v>
      </c>
      <c r="G38" s="268" t="str">
        <f>G17</f>
        <v>2020/21</v>
      </c>
      <c r="H38" s="268" t="str">
        <f>H17</f>
        <v>2019/20</v>
      </c>
      <c r="I38" s="38"/>
      <c r="J38" s="40"/>
      <c r="K38" s="40"/>
      <c r="L38" s="40"/>
      <c r="M38" s="14"/>
      <c r="N38" s="14"/>
      <c r="O38" s="14"/>
      <c r="P38" s="14"/>
      <c r="Q38" s="14"/>
      <c r="R38" s="14"/>
      <c r="S38" s="14"/>
      <c r="T38" s="14"/>
      <c r="U38" s="14"/>
      <c r="V38" s="14"/>
      <c r="W38" s="14"/>
      <c r="X38" s="14"/>
    </row>
    <row r="39" spans="2:24" ht="16.5" x14ac:dyDescent="0.25">
      <c r="B39" s="160" t="str">
        <f>B10</f>
        <v>Total Scope 1 GHG emissions</v>
      </c>
      <c r="C39" s="161" t="s">
        <v>438</v>
      </c>
      <c r="D39" s="155" t="s">
        <v>581</v>
      </c>
      <c r="E39" s="240">
        <f>E10</f>
        <v>235892</v>
      </c>
      <c r="F39" s="162">
        <f>H10</f>
        <v>262233</v>
      </c>
      <c r="G39" s="162">
        <f>K10</f>
        <v>255832</v>
      </c>
      <c r="H39" s="162">
        <f>N10</f>
        <v>253097</v>
      </c>
      <c r="J39" s="70"/>
      <c r="K39" s="40"/>
      <c r="L39" s="40"/>
      <c r="M39" s="14"/>
      <c r="N39" s="14"/>
      <c r="O39" s="14"/>
      <c r="P39" s="14"/>
      <c r="Q39" s="14"/>
      <c r="R39" s="14"/>
      <c r="S39" s="14"/>
      <c r="T39" s="14"/>
      <c r="U39" s="14"/>
      <c r="V39" s="14"/>
      <c r="W39" s="14"/>
      <c r="X39" s="14"/>
    </row>
    <row r="40" spans="2:24" ht="16.5" x14ac:dyDescent="0.25">
      <c r="B40" s="160" t="str">
        <f>B11</f>
        <v>Total Scope 2 GHG emissions (market-based)</v>
      </c>
      <c r="C40" s="161" t="s">
        <v>438</v>
      </c>
      <c r="D40" s="155" t="s">
        <v>581</v>
      </c>
      <c r="E40" s="240">
        <f>E11</f>
        <v>131449</v>
      </c>
      <c r="F40" s="162">
        <f>H11</f>
        <v>181419</v>
      </c>
      <c r="G40" s="162">
        <f>K11</f>
        <v>181525</v>
      </c>
      <c r="H40" s="162">
        <f>N11</f>
        <v>192333</v>
      </c>
      <c r="J40" s="70"/>
      <c r="K40" s="40"/>
      <c r="L40" s="40"/>
      <c r="M40" s="14"/>
      <c r="N40" s="14"/>
      <c r="O40" s="14"/>
      <c r="P40" s="14"/>
      <c r="Q40" s="14"/>
      <c r="R40" s="14"/>
      <c r="S40" s="14"/>
      <c r="T40" s="14"/>
      <c r="U40" s="14"/>
      <c r="V40" s="14"/>
      <c r="W40" s="14"/>
      <c r="X40" s="14"/>
    </row>
    <row r="41" spans="2:24" ht="16.5" x14ac:dyDescent="0.25">
      <c r="B41" s="160" t="str">
        <f>"Scope 3 - "&amp;B18</f>
        <v>Scope 3 - Total Scope 3 (Category 1) Purchased goods and services GHG emissions</v>
      </c>
      <c r="C41" s="154" t="s">
        <v>706</v>
      </c>
      <c r="D41" s="155" t="s">
        <v>581</v>
      </c>
      <c r="E41" s="240">
        <f>E18</f>
        <v>2495473</v>
      </c>
      <c r="F41" s="162">
        <f>F18</f>
        <v>2978197</v>
      </c>
      <c r="G41" s="162">
        <f>G18</f>
        <v>2812518</v>
      </c>
      <c r="H41" s="162">
        <f>H18</f>
        <v>3433660</v>
      </c>
      <c r="J41" s="70"/>
      <c r="K41" s="40"/>
      <c r="L41" s="40"/>
      <c r="M41" s="14"/>
      <c r="N41" s="14"/>
      <c r="O41" s="14"/>
      <c r="P41" s="14"/>
      <c r="Q41" s="14"/>
      <c r="R41" s="14"/>
      <c r="S41" s="14"/>
      <c r="T41" s="14"/>
      <c r="U41" s="14"/>
      <c r="V41" s="14"/>
      <c r="W41" s="14"/>
      <c r="X41" s="14"/>
    </row>
    <row r="42" spans="2:24" ht="16.5" x14ac:dyDescent="0.25">
      <c r="B42" s="160" t="str">
        <f>"Scope 3 - All other categories"</f>
        <v>Scope 3 - All other categories</v>
      </c>
      <c r="C42" s="161" t="s">
        <v>707</v>
      </c>
      <c r="D42" s="155" t="s">
        <v>581</v>
      </c>
      <c r="E42" s="240">
        <f>E33-E18</f>
        <v>454603.33333333349</v>
      </c>
      <c r="F42" s="162">
        <f>F33-F18</f>
        <v>706535</v>
      </c>
      <c r="G42" s="162">
        <f>G33-G18</f>
        <v>606263</v>
      </c>
      <c r="H42" s="162">
        <f>H33-H18</f>
        <v>722334</v>
      </c>
      <c r="J42" s="70"/>
      <c r="K42" s="40"/>
      <c r="L42" s="40"/>
      <c r="M42" s="14"/>
      <c r="N42" s="14"/>
      <c r="O42" s="14"/>
      <c r="P42" s="14"/>
      <c r="Q42" s="14"/>
      <c r="R42" s="14"/>
      <c r="S42" s="14"/>
      <c r="T42" s="14"/>
      <c r="U42" s="14"/>
      <c r="V42" s="14"/>
      <c r="W42" s="14"/>
      <c r="X42" s="14"/>
    </row>
    <row r="43" spans="2:24" ht="16.5" x14ac:dyDescent="0.25">
      <c r="B43" s="232" t="s">
        <v>708</v>
      </c>
      <c r="C43" s="232"/>
      <c r="D43" s="157" t="s">
        <v>704</v>
      </c>
      <c r="E43" s="240">
        <f>SUM(E39:E42)</f>
        <v>3317417.3333333335</v>
      </c>
      <c r="F43" s="233">
        <f t="shared" ref="F43:H43" si="5">SUM(F39:F42)</f>
        <v>4128384</v>
      </c>
      <c r="G43" s="233">
        <f t="shared" si="5"/>
        <v>3856138</v>
      </c>
      <c r="H43" s="233">
        <f t="shared" si="5"/>
        <v>4601424</v>
      </c>
      <c r="J43" s="70"/>
      <c r="K43" s="40"/>
      <c r="L43" s="40"/>
      <c r="M43" s="14"/>
      <c r="N43" s="14"/>
      <c r="O43" s="14"/>
      <c r="P43" s="14"/>
      <c r="Q43" s="14"/>
      <c r="R43" s="14"/>
      <c r="S43" s="14"/>
      <c r="T43" s="14"/>
      <c r="U43" s="14"/>
      <c r="V43" s="14"/>
      <c r="W43" s="14"/>
      <c r="X43" s="14"/>
    </row>
    <row r="44" spans="2:24" x14ac:dyDescent="0.25">
      <c r="B44" s="11"/>
      <c r="C44" s="11"/>
      <c r="D44" s="11"/>
      <c r="E44" s="11"/>
      <c r="F44" s="11"/>
      <c r="G44" s="38"/>
      <c r="H44" s="38"/>
      <c r="I44" s="38"/>
      <c r="J44" s="40"/>
      <c r="K44" s="40"/>
      <c r="L44" s="40"/>
      <c r="M44" s="14"/>
      <c r="N44" s="14"/>
      <c r="O44" s="14"/>
      <c r="P44" s="14"/>
      <c r="Q44" s="14"/>
      <c r="R44" s="14"/>
      <c r="S44" s="14"/>
      <c r="T44" s="14"/>
      <c r="U44" s="14"/>
      <c r="V44" s="14"/>
      <c r="W44" s="14"/>
      <c r="X44" s="14"/>
    </row>
    <row r="45" spans="2:24" ht="24.5" x14ac:dyDescent="0.45">
      <c r="B45" s="41" t="s">
        <v>607</v>
      </c>
      <c r="C45" s="21"/>
      <c r="D45" s="22"/>
      <c r="E45" s="22"/>
      <c r="F45" s="22"/>
      <c r="G45" s="1584"/>
      <c r="H45" s="1584"/>
      <c r="I45" s="1584"/>
      <c r="J45" s="1601"/>
      <c r="K45" s="1601"/>
      <c r="L45" s="1601"/>
      <c r="M45" s="1601"/>
      <c r="N45" s="1601"/>
      <c r="O45" s="1601"/>
    </row>
    <row r="46" spans="2:24" x14ac:dyDescent="0.25">
      <c r="B46" s="42"/>
      <c r="C46" s="43"/>
      <c r="D46" s="44"/>
      <c r="E46" s="45"/>
      <c r="F46" s="44"/>
      <c r="G46" s="44"/>
      <c r="H46" s="44"/>
    </row>
    <row r="47" spans="2:24" ht="19.5" x14ac:dyDescent="0.25">
      <c r="B47" s="243" t="s">
        <v>34</v>
      </c>
      <c r="C47" s="244" t="s">
        <v>687</v>
      </c>
      <c r="D47" s="229"/>
      <c r="E47" s="245" t="s">
        <v>433</v>
      </c>
      <c r="F47" s="269" t="s">
        <v>434</v>
      </c>
      <c r="G47" s="270" t="s">
        <v>435</v>
      </c>
      <c r="H47" s="270" t="s">
        <v>436</v>
      </c>
    </row>
    <row r="48" spans="2:24" ht="18" customHeight="1" x14ac:dyDescent="0.25">
      <c r="B48" s="186" t="s">
        <v>608</v>
      </c>
      <c r="C48" s="164"/>
      <c r="D48" s="163"/>
      <c r="E48" s="165"/>
      <c r="F48" s="165"/>
      <c r="G48" s="165"/>
      <c r="H48" s="165"/>
    </row>
    <row r="49" spans="2:11" ht="18" customHeight="1" x14ac:dyDescent="0.25">
      <c r="B49" s="166" t="s">
        <v>609</v>
      </c>
      <c r="C49" s="167" t="s">
        <v>709</v>
      </c>
      <c r="D49" s="168" t="s">
        <v>610</v>
      </c>
      <c r="E49" s="241">
        <v>1750260</v>
      </c>
      <c r="F49" s="169">
        <v>2116235</v>
      </c>
      <c r="G49" s="170">
        <v>2008299</v>
      </c>
      <c r="H49" s="170">
        <v>2205806</v>
      </c>
    </row>
    <row r="50" spans="2:11" ht="18" customHeight="1" x14ac:dyDescent="0.25">
      <c r="B50" s="166" t="s">
        <v>611</v>
      </c>
      <c r="C50" s="167" t="s">
        <v>710</v>
      </c>
      <c r="D50" s="168" t="s">
        <v>610</v>
      </c>
      <c r="E50" s="242">
        <v>0</v>
      </c>
      <c r="F50" s="171">
        <v>39220</v>
      </c>
      <c r="G50" s="172">
        <v>47064</v>
      </c>
      <c r="H50" s="172">
        <v>63024</v>
      </c>
    </row>
    <row r="51" spans="2:11" ht="40.5" x14ac:dyDescent="0.25">
      <c r="B51" s="166" t="s">
        <v>612</v>
      </c>
      <c r="C51" s="167" t="s">
        <v>711</v>
      </c>
      <c r="D51" s="168" t="s">
        <v>610</v>
      </c>
      <c r="E51" s="242">
        <v>95221</v>
      </c>
      <c r="F51" s="171">
        <v>128713</v>
      </c>
      <c r="G51" s="173">
        <v>113638</v>
      </c>
      <c r="H51" s="173">
        <v>108276</v>
      </c>
    </row>
    <row r="52" spans="2:11" ht="27" x14ac:dyDescent="0.25">
      <c r="B52" s="174" t="s">
        <v>712</v>
      </c>
      <c r="C52" s="175" t="s">
        <v>713</v>
      </c>
      <c r="D52" s="176" t="s">
        <v>614</v>
      </c>
      <c r="E52" s="165">
        <f>SUM(E49:E51)</f>
        <v>1845481</v>
      </c>
      <c r="F52" s="177">
        <f>SUM(F49:F51)</f>
        <v>2284168</v>
      </c>
      <c r="G52" s="177">
        <f t="shared" ref="G52:H52" si="6">SUM(G49:G51)</f>
        <v>2169001</v>
      </c>
      <c r="H52" s="177">
        <f t="shared" si="6"/>
        <v>2377106</v>
      </c>
    </row>
    <row r="53" spans="2:11" ht="18" customHeight="1" x14ac:dyDescent="0.25">
      <c r="B53" s="186" t="s">
        <v>714</v>
      </c>
      <c r="C53" s="164"/>
      <c r="D53" s="163"/>
      <c r="E53" s="165"/>
      <c r="F53" s="165"/>
      <c r="G53" s="165"/>
      <c r="H53" s="165"/>
    </row>
    <row r="54" spans="2:11" ht="40.5" x14ac:dyDescent="0.25">
      <c r="B54" s="180" t="s">
        <v>715</v>
      </c>
      <c r="C54" s="167" t="s">
        <v>716</v>
      </c>
      <c r="D54" s="176" t="s">
        <v>610</v>
      </c>
      <c r="E54" s="241">
        <v>48993</v>
      </c>
      <c r="F54" s="179">
        <v>115790</v>
      </c>
      <c r="G54" s="179">
        <v>105378</v>
      </c>
      <c r="H54" s="179">
        <v>117936</v>
      </c>
    </row>
    <row r="55" spans="2:11" ht="17.5" x14ac:dyDescent="0.25">
      <c r="B55" s="186" t="s">
        <v>621</v>
      </c>
      <c r="C55" s="164"/>
      <c r="D55" s="163"/>
      <c r="E55" s="165"/>
      <c r="F55" s="165"/>
      <c r="G55" s="165"/>
      <c r="H55" s="165"/>
    </row>
    <row r="56" spans="2:11" ht="54" x14ac:dyDescent="0.25">
      <c r="B56" s="174" t="s">
        <v>717</v>
      </c>
      <c r="C56" s="180" t="s">
        <v>718</v>
      </c>
      <c r="D56" s="174" t="s">
        <v>622</v>
      </c>
      <c r="E56" s="241">
        <f>(E52-E54)/1000</f>
        <v>1796.4880000000001</v>
      </c>
      <c r="F56" s="178">
        <f>(F52-F54)/1000</f>
        <v>2168.3780000000002</v>
      </c>
      <c r="G56" s="178">
        <f>(G52-G54)/1000</f>
        <v>2063.623</v>
      </c>
      <c r="H56" s="178">
        <f>(H52-H54)/1000</f>
        <v>2259.17</v>
      </c>
      <c r="J56" s="46"/>
      <c r="K56" s="46"/>
    </row>
    <row r="57" spans="2:11" x14ac:dyDescent="0.25">
      <c r="B57" s="72"/>
      <c r="C57" s="72"/>
      <c r="D57" s="72"/>
      <c r="E57" s="402"/>
      <c r="F57" s="401"/>
      <c r="G57" s="401"/>
      <c r="H57" s="401"/>
      <c r="J57" s="56"/>
      <c r="K57" s="56"/>
    </row>
    <row r="58" spans="2:11" ht="189" x14ac:dyDescent="0.25">
      <c r="B58" s="232" t="s">
        <v>475</v>
      </c>
      <c r="C58" s="232" t="s">
        <v>719</v>
      </c>
      <c r="D58" s="193" t="s">
        <v>623</v>
      </c>
      <c r="E58" s="358"/>
      <c r="F58" s="358"/>
      <c r="G58" s="358"/>
      <c r="H58" s="401"/>
      <c r="J58" s="56"/>
      <c r="K58" s="56"/>
    </row>
    <row r="59" spans="2:11" x14ac:dyDescent="0.25">
      <c r="B59" s="72"/>
      <c r="C59" s="72"/>
      <c r="D59" s="72"/>
      <c r="E59" s="402"/>
      <c r="F59" s="401"/>
      <c r="G59" s="401"/>
      <c r="H59" s="401"/>
      <c r="J59" s="56"/>
      <c r="K59" s="56"/>
    </row>
    <row r="60" spans="2:11" ht="17.5" x14ac:dyDescent="0.25">
      <c r="B60" s="186" t="s">
        <v>720</v>
      </c>
      <c r="C60" s="164"/>
      <c r="D60" s="163"/>
      <c r="E60" s="165"/>
      <c r="F60" s="181"/>
      <c r="G60" s="165"/>
      <c r="H60" s="165"/>
      <c r="I60" s="46"/>
      <c r="J60" s="46"/>
    </row>
    <row r="61" spans="2:11" ht="67.5" x14ac:dyDescent="0.25">
      <c r="B61" s="182" t="s">
        <v>618</v>
      </c>
      <c r="C61" s="183" t="s">
        <v>721</v>
      </c>
      <c r="D61" s="184" t="s">
        <v>619</v>
      </c>
      <c r="E61" s="386">
        <v>1383764</v>
      </c>
      <c r="F61" s="205">
        <v>1637952</v>
      </c>
      <c r="G61" s="205">
        <v>1777400</v>
      </c>
      <c r="H61" s="205">
        <v>1678964</v>
      </c>
      <c r="I61" s="46"/>
      <c r="J61" s="46"/>
    </row>
    <row r="62" spans="2:11" ht="81" x14ac:dyDescent="0.25">
      <c r="B62" s="174" t="s">
        <v>476</v>
      </c>
      <c r="C62" s="180" t="s">
        <v>722</v>
      </c>
      <c r="D62" s="174" t="s">
        <v>477</v>
      </c>
      <c r="E62" s="163">
        <v>238</v>
      </c>
      <c r="F62" s="174">
        <v>192</v>
      </c>
      <c r="G62" s="174">
        <v>109</v>
      </c>
      <c r="H62" s="174">
        <v>240</v>
      </c>
      <c r="I62" s="56"/>
      <c r="J62" s="56"/>
    </row>
    <row r="63" spans="2:11" ht="27" x14ac:dyDescent="0.25">
      <c r="B63" s="174" t="s">
        <v>723</v>
      </c>
      <c r="C63" s="180" t="s">
        <v>724</v>
      </c>
      <c r="D63" s="174" t="s">
        <v>463</v>
      </c>
      <c r="E63" s="262">
        <v>0.74</v>
      </c>
      <c r="F63" s="185">
        <v>0.78</v>
      </c>
      <c r="G63" s="185">
        <v>0.79</v>
      </c>
      <c r="H63" s="185">
        <v>0.72</v>
      </c>
      <c r="I63" s="56"/>
      <c r="J63" s="56"/>
    </row>
    <row r="64" spans="2:11" ht="18" customHeight="1" x14ac:dyDescent="0.25">
      <c r="B64" s="47"/>
      <c r="C64" s="48"/>
      <c r="D64" s="54"/>
      <c r="E64" s="54"/>
      <c r="F64" s="55"/>
      <c r="G64" s="55"/>
      <c r="H64" s="55"/>
      <c r="I64" s="56"/>
      <c r="J64" s="56"/>
    </row>
    <row r="65" spans="2:15" ht="19.5" x14ac:dyDescent="0.25">
      <c r="B65" s="243" t="s">
        <v>149</v>
      </c>
      <c r="C65" s="244" t="s">
        <v>687</v>
      </c>
      <c r="D65" s="229"/>
      <c r="E65" s="245" t="s">
        <v>433</v>
      </c>
      <c r="F65" s="269" t="s">
        <v>434</v>
      </c>
      <c r="G65" s="270" t="s">
        <v>435</v>
      </c>
      <c r="H65" s="270" t="s">
        <v>436</v>
      </c>
    </row>
    <row r="66" spans="2:15" ht="18" customHeight="1" x14ac:dyDescent="0.25">
      <c r="B66" s="246" t="s">
        <v>725</v>
      </c>
      <c r="C66" s="248"/>
      <c r="D66" s="223"/>
      <c r="E66" s="241"/>
      <c r="F66" s="241"/>
      <c r="G66" s="241"/>
      <c r="H66" s="241"/>
    </row>
    <row r="67" spans="2:15" ht="40.5" x14ac:dyDescent="0.25">
      <c r="B67" s="167" t="s">
        <v>627</v>
      </c>
      <c r="C67" s="187" t="s">
        <v>726</v>
      </c>
      <c r="D67" s="188" t="s">
        <v>480</v>
      </c>
      <c r="E67" s="263">
        <v>38725.5</v>
      </c>
      <c r="F67" s="189">
        <v>57555</v>
      </c>
      <c r="G67" s="189">
        <v>54207.8</v>
      </c>
      <c r="H67" s="190">
        <v>53861.3</v>
      </c>
    </row>
    <row r="68" spans="2:15" ht="40.5" x14ac:dyDescent="0.25">
      <c r="B68" s="160" t="s">
        <v>628</v>
      </c>
      <c r="C68" s="187" t="s">
        <v>727</v>
      </c>
      <c r="D68" s="188" t="s">
        <v>480</v>
      </c>
      <c r="E68" s="263">
        <v>3356</v>
      </c>
      <c r="F68" s="191">
        <v>2991.8</v>
      </c>
      <c r="G68" s="191">
        <v>3042.7</v>
      </c>
      <c r="H68" s="190">
        <v>2973.4</v>
      </c>
    </row>
    <row r="69" spans="2:15" ht="40.5" x14ac:dyDescent="0.25">
      <c r="B69" s="160" t="s">
        <v>629</v>
      </c>
      <c r="C69" s="187" t="s">
        <v>728</v>
      </c>
      <c r="D69" s="188" t="s">
        <v>480</v>
      </c>
      <c r="E69" s="263">
        <v>7059.4</v>
      </c>
      <c r="F69" s="191">
        <v>19367.3</v>
      </c>
      <c r="G69" s="191">
        <v>18165.5</v>
      </c>
      <c r="H69" s="190">
        <v>7902.9</v>
      </c>
    </row>
    <row r="70" spans="2:15" ht="40.5" x14ac:dyDescent="0.25">
      <c r="B70" s="160" t="s">
        <v>630</v>
      </c>
      <c r="C70" s="187" t="s">
        <v>729</v>
      </c>
      <c r="D70" s="188" t="s">
        <v>480</v>
      </c>
      <c r="E70" s="263">
        <v>14011</v>
      </c>
      <c r="F70" s="191">
        <v>16667</v>
      </c>
      <c r="G70" s="191">
        <v>12360.6</v>
      </c>
      <c r="H70" s="190">
        <v>15456.5</v>
      </c>
    </row>
    <row r="71" spans="2:15" x14ac:dyDescent="0.25">
      <c r="B71" s="192" t="s">
        <v>730</v>
      </c>
      <c r="C71" s="157"/>
      <c r="D71" s="193" t="s">
        <v>480</v>
      </c>
      <c r="E71" s="241">
        <f>E67+E68</f>
        <v>42081.5</v>
      </c>
      <c r="F71" s="194">
        <f>F67+F68</f>
        <v>60546.8</v>
      </c>
      <c r="G71" s="194">
        <f t="shared" ref="G71:H71" si="7">G67+G68</f>
        <v>57250.5</v>
      </c>
      <c r="H71" s="178">
        <f t="shared" si="7"/>
        <v>56834.700000000004</v>
      </c>
    </row>
    <row r="72" spans="2:15" ht="40.5" x14ac:dyDescent="0.25">
      <c r="B72" s="192" t="s">
        <v>484</v>
      </c>
      <c r="C72" s="195" t="s">
        <v>731</v>
      </c>
      <c r="D72" s="193" t="s">
        <v>480</v>
      </c>
      <c r="E72" s="241">
        <v>63152</v>
      </c>
      <c r="F72" s="170">
        <v>96581.4</v>
      </c>
      <c r="G72" s="170">
        <v>87776.6</v>
      </c>
      <c r="H72" s="170">
        <v>80194</v>
      </c>
    </row>
    <row r="73" spans="2:15" ht="17.5" x14ac:dyDescent="0.25">
      <c r="B73" s="246" t="s">
        <v>634</v>
      </c>
      <c r="C73" s="224"/>
      <c r="D73" s="223"/>
      <c r="E73" s="241"/>
      <c r="F73" s="241"/>
      <c r="G73" s="241"/>
      <c r="H73" s="241"/>
    </row>
    <row r="74" spans="2:15" ht="54" x14ac:dyDescent="0.25">
      <c r="B74" s="187" t="s">
        <v>635</v>
      </c>
      <c r="C74" s="187" t="s">
        <v>732</v>
      </c>
      <c r="D74" s="188" t="s">
        <v>480</v>
      </c>
      <c r="E74" s="263">
        <v>858.5</v>
      </c>
      <c r="F74" s="190">
        <v>1862</v>
      </c>
      <c r="G74" s="190">
        <v>1042</v>
      </c>
      <c r="H74" s="190">
        <v>1651</v>
      </c>
    </row>
    <row r="75" spans="2:15" ht="40.5" x14ac:dyDescent="0.25">
      <c r="B75" s="187" t="s">
        <v>636</v>
      </c>
      <c r="C75" s="187" t="s">
        <v>733</v>
      </c>
      <c r="D75" s="188" t="s">
        <v>480</v>
      </c>
      <c r="E75" s="263">
        <v>3871</v>
      </c>
      <c r="F75" s="190">
        <v>17759</v>
      </c>
      <c r="G75" s="190">
        <v>16598</v>
      </c>
      <c r="H75" s="190">
        <v>5860.4</v>
      </c>
    </row>
    <row r="76" spans="2:15" ht="40.5" x14ac:dyDescent="0.25">
      <c r="B76" s="187" t="s">
        <v>637</v>
      </c>
      <c r="C76" s="187" t="s">
        <v>734</v>
      </c>
      <c r="D76" s="188" t="s">
        <v>480</v>
      </c>
      <c r="E76" s="263">
        <v>2057</v>
      </c>
      <c r="F76" s="190">
        <v>2821</v>
      </c>
      <c r="G76" s="190">
        <v>1607</v>
      </c>
      <c r="H76" s="190">
        <v>1556.1</v>
      </c>
    </row>
    <row r="77" spans="2:15" ht="27" x14ac:dyDescent="0.25">
      <c r="B77" s="195" t="s">
        <v>735</v>
      </c>
      <c r="C77" s="195" t="s">
        <v>736</v>
      </c>
      <c r="D77" s="193" t="s">
        <v>480</v>
      </c>
      <c r="E77" s="241">
        <v>6787</v>
      </c>
      <c r="F77" s="178">
        <f>SUM(F74:F76)</f>
        <v>22442</v>
      </c>
      <c r="G77" s="178">
        <f>SUM(G74:G76)</f>
        <v>19247</v>
      </c>
      <c r="H77" s="178">
        <f>SUM(H74:H76)</f>
        <v>9067.5</v>
      </c>
      <c r="L77" s="49"/>
    </row>
    <row r="78" spans="2:15" ht="54" x14ac:dyDescent="0.25">
      <c r="B78" s="187" t="s">
        <v>639</v>
      </c>
      <c r="C78" s="187" t="s">
        <v>737</v>
      </c>
      <c r="D78" s="188" t="s">
        <v>480</v>
      </c>
      <c r="E78" s="263">
        <v>365.8</v>
      </c>
      <c r="F78" s="190">
        <v>2518</v>
      </c>
      <c r="G78" s="190">
        <v>2272</v>
      </c>
      <c r="H78" s="190">
        <v>2613</v>
      </c>
      <c r="L78" s="49"/>
      <c r="O78" s="49"/>
    </row>
    <row r="79" spans="2:15" ht="40.5" x14ac:dyDescent="0.25">
      <c r="B79" s="187" t="s">
        <v>738</v>
      </c>
      <c r="C79" s="187" t="s">
        <v>739</v>
      </c>
      <c r="D79" s="188" t="s">
        <v>480</v>
      </c>
      <c r="E79" s="263">
        <v>15710</v>
      </c>
      <c r="F79" s="190">
        <v>27687</v>
      </c>
      <c r="G79" s="190">
        <v>36293</v>
      </c>
      <c r="H79" s="190">
        <v>41255.199999999997</v>
      </c>
      <c r="L79" s="49"/>
      <c r="O79" s="49"/>
    </row>
    <row r="80" spans="2:15" ht="27" x14ac:dyDescent="0.25">
      <c r="B80" s="187" t="s">
        <v>641</v>
      </c>
      <c r="C80" s="187" t="s">
        <v>740</v>
      </c>
      <c r="D80" s="188" t="s">
        <v>480</v>
      </c>
      <c r="E80" s="263">
        <v>2333</v>
      </c>
      <c r="F80" s="190">
        <v>1640</v>
      </c>
      <c r="G80" s="190">
        <v>2188</v>
      </c>
      <c r="H80" s="190">
        <v>2129</v>
      </c>
    </row>
    <row r="81" spans="2:8" ht="27" x14ac:dyDescent="0.25">
      <c r="B81" s="195" t="s">
        <v>642</v>
      </c>
      <c r="C81" s="195" t="s">
        <v>741</v>
      </c>
      <c r="D81" s="193" t="s">
        <v>480</v>
      </c>
      <c r="E81" s="241">
        <f>E78+E79+E80</f>
        <v>18408.8</v>
      </c>
      <c r="F81" s="178">
        <f>F78+F79+F80</f>
        <v>31845</v>
      </c>
      <c r="G81" s="178">
        <f>G78+G79+G80</f>
        <v>40753</v>
      </c>
      <c r="H81" s="178">
        <f>SUM(H78:H80)</f>
        <v>45997.2</v>
      </c>
    </row>
    <row r="82" spans="2:8" ht="27" x14ac:dyDescent="0.25">
      <c r="B82" s="195" t="s">
        <v>643</v>
      </c>
      <c r="C82" s="195" t="s">
        <v>742</v>
      </c>
      <c r="D82" s="193" t="s">
        <v>480</v>
      </c>
      <c r="E82" s="241">
        <f>E77+E81</f>
        <v>25195.8</v>
      </c>
      <c r="F82" s="178">
        <f>F77+F81</f>
        <v>54287</v>
      </c>
      <c r="G82" s="178">
        <f>G77+G81</f>
        <v>60000</v>
      </c>
      <c r="H82" s="178">
        <f>H77+H81</f>
        <v>55064.7</v>
      </c>
    </row>
    <row r="83" spans="2:8" x14ac:dyDescent="0.25">
      <c r="B83" s="195" t="s">
        <v>743</v>
      </c>
      <c r="C83" s="195" t="s">
        <v>744</v>
      </c>
      <c r="D83" s="193" t="s">
        <v>480</v>
      </c>
      <c r="E83" s="241">
        <f>E76+E80</f>
        <v>4390</v>
      </c>
      <c r="F83" s="178">
        <f>F76+F80</f>
        <v>4461</v>
      </c>
      <c r="G83" s="178">
        <f>G76+G80</f>
        <v>3795</v>
      </c>
      <c r="H83" s="178">
        <f>H76+H80</f>
        <v>3685.1</v>
      </c>
    </row>
    <row r="84" spans="2:8" ht="17.5" x14ac:dyDescent="0.25">
      <c r="B84" s="246" t="s">
        <v>645</v>
      </c>
      <c r="C84" s="224"/>
      <c r="D84" s="223"/>
      <c r="E84" s="241"/>
      <c r="F84" s="241"/>
      <c r="G84" s="241"/>
      <c r="H84" s="241"/>
    </row>
    <row r="85" spans="2:8" ht="67.5" x14ac:dyDescent="0.25">
      <c r="B85" s="196" t="s">
        <v>745</v>
      </c>
      <c r="C85" s="155" t="s">
        <v>746</v>
      </c>
      <c r="D85" s="188" t="s">
        <v>480</v>
      </c>
      <c r="E85" s="264">
        <v>137.49</v>
      </c>
      <c r="F85" s="197">
        <v>795.82</v>
      </c>
      <c r="G85" s="197">
        <v>106.2</v>
      </c>
      <c r="H85" s="197">
        <v>129.58000000000001</v>
      </c>
    </row>
    <row r="86" spans="2:8" ht="67.5" x14ac:dyDescent="0.25">
      <c r="B86" s="196" t="s">
        <v>747</v>
      </c>
      <c r="C86" s="155" t="s">
        <v>748</v>
      </c>
      <c r="D86" s="188" t="s">
        <v>480</v>
      </c>
      <c r="E86" s="264">
        <v>919.51</v>
      </c>
      <c r="F86" s="197">
        <v>895.95</v>
      </c>
      <c r="G86" s="197">
        <v>1788.73</v>
      </c>
      <c r="H86" s="197">
        <v>2782.26</v>
      </c>
    </row>
    <row r="87" spans="2:8" ht="54" x14ac:dyDescent="0.25">
      <c r="B87" s="196" t="s">
        <v>648</v>
      </c>
      <c r="C87" s="155" t="s">
        <v>749</v>
      </c>
      <c r="D87" s="188" t="s">
        <v>480</v>
      </c>
      <c r="E87" s="264">
        <v>14145.51</v>
      </c>
      <c r="F87" s="197">
        <v>12796.66</v>
      </c>
      <c r="G87" s="190">
        <v>11172.38</v>
      </c>
      <c r="H87" s="190">
        <v>14162.31</v>
      </c>
    </row>
    <row r="88" spans="2:8" ht="54" x14ac:dyDescent="0.25">
      <c r="B88" s="196" t="s">
        <v>649</v>
      </c>
      <c r="C88" s="155" t="s">
        <v>750</v>
      </c>
      <c r="D88" s="188" t="s">
        <v>480</v>
      </c>
      <c r="E88" s="264">
        <v>22752.959999999999</v>
      </c>
      <c r="F88" s="197">
        <v>27805.8</v>
      </c>
      <c r="G88" s="197">
        <v>14709.48</v>
      </c>
      <c r="H88" s="197">
        <v>8054.6</v>
      </c>
    </row>
    <row r="89" spans="2:8" ht="67.5" x14ac:dyDescent="0.25">
      <c r="B89" s="192" t="s">
        <v>650</v>
      </c>
      <c r="C89" s="195" t="s">
        <v>751</v>
      </c>
      <c r="D89" s="193" t="s">
        <v>480</v>
      </c>
      <c r="E89" s="241">
        <v>37956</v>
      </c>
      <c r="F89" s="178">
        <f>F85+F86+F87+F88</f>
        <v>42294.229999999996</v>
      </c>
      <c r="G89" s="178">
        <f>G85+G86+G87+G88</f>
        <v>27776.79</v>
      </c>
      <c r="H89" s="178">
        <f>H85+H86+H87+H88</f>
        <v>25128.75</v>
      </c>
    </row>
    <row r="90" spans="2:8" x14ac:dyDescent="0.25">
      <c r="B90" s="196" t="s">
        <v>752</v>
      </c>
      <c r="C90" s="187" t="s">
        <v>753</v>
      </c>
      <c r="D90" s="188" t="s">
        <v>463</v>
      </c>
      <c r="E90" s="265">
        <f>E85/E72</f>
        <v>2.1771281986318726E-3</v>
      </c>
      <c r="F90" s="198">
        <f>F85/F72</f>
        <v>8.2398888398801436E-3</v>
      </c>
      <c r="G90" s="198">
        <f>G85/G72</f>
        <v>1.209889651683934E-3</v>
      </c>
      <c r="H90" s="198">
        <f>H85/H72</f>
        <v>1.6158316083497519E-3</v>
      </c>
    </row>
    <row r="91" spans="2:8" x14ac:dyDescent="0.25">
      <c r="B91" s="168" t="s">
        <v>754</v>
      </c>
      <c r="C91" s="187" t="s">
        <v>753</v>
      </c>
      <c r="D91" s="199" t="s">
        <v>463</v>
      </c>
      <c r="E91" s="265">
        <f>E86/E72</f>
        <v>1.4560267291613884E-2</v>
      </c>
      <c r="F91" s="198">
        <f>F86/F72</f>
        <v>9.2766309040871239E-3</v>
      </c>
      <c r="G91" s="198">
        <f>G86/G72</f>
        <v>2.0378210138009445E-2</v>
      </c>
      <c r="H91" s="198">
        <f>H86/H72</f>
        <v>3.4694116766840415E-2</v>
      </c>
    </row>
    <row r="92" spans="2:8" x14ac:dyDescent="0.25">
      <c r="B92" s="168" t="s">
        <v>755</v>
      </c>
      <c r="C92" s="187" t="s">
        <v>753</v>
      </c>
      <c r="D92" s="199" t="s">
        <v>463</v>
      </c>
      <c r="E92" s="265">
        <f>E89/E72</f>
        <v>0.6010260957689384</v>
      </c>
      <c r="F92" s="198">
        <f>F89/F72</f>
        <v>0.43791278651997173</v>
      </c>
      <c r="G92" s="198">
        <f>G89/G72</f>
        <v>0.31644868905835949</v>
      </c>
      <c r="H92" s="198">
        <f>H89/H72</f>
        <v>0.31334950245654286</v>
      </c>
    </row>
    <row r="93" spans="2:8" ht="17.5" x14ac:dyDescent="0.25">
      <c r="B93" s="246" t="s">
        <v>654</v>
      </c>
      <c r="C93" s="224"/>
      <c r="D93" s="223"/>
      <c r="E93" s="241"/>
      <c r="F93" s="241"/>
      <c r="G93" s="241"/>
      <c r="H93" s="241"/>
    </row>
    <row r="94" spans="2:8" ht="27" x14ac:dyDescent="0.25">
      <c r="B94" s="200" t="s">
        <v>756</v>
      </c>
      <c r="C94" s="201" t="s">
        <v>757</v>
      </c>
      <c r="D94" s="188" t="s">
        <v>480</v>
      </c>
      <c r="E94" s="263">
        <v>17366.54</v>
      </c>
      <c r="F94" s="202">
        <v>19658.759999999998</v>
      </c>
      <c r="G94" s="202">
        <v>15403.35</v>
      </c>
      <c r="H94" s="202">
        <v>18429.82</v>
      </c>
    </row>
    <row r="95" spans="2:8" ht="27" x14ac:dyDescent="0.25">
      <c r="B95" s="200" t="s">
        <v>758</v>
      </c>
      <c r="C95" s="187" t="s">
        <v>759</v>
      </c>
      <c r="D95" s="188" t="s">
        <v>480</v>
      </c>
      <c r="E95" s="266">
        <v>499.71</v>
      </c>
      <c r="F95" s="203">
        <v>1200.71</v>
      </c>
      <c r="G95" s="203">
        <v>427.18</v>
      </c>
      <c r="H95" s="203">
        <v>226.86</v>
      </c>
    </row>
    <row r="96" spans="2:8" ht="27" x14ac:dyDescent="0.25">
      <c r="B96" s="200" t="s">
        <v>760</v>
      </c>
      <c r="C96" s="187" t="s">
        <v>761</v>
      </c>
      <c r="D96" s="188" t="s">
        <v>480</v>
      </c>
      <c r="E96" s="266">
        <v>12460.78</v>
      </c>
      <c r="F96" s="203">
        <v>12532</v>
      </c>
      <c r="G96" s="207">
        <v>10904.96</v>
      </c>
      <c r="H96" s="207">
        <v>12685.23</v>
      </c>
    </row>
    <row r="97" spans="2:25" ht="27" x14ac:dyDescent="0.25">
      <c r="B97" s="204" t="s">
        <v>762</v>
      </c>
      <c r="C97" s="187" t="s">
        <v>763</v>
      </c>
      <c r="D97" s="188" t="s">
        <v>480</v>
      </c>
      <c r="E97" s="241">
        <f>E94-E95-E96</f>
        <v>4406.0500000000011</v>
      </c>
      <c r="F97" s="205">
        <f t="shared" ref="F97:H97" si="8">F94-F95-F96</f>
        <v>5926.0499999999993</v>
      </c>
      <c r="G97" s="205">
        <f t="shared" si="8"/>
        <v>4071.2100000000009</v>
      </c>
      <c r="H97" s="205">
        <f t="shared" si="8"/>
        <v>5517.73</v>
      </c>
    </row>
    <row r="98" spans="2:25" ht="18" customHeight="1" x14ac:dyDescent="0.35">
      <c r="B98"/>
      <c r="C98" s="50"/>
      <c r="D98" s="50"/>
      <c r="E98" s="57"/>
      <c r="F98" s="51"/>
      <c r="G98" s="51"/>
      <c r="H98" s="51"/>
    </row>
    <row r="99" spans="2:25" ht="19.5" x14ac:dyDescent="0.25">
      <c r="B99" s="243" t="s">
        <v>764</v>
      </c>
      <c r="C99" s="244" t="s">
        <v>687</v>
      </c>
      <c r="D99" s="260"/>
      <c r="E99" s="245" t="s">
        <v>433</v>
      </c>
      <c r="F99" s="269" t="s">
        <v>434</v>
      </c>
      <c r="G99" s="270" t="s">
        <v>435</v>
      </c>
      <c r="H99" s="270" t="s">
        <v>436</v>
      </c>
    </row>
    <row r="100" spans="2:25" ht="43.5" x14ac:dyDescent="0.25">
      <c r="B100" s="188" t="s">
        <v>765</v>
      </c>
      <c r="C100" s="161" t="s">
        <v>766</v>
      </c>
      <c r="D100" s="188" t="s">
        <v>480</v>
      </c>
      <c r="E100" s="372">
        <v>336</v>
      </c>
      <c r="F100" s="406">
        <v>393</v>
      </c>
      <c r="G100" s="406">
        <v>378</v>
      </c>
      <c r="H100" s="406">
        <v>363</v>
      </c>
    </row>
    <row r="101" spans="2:25" ht="60" x14ac:dyDescent="0.25">
      <c r="B101" s="188" t="s">
        <v>767</v>
      </c>
      <c r="C101" s="161" t="s">
        <v>768</v>
      </c>
      <c r="D101" s="188" t="s">
        <v>480</v>
      </c>
      <c r="E101" s="372">
        <v>31</v>
      </c>
      <c r="F101" s="406">
        <f>79297.63/1000</f>
        <v>79.297629999999998</v>
      </c>
      <c r="G101" s="406">
        <f>49319.29/1000</f>
        <v>49.319290000000002</v>
      </c>
      <c r="H101" s="406">
        <f>27739.67/1000</f>
        <v>27.739669999999997</v>
      </c>
    </row>
    <row r="102" spans="2:25" ht="67.5" x14ac:dyDescent="0.25">
      <c r="B102" s="188" t="s">
        <v>496</v>
      </c>
      <c r="C102" s="161" t="s">
        <v>769</v>
      </c>
      <c r="D102" s="188" t="s">
        <v>480</v>
      </c>
      <c r="E102" s="372">
        <v>43</v>
      </c>
      <c r="F102" s="406">
        <f>91945.8/1000</f>
        <v>91.945800000000006</v>
      </c>
      <c r="G102" s="406">
        <f>83140.96/1000</f>
        <v>83.140960000000007</v>
      </c>
      <c r="H102" s="406">
        <f>99282.23/1000</f>
        <v>99.282229999999998</v>
      </c>
    </row>
    <row r="103" spans="2:25" ht="16.5" x14ac:dyDescent="0.25">
      <c r="B103" s="188" t="s">
        <v>770</v>
      </c>
      <c r="C103" s="161" t="s">
        <v>771</v>
      </c>
      <c r="D103" s="188" t="s">
        <v>463</v>
      </c>
      <c r="E103" s="407">
        <v>0.76</v>
      </c>
      <c r="F103" s="407">
        <v>0.79</v>
      </c>
      <c r="G103" s="408">
        <v>0.74</v>
      </c>
      <c r="H103" s="408">
        <v>0.67</v>
      </c>
    </row>
    <row r="104" spans="2:25" ht="16.5" x14ac:dyDescent="0.25">
      <c r="B104" s="188" t="s">
        <v>772</v>
      </c>
      <c r="C104" s="161" t="s">
        <v>773</v>
      </c>
      <c r="D104" s="188" t="s">
        <v>463</v>
      </c>
      <c r="E104" s="407"/>
      <c r="F104" s="407"/>
      <c r="G104" s="408"/>
      <c r="H104" s="408"/>
    </row>
    <row r="105" spans="2:25" x14ac:dyDescent="0.25">
      <c r="B105" s="188" t="s">
        <v>499</v>
      </c>
      <c r="C105" s="161" t="s">
        <v>774</v>
      </c>
      <c r="D105" s="188" t="s">
        <v>463</v>
      </c>
      <c r="E105" s="407"/>
      <c r="F105" s="407"/>
      <c r="G105" s="408"/>
      <c r="H105" s="408"/>
    </row>
    <row r="106" spans="2:25" x14ac:dyDescent="0.25">
      <c r="B106" s="1586"/>
      <c r="C106" s="1586"/>
      <c r="D106" s="1586"/>
      <c r="E106" s="1586"/>
      <c r="F106" s="1586"/>
      <c r="G106" s="1586"/>
      <c r="H106" s="52"/>
    </row>
    <row r="107" spans="2:25" ht="24.5" x14ac:dyDescent="0.45">
      <c r="B107" s="41" t="s">
        <v>590</v>
      </c>
      <c r="C107" s="21"/>
      <c r="D107" s="22"/>
      <c r="E107" s="22"/>
      <c r="F107" s="22"/>
      <c r="G107" s="1584"/>
      <c r="H107" s="1584"/>
      <c r="I107" s="1584"/>
      <c r="J107" s="1601"/>
      <c r="K107" s="1601"/>
      <c r="L107" s="1601"/>
      <c r="M107" s="1601"/>
      <c r="N107" s="1601"/>
      <c r="O107" s="1601"/>
    </row>
    <row r="108" spans="2:25" x14ac:dyDescent="0.25">
      <c r="B108" s="11"/>
      <c r="C108" s="11"/>
      <c r="D108" s="11"/>
      <c r="E108" s="11"/>
      <c r="F108" s="11"/>
      <c r="G108" s="38"/>
      <c r="H108" s="38"/>
      <c r="I108" s="38"/>
      <c r="J108" s="40"/>
      <c r="K108" s="40"/>
      <c r="L108" s="40"/>
      <c r="M108" s="14"/>
      <c r="N108" s="14"/>
      <c r="O108" s="14"/>
      <c r="P108" s="14"/>
      <c r="Q108" s="14"/>
      <c r="R108" s="14"/>
      <c r="S108" s="14"/>
      <c r="T108" s="14"/>
      <c r="U108" s="14"/>
      <c r="V108" s="14"/>
      <c r="W108" s="14"/>
      <c r="X108" s="14"/>
    </row>
    <row r="109" spans="2:25" ht="19.5" x14ac:dyDescent="0.25">
      <c r="B109" s="249" t="s">
        <v>448</v>
      </c>
      <c r="C109" s="247" t="s">
        <v>687</v>
      </c>
      <c r="D109" s="260"/>
      <c r="E109" s="1592" t="s">
        <v>433</v>
      </c>
      <c r="F109" s="1593"/>
      <c r="G109" s="1594"/>
      <c r="H109" s="1595" t="s">
        <v>434</v>
      </c>
      <c r="I109" s="1596"/>
      <c r="J109" s="1597"/>
      <c r="K109" s="1595" t="s">
        <v>435</v>
      </c>
      <c r="L109" s="1596"/>
      <c r="M109" s="1597"/>
      <c r="N109" s="251" t="s">
        <v>436</v>
      </c>
      <c r="O109" s="14"/>
      <c r="P109" s="14"/>
      <c r="Q109" s="14"/>
      <c r="R109" s="14"/>
      <c r="S109" s="14"/>
      <c r="T109" s="14"/>
      <c r="U109" s="14"/>
      <c r="V109" s="14"/>
      <c r="W109" s="14"/>
      <c r="X109" s="14"/>
      <c r="Y109" s="14"/>
    </row>
    <row r="110" spans="2:25" ht="27" x14ac:dyDescent="0.25">
      <c r="B110" s="199"/>
      <c r="C110" s="209"/>
      <c r="D110" s="210"/>
      <c r="E110" s="254" t="s">
        <v>438</v>
      </c>
      <c r="F110" s="254" t="s">
        <v>676</v>
      </c>
      <c r="G110" s="254" t="s">
        <v>677</v>
      </c>
      <c r="H110" s="208" t="s">
        <v>438</v>
      </c>
      <c r="I110" s="208" t="s">
        <v>676</v>
      </c>
      <c r="J110" s="211" t="s">
        <v>677</v>
      </c>
      <c r="K110" s="208" t="s">
        <v>438</v>
      </c>
      <c r="L110" s="208" t="s">
        <v>676</v>
      </c>
      <c r="M110" s="211" t="s">
        <v>677</v>
      </c>
      <c r="N110" s="208" t="s">
        <v>438</v>
      </c>
      <c r="O110" s="14"/>
      <c r="P110" s="14"/>
      <c r="Q110" s="14"/>
      <c r="R110" s="14"/>
      <c r="S110" s="14"/>
      <c r="T110" s="14"/>
      <c r="U110" s="14"/>
      <c r="V110" s="14"/>
      <c r="W110" s="14"/>
      <c r="X110" s="14"/>
      <c r="Y110" s="14"/>
    </row>
    <row r="111" spans="2:25" ht="81" x14ac:dyDescent="0.25">
      <c r="B111" s="210" t="s">
        <v>449</v>
      </c>
      <c r="C111" s="212" t="s">
        <v>775</v>
      </c>
      <c r="D111" s="213" t="s">
        <v>450</v>
      </c>
      <c r="E111" s="255">
        <f>E127/1000</f>
        <v>1205779.031</v>
      </c>
      <c r="F111" s="255">
        <f>F127/1000</f>
        <v>337642.93099999998</v>
      </c>
      <c r="G111" s="255">
        <f>G127/1000</f>
        <v>868136.1</v>
      </c>
      <c r="H111" s="412">
        <v>1384245</v>
      </c>
      <c r="I111" s="412">
        <v>418784</v>
      </c>
      <c r="J111" s="412">
        <v>965461</v>
      </c>
      <c r="K111" s="412">
        <v>1307373</v>
      </c>
      <c r="L111" s="412">
        <v>426755</v>
      </c>
      <c r="M111" s="412">
        <v>880618</v>
      </c>
      <c r="N111" s="412">
        <v>1350655</v>
      </c>
      <c r="O111" s="14"/>
      <c r="P111" s="14"/>
      <c r="Q111" s="53"/>
      <c r="R111" s="14"/>
      <c r="S111" s="14"/>
      <c r="T111" s="14"/>
      <c r="U111" s="14"/>
      <c r="V111" s="14"/>
      <c r="W111" s="14"/>
      <c r="X111" s="14"/>
      <c r="Y111" s="14"/>
    </row>
    <row r="112" spans="2:25" ht="27" x14ac:dyDescent="0.25">
      <c r="B112" s="210" t="s">
        <v>451</v>
      </c>
      <c r="C112" s="212" t="s">
        <v>776</v>
      </c>
      <c r="D112" s="215" t="s">
        <v>452</v>
      </c>
      <c r="E112" s="256">
        <v>11.1</v>
      </c>
      <c r="F112" s="257">
        <v>74.099999999999994</v>
      </c>
      <c r="G112" s="257">
        <v>8.3000000000000007</v>
      </c>
      <c r="H112" s="216">
        <v>12.1</v>
      </c>
      <c r="I112" s="216">
        <v>78.7</v>
      </c>
      <c r="J112" s="216">
        <v>8.8000000000000007</v>
      </c>
      <c r="K112" s="216">
        <v>11.5</v>
      </c>
      <c r="L112" s="216">
        <v>43.5</v>
      </c>
      <c r="M112" s="216">
        <v>8.5</v>
      </c>
      <c r="N112" s="216">
        <v>10.99</v>
      </c>
      <c r="O112" s="14"/>
      <c r="P112" s="14"/>
      <c r="Q112" s="53"/>
      <c r="R112" s="14"/>
      <c r="S112" s="14"/>
      <c r="T112" s="14"/>
      <c r="U112" s="14"/>
      <c r="V112" s="14"/>
      <c r="W112" s="14"/>
      <c r="X112" s="14"/>
      <c r="Y112" s="14"/>
    </row>
    <row r="113" spans="2:25" x14ac:dyDescent="0.25">
      <c r="B113" s="11"/>
      <c r="C113" s="11"/>
      <c r="D113" s="11"/>
      <c r="E113" s="11"/>
      <c r="F113" s="11"/>
      <c r="G113" s="11"/>
      <c r="H113" s="38"/>
      <c r="I113" s="38"/>
      <c r="J113" s="38"/>
      <c r="K113" s="40"/>
      <c r="L113" s="40"/>
      <c r="M113" s="40"/>
      <c r="N113" s="14"/>
      <c r="O113" s="14"/>
      <c r="P113" s="14"/>
      <c r="Q113" s="14"/>
      <c r="R113" s="14"/>
      <c r="S113" s="14"/>
      <c r="T113" s="14"/>
      <c r="U113" s="14"/>
      <c r="V113" s="14"/>
      <c r="W113" s="14"/>
      <c r="X113" s="14"/>
      <c r="Y113" s="14"/>
    </row>
    <row r="114" spans="2:25" x14ac:dyDescent="0.25">
      <c r="B114" s="11"/>
      <c r="C114" s="11"/>
      <c r="D114" s="11"/>
      <c r="E114" s="11"/>
      <c r="F114" s="11"/>
      <c r="G114" s="11"/>
      <c r="H114" s="38"/>
      <c r="I114" s="38"/>
      <c r="J114" s="38"/>
      <c r="K114" s="40"/>
      <c r="L114" s="40"/>
      <c r="M114" s="40"/>
      <c r="N114" s="14"/>
      <c r="O114" s="14"/>
      <c r="P114" s="14"/>
      <c r="Q114" s="14"/>
      <c r="R114" s="14"/>
      <c r="S114" s="14"/>
      <c r="T114" s="14"/>
      <c r="U114" s="14"/>
      <c r="V114" s="14"/>
      <c r="W114" s="14"/>
      <c r="X114" s="14"/>
      <c r="Y114" s="14"/>
    </row>
    <row r="115" spans="2:25" ht="29.15" customHeight="1" x14ac:dyDescent="0.25">
      <c r="B115" s="250" t="s">
        <v>777</v>
      </c>
      <c r="C115" s="247" t="s">
        <v>687</v>
      </c>
      <c r="D115" s="260"/>
      <c r="E115" s="1592" t="s">
        <v>778</v>
      </c>
      <c r="F115" s="1593"/>
      <c r="G115" s="1594"/>
      <c r="H115" s="1595" t="s">
        <v>779</v>
      </c>
      <c r="I115" s="1596"/>
      <c r="J115" s="1597"/>
      <c r="K115" s="1598" t="s">
        <v>780</v>
      </c>
      <c r="L115" s="1598"/>
      <c r="M115" s="1598"/>
      <c r="N115" s="251" t="s">
        <v>781</v>
      </c>
      <c r="O115" s="14"/>
      <c r="P115" s="14"/>
      <c r="Q115" s="14"/>
      <c r="R115" s="14"/>
      <c r="S115" s="14"/>
      <c r="T115" s="14"/>
      <c r="U115" s="14"/>
      <c r="V115" s="14"/>
      <c r="W115" s="14"/>
      <c r="X115" s="14"/>
    </row>
    <row r="116" spans="2:25" ht="30" customHeight="1" x14ac:dyDescent="0.25">
      <c r="B116" s="217"/>
      <c r="C116" s="217"/>
      <c r="D116" s="217"/>
      <c r="E116" s="252" t="s">
        <v>438</v>
      </c>
      <c r="F116" s="252" t="s">
        <v>676</v>
      </c>
      <c r="G116" s="252" t="s">
        <v>677</v>
      </c>
      <c r="H116" s="218" t="s">
        <v>438</v>
      </c>
      <c r="I116" s="218" t="s">
        <v>676</v>
      </c>
      <c r="J116" s="219" t="s">
        <v>677</v>
      </c>
      <c r="K116" s="218" t="s">
        <v>438</v>
      </c>
      <c r="L116" s="218" t="s">
        <v>676</v>
      </c>
      <c r="M116" s="219" t="s">
        <v>677</v>
      </c>
      <c r="N116" s="218" t="s">
        <v>438</v>
      </c>
      <c r="O116" s="14"/>
      <c r="P116" s="14"/>
      <c r="Q116" s="14"/>
      <c r="R116" s="14"/>
      <c r="S116" s="14"/>
      <c r="T116" s="14"/>
      <c r="U116" s="14"/>
      <c r="V116" s="14"/>
      <c r="W116" s="14"/>
      <c r="X116" s="14"/>
    </row>
    <row r="117" spans="2:25" ht="81" x14ac:dyDescent="0.25">
      <c r="B117" s="188" t="s">
        <v>594</v>
      </c>
      <c r="C117" s="161" t="s">
        <v>782</v>
      </c>
      <c r="D117" s="188" t="s">
        <v>595</v>
      </c>
      <c r="E117" s="253">
        <f t="shared" ref="E117:F125" si="9">E127*0.0036</f>
        <v>4340804.5115999999</v>
      </c>
      <c r="F117" s="253">
        <f t="shared" si="9"/>
        <v>1215514.5515999999</v>
      </c>
      <c r="G117" s="253">
        <f t="shared" ref="G117:G125" si="10">E117-F117</f>
        <v>3125289.96</v>
      </c>
      <c r="H117" s="220">
        <f t="shared" ref="H117:H125" si="11">H127*0.0036</f>
        <v>4983282.1332</v>
      </c>
      <c r="I117" s="220">
        <f t="shared" ref="I117:I125" si="12">I127*0.0036</f>
        <v>1507622.094</v>
      </c>
      <c r="J117" s="220">
        <f t="shared" ref="J117:J125" si="13">H117-I117</f>
        <v>3475660.0392</v>
      </c>
      <c r="K117" s="220">
        <f t="shared" ref="K117:K125" si="14">K127*0.0036</f>
        <v>4706542.6343999999</v>
      </c>
      <c r="L117" s="220">
        <f t="shared" ref="L117:L125" si="15">L127*0.0036</f>
        <v>1536318.7667999999</v>
      </c>
      <c r="M117" s="220">
        <f t="shared" ref="M117:M125" si="16">K117-L117</f>
        <v>3170223.8676</v>
      </c>
      <c r="N117" s="220">
        <f t="shared" ref="N117:N123" si="17">N127*0.0036</f>
        <v>4862357.9172</v>
      </c>
      <c r="O117" s="14"/>
      <c r="P117" s="14"/>
      <c r="Q117" s="14"/>
      <c r="R117" s="14"/>
      <c r="S117" s="14"/>
      <c r="T117" s="14"/>
      <c r="U117" s="14"/>
      <c r="V117" s="14"/>
      <c r="W117" s="14"/>
      <c r="X117" s="14"/>
    </row>
    <row r="118" spans="2:25" ht="108" x14ac:dyDescent="0.25">
      <c r="B118" s="188" t="s">
        <v>596</v>
      </c>
      <c r="C118" s="161" t="s">
        <v>783</v>
      </c>
      <c r="D118" s="188" t="s">
        <v>595</v>
      </c>
      <c r="E118" s="253">
        <f t="shared" si="9"/>
        <v>1771360.9812</v>
      </c>
      <c r="F118" s="253">
        <f t="shared" si="9"/>
        <v>470572.53119999997</v>
      </c>
      <c r="G118" s="253">
        <f t="shared" si="10"/>
        <v>1300788.4500000002</v>
      </c>
      <c r="H118" s="220">
        <f t="shared" si="11"/>
        <v>2060743.8636</v>
      </c>
      <c r="I118" s="220">
        <f t="shared" si="12"/>
        <v>566103.402</v>
      </c>
      <c r="J118" s="220">
        <f t="shared" si="13"/>
        <v>1494640.4616</v>
      </c>
      <c r="K118" s="220">
        <f t="shared" si="14"/>
        <v>1975839.2279999999</v>
      </c>
      <c r="L118" s="220">
        <f t="shared" si="15"/>
        <v>602479.63079999993</v>
      </c>
      <c r="M118" s="220">
        <f t="shared" si="16"/>
        <v>1373359.5972</v>
      </c>
      <c r="N118" s="220">
        <f t="shared" si="17"/>
        <v>2087618.2523999999</v>
      </c>
      <c r="O118" s="14"/>
      <c r="P118" s="14"/>
      <c r="Q118" s="14"/>
      <c r="R118" s="14"/>
      <c r="S118" s="14"/>
      <c r="T118" s="14"/>
      <c r="U118" s="14"/>
      <c r="V118" s="14"/>
      <c r="W118" s="14"/>
      <c r="X118" s="14"/>
    </row>
    <row r="119" spans="2:25" ht="67.5" x14ac:dyDescent="0.25">
      <c r="B119" s="188" t="s">
        <v>597</v>
      </c>
      <c r="C119" s="161" t="s">
        <v>784</v>
      </c>
      <c r="D119" s="188" t="s">
        <v>595</v>
      </c>
      <c r="E119" s="253">
        <f t="shared" si="9"/>
        <v>2274979.23</v>
      </c>
      <c r="F119" s="253">
        <f t="shared" si="9"/>
        <v>779210.66879999998</v>
      </c>
      <c r="G119" s="253">
        <f t="shared" si="10"/>
        <v>1495768.5611999999</v>
      </c>
      <c r="H119" s="220">
        <f t="shared" si="11"/>
        <v>2554494.534</v>
      </c>
      <c r="I119" s="220">
        <f t="shared" si="12"/>
        <v>941695.53839999996</v>
      </c>
      <c r="J119" s="220">
        <f t="shared" si="13"/>
        <v>1612798.9956</v>
      </c>
      <c r="K119" s="220">
        <f t="shared" si="14"/>
        <v>2416909.4424000001</v>
      </c>
      <c r="L119" s="220">
        <f t="shared" si="15"/>
        <v>967772.29680000001</v>
      </c>
      <c r="M119" s="220">
        <f t="shared" si="16"/>
        <v>1449137.1455999999</v>
      </c>
      <c r="N119" s="220">
        <f t="shared" si="17"/>
        <v>2466585.6444000001</v>
      </c>
      <c r="O119" s="14"/>
      <c r="P119" s="14"/>
      <c r="Q119" s="14"/>
      <c r="R119" s="14"/>
      <c r="S119" s="14"/>
      <c r="T119" s="14"/>
      <c r="U119" s="14"/>
      <c r="V119" s="14"/>
      <c r="W119" s="14"/>
      <c r="X119" s="14"/>
    </row>
    <row r="120" spans="2:25" ht="121.5" x14ac:dyDescent="0.25">
      <c r="B120" s="188" t="s">
        <v>598</v>
      </c>
      <c r="C120" s="161" t="s">
        <v>785</v>
      </c>
      <c r="D120" s="188" t="s">
        <v>595</v>
      </c>
      <c r="E120" s="253">
        <f t="shared" si="9"/>
        <v>3619825.6716</v>
      </c>
      <c r="F120" s="253">
        <f t="shared" si="9"/>
        <v>852168.6</v>
      </c>
      <c r="G120" s="253">
        <f t="shared" si="10"/>
        <v>2767657.0715999999</v>
      </c>
      <c r="H120" s="220">
        <f t="shared" si="11"/>
        <v>4313935.2456</v>
      </c>
      <c r="I120" s="220">
        <f t="shared" si="12"/>
        <v>1050297.138</v>
      </c>
      <c r="J120" s="220">
        <f t="shared" si="13"/>
        <v>3263638.1075999998</v>
      </c>
      <c r="K120" s="220">
        <f t="shared" si="14"/>
        <v>4129525.1088</v>
      </c>
      <c r="L120" s="220">
        <f t="shared" si="15"/>
        <v>1058810.4324</v>
      </c>
      <c r="M120" s="220">
        <f t="shared" si="16"/>
        <v>3070714.6764000002</v>
      </c>
      <c r="N120" s="220">
        <f t="shared" si="17"/>
        <v>4315058.2259999998</v>
      </c>
      <c r="O120" s="14"/>
      <c r="P120" s="14"/>
      <c r="Q120" s="14"/>
      <c r="R120" s="14"/>
      <c r="S120" s="14"/>
      <c r="T120" s="14"/>
      <c r="U120" s="14"/>
      <c r="V120" s="14"/>
      <c r="W120" s="14"/>
      <c r="X120" s="14"/>
    </row>
    <row r="121" spans="2:25" ht="67.5" x14ac:dyDescent="0.25">
      <c r="B121" s="322" t="s">
        <v>599</v>
      </c>
      <c r="C121" s="161" t="s">
        <v>786</v>
      </c>
      <c r="D121" s="188" t="s">
        <v>595</v>
      </c>
      <c r="E121" s="253">
        <f t="shared" si="9"/>
        <v>2520972.4284000001</v>
      </c>
      <c r="F121" s="253">
        <f t="shared" si="9"/>
        <v>802567.61639999994</v>
      </c>
      <c r="G121" s="253">
        <f t="shared" si="10"/>
        <v>1718404.8120000002</v>
      </c>
      <c r="H121" s="220">
        <f t="shared" si="11"/>
        <v>2891001.9276000001</v>
      </c>
      <c r="I121" s="220">
        <f t="shared" si="12"/>
        <v>998092.39319999993</v>
      </c>
      <c r="J121" s="220">
        <f t="shared" si="13"/>
        <v>1892909.5344000002</v>
      </c>
      <c r="K121" s="220">
        <f t="shared" si="14"/>
        <v>2729961.54</v>
      </c>
      <c r="L121" s="220">
        <f t="shared" si="15"/>
        <v>1008473.2992</v>
      </c>
      <c r="M121" s="220">
        <f t="shared" si="16"/>
        <v>1721488.2408</v>
      </c>
      <c r="N121" s="220">
        <f t="shared" si="17"/>
        <v>2763835.4556</v>
      </c>
      <c r="O121" s="14"/>
      <c r="P121" s="14"/>
      <c r="Q121" s="14"/>
      <c r="R121" s="14"/>
      <c r="S121" s="14"/>
      <c r="T121" s="14"/>
      <c r="U121" s="14"/>
      <c r="V121" s="14"/>
      <c r="W121" s="14"/>
      <c r="X121" s="14"/>
    </row>
    <row r="122" spans="2:25" ht="40.5" x14ac:dyDescent="0.25">
      <c r="B122" s="322" t="s">
        <v>600</v>
      </c>
      <c r="C122" s="161" t="s">
        <v>787</v>
      </c>
      <c r="D122" s="188" t="s">
        <v>595</v>
      </c>
      <c r="E122" s="253">
        <f t="shared" si="9"/>
        <v>952567.53480000002</v>
      </c>
      <c r="F122" s="253">
        <f t="shared" si="9"/>
        <v>24137.351999999999</v>
      </c>
      <c r="G122" s="253">
        <f t="shared" si="10"/>
        <v>928430.18280000007</v>
      </c>
      <c r="H122" s="220">
        <f t="shared" si="11"/>
        <v>1271821.446</v>
      </c>
      <c r="I122" s="220">
        <f t="shared" si="12"/>
        <v>22613.835599999999</v>
      </c>
      <c r="J122" s="220">
        <f t="shared" si="13"/>
        <v>1249207.6103999999</v>
      </c>
      <c r="K122" s="220">
        <f t="shared" si="14"/>
        <v>1271987.3484</v>
      </c>
      <c r="L122" s="220">
        <f t="shared" si="15"/>
        <v>27600.84</v>
      </c>
      <c r="M122" s="220">
        <f t="shared" si="16"/>
        <v>1244386.5083999999</v>
      </c>
      <c r="N122" s="220">
        <f t="shared" si="17"/>
        <v>1430977.05</v>
      </c>
      <c r="O122" s="14"/>
      <c r="P122" s="14"/>
      <c r="Q122" s="14"/>
      <c r="R122" s="14"/>
      <c r="S122" s="14"/>
      <c r="T122" s="14"/>
      <c r="U122" s="14"/>
      <c r="V122" s="14"/>
      <c r="W122" s="14"/>
      <c r="X122" s="14"/>
    </row>
    <row r="123" spans="2:25" ht="54" x14ac:dyDescent="0.25">
      <c r="B123" s="323" t="s">
        <v>601</v>
      </c>
      <c r="C123" s="161" t="s">
        <v>788</v>
      </c>
      <c r="D123" s="188" t="s">
        <v>595</v>
      </c>
      <c r="E123" s="253">
        <f t="shared" si="9"/>
        <v>128724.8796</v>
      </c>
      <c r="F123" s="253">
        <f t="shared" si="9"/>
        <v>19250.449199999999</v>
      </c>
      <c r="G123" s="253">
        <f t="shared" si="10"/>
        <v>109474.4304</v>
      </c>
      <c r="H123" s="220">
        <f t="shared" si="11"/>
        <v>114283.75319999999</v>
      </c>
      <c r="I123" s="220">
        <f t="shared" si="12"/>
        <v>14826.406679999998</v>
      </c>
      <c r="J123" s="220">
        <f t="shared" si="13"/>
        <v>99457.346519999992</v>
      </c>
      <c r="K123" s="220">
        <f t="shared" si="14"/>
        <v>112445.03879999999</v>
      </c>
      <c r="L123" s="220">
        <f t="shared" si="15"/>
        <v>21111.778728000001</v>
      </c>
      <c r="M123" s="220">
        <f t="shared" si="16"/>
        <v>91333.26007199999</v>
      </c>
      <c r="N123" s="220">
        <f t="shared" si="17"/>
        <v>120245.72039999999</v>
      </c>
      <c r="O123" s="14"/>
      <c r="P123" s="14"/>
      <c r="Q123" s="14"/>
      <c r="R123" s="14"/>
      <c r="S123" s="14"/>
      <c r="T123" s="14"/>
      <c r="U123" s="14"/>
      <c r="V123" s="14"/>
      <c r="W123" s="14"/>
      <c r="X123" s="14"/>
    </row>
    <row r="124" spans="2:25" ht="27" x14ac:dyDescent="0.25">
      <c r="B124" s="323" t="s">
        <v>602</v>
      </c>
      <c r="C124" s="161" t="s">
        <v>789</v>
      </c>
      <c r="D124" s="188" t="s">
        <v>595</v>
      </c>
      <c r="E124" s="253">
        <f t="shared" si="9"/>
        <v>17560.832399999999</v>
      </c>
      <c r="F124" s="253">
        <f t="shared" si="9"/>
        <v>6213.1823999999997</v>
      </c>
      <c r="G124" s="253">
        <f>E124-F124</f>
        <v>11347.65</v>
      </c>
      <c r="H124" s="220">
        <f t="shared" si="11"/>
        <v>36828.118799999997</v>
      </c>
      <c r="I124" s="220">
        <f t="shared" si="12"/>
        <v>14764.5</v>
      </c>
      <c r="J124" s="220">
        <f>H124-I124</f>
        <v>22063.618799999997</v>
      </c>
      <c r="K124" s="220">
        <f t="shared" si="14"/>
        <v>15131.1852</v>
      </c>
      <c r="L124" s="220">
        <f t="shared" si="15"/>
        <v>1624.5108</v>
      </c>
      <c r="M124" s="220">
        <f>K124-L124</f>
        <v>13506.6744</v>
      </c>
      <c r="N124" s="220" t="s">
        <v>603</v>
      </c>
      <c r="O124" s="14"/>
      <c r="P124" s="14"/>
      <c r="Q124" s="14"/>
      <c r="R124" s="14"/>
      <c r="S124" s="14"/>
      <c r="T124" s="14"/>
      <c r="U124" s="14"/>
      <c r="V124" s="14"/>
      <c r="W124" s="14"/>
      <c r="X124" s="14"/>
    </row>
    <row r="125" spans="2:25" ht="40.5" x14ac:dyDescent="0.25">
      <c r="B125" s="221" t="s">
        <v>604</v>
      </c>
      <c r="C125" s="160" t="s">
        <v>790</v>
      </c>
      <c r="D125" s="188" t="s">
        <v>595</v>
      </c>
      <c r="E125" s="253">
        <f t="shared" si="9"/>
        <v>720978.84</v>
      </c>
      <c r="F125" s="253">
        <f t="shared" si="9"/>
        <v>363345.95159999997</v>
      </c>
      <c r="G125" s="253">
        <f t="shared" si="10"/>
        <v>357632.8884</v>
      </c>
      <c r="H125" s="220">
        <f t="shared" si="11"/>
        <v>669346.88760000002</v>
      </c>
      <c r="I125" s="220">
        <f t="shared" si="12"/>
        <v>457324.95600000001</v>
      </c>
      <c r="J125" s="220">
        <f t="shared" si="13"/>
        <v>212021.93160000001</v>
      </c>
      <c r="K125" s="220">
        <f t="shared" si="14"/>
        <v>577017.52559999994</v>
      </c>
      <c r="L125" s="220">
        <f t="shared" si="15"/>
        <v>477508.33439999999</v>
      </c>
      <c r="M125" s="220">
        <f t="shared" si="16"/>
        <v>99509.191199999943</v>
      </c>
      <c r="N125" s="220">
        <f>N135*0.0036</f>
        <v>547299.68759999995</v>
      </c>
      <c r="O125" s="14"/>
      <c r="P125" s="14"/>
      <c r="Q125" s="14"/>
      <c r="R125" s="14"/>
      <c r="S125" s="14"/>
      <c r="T125" s="14"/>
      <c r="U125" s="14"/>
      <c r="V125" s="14"/>
      <c r="W125" s="14"/>
      <c r="X125" s="14"/>
    </row>
    <row r="127" spans="2:25" ht="81" x14ac:dyDescent="0.25">
      <c r="B127" s="188" t="s">
        <v>594</v>
      </c>
      <c r="C127" s="161" t="s">
        <v>791</v>
      </c>
      <c r="D127" s="188" t="s">
        <v>465</v>
      </c>
      <c r="E127" s="253">
        <v>1205779031</v>
      </c>
      <c r="F127" s="253">
        <v>337642931</v>
      </c>
      <c r="G127" s="253">
        <f t="shared" ref="G127:G135" si="18">E127-F127</f>
        <v>868136100</v>
      </c>
      <c r="H127" s="220">
        <v>1384245037</v>
      </c>
      <c r="I127" s="220">
        <v>418783915</v>
      </c>
      <c r="J127" s="220">
        <f t="shared" ref="J127:J135" si="19">H127-I127</f>
        <v>965461122</v>
      </c>
      <c r="K127" s="206">
        <v>1307372954</v>
      </c>
      <c r="L127" s="220">
        <v>426755213</v>
      </c>
      <c r="M127" s="220">
        <f t="shared" ref="M127:M135" si="20">K127-L127</f>
        <v>880617741</v>
      </c>
      <c r="N127" s="206">
        <v>1350654977</v>
      </c>
      <c r="O127" s="14"/>
      <c r="P127" s="14"/>
      <c r="Q127" s="14"/>
      <c r="R127" s="14"/>
      <c r="S127" s="14"/>
      <c r="T127" s="14"/>
      <c r="U127" s="14"/>
      <c r="V127" s="14"/>
      <c r="W127" s="14"/>
      <c r="X127" s="14"/>
    </row>
    <row r="128" spans="2:25" ht="108" x14ac:dyDescent="0.25">
      <c r="B128" s="188" t="s">
        <v>596</v>
      </c>
      <c r="C128" s="161" t="s">
        <v>792</v>
      </c>
      <c r="D128" s="188" t="s">
        <v>465</v>
      </c>
      <c r="E128" s="253">
        <v>492044717</v>
      </c>
      <c r="F128" s="253">
        <v>130714592</v>
      </c>
      <c r="G128" s="253">
        <f t="shared" si="18"/>
        <v>361330125</v>
      </c>
      <c r="H128" s="220">
        <v>572428851</v>
      </c>
      <c r="I128" s="220">
        <v>157250945</v>
      </c>
      <c r="J128" s="220">
        <f t="shared" si="19"/>
        <v>415177906</v>
      </c>
      <c r="K128" s="206">
        <v>548844230</v>
      </c>
      <c r="L128" s="220">
        <v>167355453</v>
      </c>
      <c r="M128" s="220">
        <f t="shared" si="20"/>
        <v>381488777</v>
      </c>
      <c r="N128" s="206">
        <v>579893959</v>
      </c>
      <c r="O128" s="14"/>
      <c r="P128" s="14"/>
      <c r="Q128" s="14"/>
      <c r="R128" s="14"/>
      <c r="S128" s="14"/>
      <c r="T128" s="14"/>
      <c r="U128" s="14"/>
      <c r="V128" s="14"/>
      <c r="W128" s="14"/>
      <c r="X128" s="14"/>
    </row>
    <row r="129" spans="2:24" ht="67.5" x14ac:dyDescent="0.25">
      <c r="B129" s="188" t="s">
        <v>597</v>
      </c>
      <c r="C129" s="161" t="s">
        <v>793</v>
      </c>
      <c r="D129" s="188" t="s">
        <v>465</v>
      </c>
      <c r="E129" s="253">
        <v>631938675</v>
      </c>
      <c r="F129" s="253">
        <v>216447408</v>
      </c>
      <c r="G129" s="253">
        <f t="shared" si="18"/>
        <v>415491267</v>
      </c>
      <c r="H129" s="220">
        <v>709581815</v>
      </c>
      <c r="I129" s="220">
        <v>261582094</v>
      </c>
      <c r="J129" s="220">
        <f t="shared" si="19"/>
        <v>447999721</v>
      </c>
      <c r="K129" s="206">
        <v>671363734</v>
      </c>
      <c r="L129" s="220">
        <v>268825638</v>
      </c>
      <c r="M129" s="220">
        <f t="shared" si="20"/>
        <v>402538096</v>
      </c>
      <c r="N129" s="206">
        <v>685162679</v>
      </c>
      <c r="O129" s="14"/>
      <c r="P129" s="14"/>
      <c r="Q129" s="14"/>
      <c r="R129" s="14"/>
      <c r="S129" s="14"/>
      <c r="T129" s="14"/>
      <c r="U129" s="14"/>
      <c r="V129" s="14"/>
      <c r="W129" s="14"/>
      <c r="X129" s="14"/>
    </row>
    <row r="130" spans="2:24" ht="121.5" x14ac:dyDescent="0.25">
      <c r="B130" s="188" t="s">
        <v>598</v>
      </c>
      <c r="C130" s="161" t="s">
        <v>794</v>
      </c>
      <c r="D130" s="188" t="s">
        <v>465</v>
      </c>
      <c r="E130" s="237">
        <v>1005507131</v>
      </c>
      <c r="F130" s="253">
        <v>236713500</v>
      </c>
      <c r="G130" s="253">
        <f t="shared" si="18"/>
        <v>768793631</v>
      </c>
      <c r="H130" s="220">
        <v>1198315346</v>
      </c>
      <c r="I130" s="220">
        <v>291749205</v>
      </c>
      <c r="J130" s="220">
        <f t="shared" si="19"/>
        <v>906566141</v>
      </c>
      <c r="K130" s="206">
        <v>1147090308</v>
      </c>
      <c r="L130" s="220">
        <v>294114009</v>
      </c>
      <c r="M130" s="220">
        <f t="shared" si="20"/>
        <v>852976299</v>
      </c>
      <c r="N130" s="206">
        <v>1198627285</v>
      </c>
      <c r="O130" s="14"/>
      <c r="P130" s="14"/>
      <c r="Q130" s="14"/>
      <c r="R130" s="14"/>
      <c r="S130" s="14"/>
      <c r="T130" s="14"/>
      <c r="U130" s="14"/>
      <c r="V130" s="14"/>
      <c r="W130" s="14"/>
      <c r="X130" s="14"/>
    </row>
    <row r="131" spans="2:24" ht="67.5" x14ac:dyDescent="0.25">
      <c r="B131" s="322" t="s">
        <v>599</v>
      </c>
      <c r="C131" s="161" t="s">
        <v>786</v>
      </c>
      <c r="D131" s="188" t="s">
        <v>465</v>
      </c>
      <c r="E131" s="253">
        <v>700270119</v>
      </c>
      <c r="F131" s="253">
        <v>222935449</v>
      </c>
      <c r="G131" s="253">
        <f t="shared" si="18"/>
        <v>477334670</v>
      </c>
      <c r="H131" s="220">
        <v>803056091</v>
      </c>
      <c r="I131" s="220">
        <v>277247887</v>
      </c>
      <c r="J131" s="220">
        <f t="shared" si="19"/>
        <v>525808204</v>
      </c>
      <c r="K131" s="206">
        <v>758322650</v>
      </c>
      <c r="L131" s="220">
        <v>280131472</v>
      </c>
      <c r="M131" s="220">
        <f t="shared" si="20"/>
        <v>478191178</v>
      </c>
      <c r="N131" s="206">
        <v>767732071</v>
      </c>
      <c r="O131" s="14"/>
      <c r="P131" s="14"/>
      <c r="Q131" s="14"/>
      <c r="R131" s="14"/>
      <c r="S131" s="14"/>
      <c r="T131" s="14"/>
      <c r="U131" s="14"/>
      <c r="V131" s="14"/>
      <c r="W131" s="14"/>
      <c r="X131" s="14"/>
    </row>
    <row r="132" spans="2:24" ht="40.5" x14ac:dyDescent="0.25">
      <c r="B132" s="322" t="s">
        <v>600</v>
      </c>
      <c r="C132" s="161" t="s">
        <v>795</v>
      </c>
      <c r="D132" s="188" t="s">
        <v>465</v>
      </c>
      <c r="E132" s="253">
        <v>264602093</v>
      </c>
      <c r="F132" s="253">
        <v>6704820</v>
      </c>
      <c r="G132" s="253">
        <f t="shared" si="18"/>
        <v>257897273</v>
      </c>
      <c r="H132" s="220">
        <v>353283735</v>
      </c>
      <c r="I132" s="220">
        <v>6281621</v>
      </c>
      <c r="J132" s="220">
        <f t="shared" si="19"/>
        <v>347002114</v>
      </c>
      <c r="K132" s="206">
        <v>353329819</v>
      </c>
      <c r="L132" s="220">
        <v>7666900</v>
      </c>
      <c r="M132" s="220">
        <f t="shared" si="20"/>
        <v>345662919</v>
      </c>
      <c r="N132" s="206">
        <v>397493625</v>
      </c>
      <c r="O132" s="14"/>
      <c r="P132" s="14"/>
      <c r="Q132" s="14"/>
      <c r="R132" s="14"/>
      <c r="S132" s="14"/>
      <c r="T132" s="14"/>
      <c r="U132" s="14"/>
      <c r="V132" s="14"/>
      <c r="W132" s="14"/>
      <c r="X132" s="14"/>
    </row>
    <row r="133" spans="2:24" ht="54" x14ac:dyDescent="0.25">
      <c r="B133" s="323" t="s">
        <v>601</v>
      </c>
      <c r="C133" s="161" t="s">
        <v>796</v>
      </c>
      <c r="D133" s="188" t="s">
        <v>465</v>
      </c>
      <c r="E133" s="253">
        <v>35756911</v>
      </c>
      <c r="F133" s="253">
        <v>5347347</v>
      </c>
      <c r="G133" s="253">
        <f t="shared" si="18"/>
        <v>30409564</v>
      </c>
      <c r="H133" s="220">
        <v>31745487</v>
      </c>
      <c r="I133" s="220">
        <v>4118446.3</v>
      </c>
      <c r="J133" s="220">
        <f t="shared" si="19"/>
        <v>27627040.699999999</v>
      </c>
      <c r="K133" s="206">
        <v>31234733</v>
      </c>
      <c r="L133" s="220">
        <v>5864382.9800000004</v>
      </c>
      <c r="M133" s="220">
        <f t="shared" si="20"/>
        <v>25370350.02</v>
      </c>
      <c r="N133" s="206">
        <v>33401589</v>
      </c>
      <c r="O133" s="14"/>
      <c r="P133" s="14"/>
      <c r="Q133" s="14"/>
      <c r="R133" s="14"/>
      <c r="S133" s="14"/>
      <c r="T133" s="14"/>
      <c r="U133" s="14"/>
      <c r="V133" s="14"/>
      <c r="W133" s="14"/>
      <c r="X133" s="14"/>
    </row>
    <row r="134" spans="2:24" ht="27" x14ac:dyDescent="0.25">
      <c r="B134" s="323" t="s">
        <v>602</v>
      </c>
      <c r="C134" s="161" t="s">
        <v>789</v>
      </c>
      <c r="D134" s="188" t="s">
        <v>465</v>
      </c>
      <c r="E134" s="253">
        <v>4878009</v>
      </c>
      <c r="F134" s="253">
        <v>1725884</v>
      </c>
      <c r="G134" s="253">
        <f t="shared" si="18"/>
        <v>3152125</v>
      </c>
      <c r="H134" s="220">
        <v>10230033</v>
      </c>
      <c r="I134" s="220">
        <v>4101250</v>
      </c>
      <c r="J134" s="220">
        <f t="shared" si="19"/>
        <v>6128783</v>
      </c>
      <c r="K134" s="206">
        <v>4203107</v>
      </c>
      <c r="L134" s="220">
        <v>451253</v>
      </c>
      <c r="M134" s="220">
        <f t="shared" si="20"/>
        <v>3751854</v>
      </c>
      <c r="N134" s="324" t="s">
        <v>603</v>
      </c>
      <c r="O134" s="14"/>
      <c r="P134" s="14"/>
      <c r="Q134" s="14"/>
      <c r="R134" s="14"/>
      <c r="S134" s="14"/>
      <c r="T134" s="14"/>
      <c r="U134" s="14"/>
      <c r="V134" s="14"/>
      <c r="W134" s="14"/>
      <c r="X134" s="14"/>
    </row>
    <row r="135" spans="2:24" ht="40.5" x14ac:dyDescent="0.25">
      <c r="B135" s="221" t="s">
        <v>604</v>
      </c>
      <c r="C135" s="161" t="s">
        <v>790</v>
      </c>
      <c r="D135" s="188" t="s">
        <v>465</v>
      </c>
      <c r="E135" s="253">
        <v>200271900</v>
      </c>
      <c r="F135" s="253">
        <v>100929431</v>
      </c>
      <c r="G135" s="253">
        <f t="shared" si="18"/>
        <v>99342469</v>
      </c>
      <c r="H135" s="220">
        <v>185929691</v>
      </c>
      <c r="I135" s="220">
        <v>127034710</v>
      </c>
      <c r="J135" s="220">
        <f t="shared" si="19"/>
        <v>58894981</v>
      </c>
      <c r="K135" s="206">
        <v>160282646</v>
      </c>
      <c r="L135" s="220">
        <v>132641204</v>
      </c>
      <c r="M135" s="220">
        <f t="shared" si="20"/>
        <v>27641442</v>
      </c>
      <c r="N135" s="206">
        <v>152027691</v>
      </c>
      <c r="O135" s="14"/>
      <c r="P135" s="14"/>
      <c r="Q135" s="14"/>
      <c r="R135" s="14"/>
      <c r="S135" s="14"/>
      <c r="T135" s="14"/>
      <c r="U135" s="14"/>
      <c r="V135" s="14"/>
      <c r="W135" s="14"/>
      <c r="X135" s="14"/>
    </row>
    <row r="136" spans="2:24" x14ac:dyDescent="0.25">
      <c r="B136" s="58"/>
      <c r="C136" s="91"/>
      <c r="D136" s="58"/>
      <c r="E136" s="58"/>
      <c r="F136" s="58"/>
      <c r="G136" s="58"/>
      <c r="H136" s="58"/>
      <c r="I136" s="58"/>
      <c r="J136" s="58"/>
      <c r="K136" s="58"/>
      <c r="L136" s="58"/>
      <c r="M136" s="58"/>
      <c r="N136" s="58"/>
    </row>
    <row r="137" spans="2:24" ht="54" x14ac:dyDescent="0.25">
      <c r="B137" s="221" t="s">
        <v>467</v>
      </c>
      <c r="C137" s="160" t="s">
        <v>797</v>
      </c>
      <c r="D137" s="188" t="s">
        <v>591</v>
      </c>
      <c r="E137" s="258">
        <f>E135/E128</f>
        <v>0.40701971402326836</v>
      </c>
      <c r="F137" s="258">
        <f>F135/F128</f>
        <v>0.77213591425202166</v>
      </c>
      <c r="G137" s="258">
        <f>G135/G128</f>
        <v>0.27493547348148734</v>
      </c>
      <c r="H137" s="222">
        <v>0.32500000000000001</v>
      </c>
      <c r="I137" s="222">
        <f>I135/I128</f>
        <v>0.80784703710365624</v>
      </c>
      <c r="J137" s="222">
        <f>J135/J128</f>
        <v>0.14185480525064356</v>
      </c>
      <c r="K137" s="222">
        <v>0.29199999999999998</v>
      </c>
      <c r="L137" s="222">
        <f>L135/L128</f>
        <v>0.79257174846881151</v>
      </c>
      <c r="M137" s="222">
        <f>M135/M128</f>
        <v>7.245676325623597E-2</v>
      </c>
      <c r="N137" s="222">
        <v>0.26200000000000001</v>
      </c>
      <c r="O137" s="14"/>
      <c r="P137" s="14"/>
      <c r="Q137" s="14"/>
      <c r="R137" s="14"/>
      <c r="S137" s="14"/>
      <c r="T137" s="14"/>
      <c r="U137" s="14"/>
      <c r="V137" s="14"/>
      <c r="W137" s="14"/>
      <c r="X137" s="14"/>
    </row>
    <row r="139" spans="2:24" x14ac:dyDescent="0.25">
      <c r="B139" s="39"/>
      <c r="C139" s="11"/>
      <c r="D139" s="11"/>
      <c r="E139" s="390"/>
      <c r="F139" s="11"/>
      <c r="G139" s="38"/>
      <c r="H139" s="38"/>
      <c r="I139" s="38"/>
      <c r="J139" s="40"/>
      <c r="K139" s="40"/>
      <c r="L139" s="40"/>
      <c r="M139" s="14"/>
      <c r="N139" s="14"/>
      <c r="O139" s="14"/>
      <c r="P139" s="14"/>
      <c r="Q139" s="14"/>
      <c r="R139" s="14"/>
      <c r="S139" s="14"/>
      <c r="T139" s="14"/>
      <c r="U139" s="14"/>
      <c r="V139" s="14"/>
      <c r="W139" s="14"/>
      <c r="X139" s="14"/>
    </row>
    <row r="140" spans="2:24" x14ac:dyDescent="0.25">
      <c r="B140" s="11"/>
      <c r="C140" s="11"/>
      <c r="D140" s="11"/>
      <c r="E140" s="11"/>
      <c r="F140" s="11"/>
      <c r="G140" s="38"/>
      <c r="H140" s="38"/>
      <c r="I140" s="38"/>
      <c r="J140" s="40"/>
      <c r="K140" s="40"/>
      <c r="L140" s="40"/>
      <c r="M140" s="14"/>
      <c r="N140" s="14"/>
      <c r="O140" s="14"/>
      <c r="P140" s="14"/>
      <c r="Q140" s="14"/>
      <c r="R140" s="14"/>
      <c r="S140" s="14"/>
      <c r="T140" s="14"/>
      <c r="U140" s="14"/>
      <c r="V140" s="14"/>
      <c r="W140" s="14"/>
      <c r="X140" s="14"/>
    </row>
    <row r="141" spans="2:24" x14ac:dyDescent="0.25">
      <c r="B141" s="11"/>
      <c r="C141" s="11"/>
      <c r="D141" s="11"/>
      <c r="E141" s="11"/>
      <c r="F141" s="11"/>
      <c r="G141" s="38"/>
      <c r="H141" s="38"/>
      <c r="I141" s="38"/>
      <c r="J141" s="40"/>
      <c r="K141" s="40"/>
      <c r="L141" s="40"/>
      <c r="M141" s="14"/>
      <c r="N141" s="14"/>
      <c r="O141" s="14"/>
      <c r="P141" s="14"/>
      <c r="Q141" s="14"/>
      <c r="R141" s="14"/>
      <c r="S141" s="14"/>
      <c r="T141" s="14"/>
      <c r="U141" s="14"/>
      <c r="V141" s="14"/>
      <c r="W141" s="14"/>
      <c r="X141" s="14"/>
    </row>
    <row r="142" spans="2:24" ht="19.5" x14ac:dyDescent="0.25">
      <c r="B142" s="243" t="s">
        <v>667</v>
      </c>
      <c r="C142" s="244" t="s">
        <v>798</v>
      </c>
      <c r="D142" s="260" t="s">
        <v>430</v>
      </c>
      <c r="E142" s="245" t="s">
        <v>433</v>
      </c>
      <c r="F142" s="11"/>
      <c r="G142" s="38"/>
      <c r="H142" s="38"/>
      <c r="I142" s="38"/>
    </row>
    <row r="143" spans="2:24" x14ac:dyDescent="0.25">
      <c r="B143" s="188" t="s">
        <v>669</v>
      </c>
      <c r="C143" s="161" t="s">
        <v>799</v>
      </c>
      <c r="D143" s="188" t="s">
        <v>670</v>
      </c>
      <c r="E143" s="259">
        <v>0</v>
      </c>
      <c r="F143" s="11"/>
      <c r="G143" s="38"/>
      <c r="H143" s="38"/>
      <c r="I143" s="38"/>
    </row>
    <row r="144" spans="2:24" x14ac:dyDescent="0.25">
      <c r="F144" s="11"/>
      <c r="G144" s="38"/>
      <c r="H144" s="38"/>
      <c r="I144" s="38"/>
    </row>
  </sheetData>
  <sheetProtection algorithmName="SHA-512" hashValue="ncV2Fzcksu9IE5p/28rilQA0Me1bDybhY2Zc7qI8jse48ve/nCkZzTrvy1Qo/S2VSqStzEwov4GZurhlVkIkcA==" saltValue="823fp15nB04Wx2qE8jfmDQ==" spinCount="100000" sheet="1" objects="1" scenarios="1"/>
  <mergeCells count="20">
    <mergeCell ref="E115:G115"/>
    <mergeCell ref="H115:J115"/>
    <mergeCell ref="K115:M115"/>
    <mergeCell ref="B4:L4"/>
    <mergeCell ref="E8:G8"/>
    <mergeCell ref="E109:G109"/>
    <mergeCell ref="H109:J109"/>
    <mergeCell ref="K109:M109"/>
    <mergeCell ref="G45:I45"/>
    <mergeCell ref="J45:O45"/>
    <mergeCell ref="G107:I107"/>
    <mergeCell ref="J107:O107"/>
    <mergeCell ref="G6:I6"/>
    <mergeCell ref="H8:J8"/>
    <mergeCell ref="K8:M8"/>
    <mergeCell ref="B106:G106"/>
    <mergeCell ref="B2:N2"/>
    <mergeCell ref="B8:B9"/>
    <mergeCell ref="C8:C9"/>
    <mergeCell ref="D8:D9"/>
  </mergeCells>
  <phoneticPr fontId="3" type="noConversion"/>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53C5-3E4C-400D-86F1-0714C04F89B5}">
  <sheetPr codeName="Sheet19">
    <tabColor theme="7"/>
    <pageSetUpPr fitToPage="1"/>
  </sheetPr>
  <dimension ref="A1:AE193"/>
  <sheetViews>
    <sheetView zoomScale="80" zoomScaleNormal="80" workbookViewId="0"/>
  </sheetViews>
  <sheetFormatPr defaultColWidth="9.1796875" defaultRowHeight="14.25" customHeight="1" x14ac:dyDescent="0.25"/>
  <cols>
    <col min="1" max="1" width="8.81640625" style="2" customWidth="1"/>
    <col min="2" max="2" width="106.453125" style="9" customWidth="1"/>
    <col min="3" max="4" width="15.54296875" style="9" customWidth="1"/>
    <col min="5" max="5" width="14.81640625" style="9" customWidth="1"/>
    <col min="6" max="6" width="15.453125" style="9" customWidth="1"/>
    <col min="7" max="7" width="15.1796875" style="9" customWidth="1"/>
    <col min="8" max="9" width="14.81640625" style="9" customWidth="1"/>
    <col min="10" max="10" width="14.453125" style="9" customWidth="1"/>
    <col min="11" max="12" width="14.81640625" style="9" customWidth="1"/>
    <col min="13" max="13" width="14.453125" style="9" customWidth="1"/>
    <col min="14" max="14" width="13.81640625" style="9" customWidth="1"/>
    <col min="15" max="15" width="16.54296875" style="9" customWidth="1"/>
    <col min="16" max="16" width="14.54296875" style="9" bestFit="1" customWidth="1"/>
    <col min="17" max="17" width="13.54296875" style="2" customWidth="1"/>
    <col min="18" max="18" width="11.81640625" style="2" bestFit="1" customWidth="1"/>
    <col min="19" max="19" width="14.54296875" style="2" customWidth="1"/>
    <col min="20" max="20" width="13.81640625" style="2" customWidth="1"/>
    <col min="21" max="21" width="13.453125" style="2" customWidth="1"/>
    <col min="22" max="22" width="16.1796875" style="2" bestFit="1" customWidth="1"/>
    <col min="23" max="23" width="9.81640625" style="2" bestFit="1" customWidth="1"/>
    <col min="24" max="16384" width="9.1796875" style="2"/>
  </cols>
  <sheetData>
    <row r="1" spans="1:28" ht="15" customHeight="1" x14ac:dyDescent="0.6">
      <c r="A1" s="60"/>
    </row>
    <row r="2" spans="1:28" ht="74.150000000000006" customHeight="1" x14ac:dyDescent="0.6">
      <c r="A2" s="60"/>
      <c r="B2" s="1190" t="s">
        <v>23</v>
      </c>
      <c r="C2" s="1190"/>
      <c r="D2" s="1190"/>
      <c r="E2" s="1190"/>
      <c r="F2" s="1190"/>
      <c r="G2" s="1190"/>
      <c r="H2" s="1190"/>
      <c r="I2" s="1190"/>
      <c r="J2" s="1190"/>
      <c r="K2" s="1190"/>
      <c r="L2" s="1190"/>
      <c r="M2" s="1190"/>
      <c r="N2" s="1190"/>
      <c r="O2" s="1190"/>
      <c r="P2" s="1190"/>
      <c r="Q2" s="1190"/>
      <c r="R2" s="1190"/>
      <c r="S2" s="1190"/>
    </row>
    <row r="4" spans="1:28" ht="49" customHeight="1" x14ac:dyDescent="0.25">
      <c r="B4" s="1609" t="s">
        <v>1449</v>
      </c>
      <c r="C4" s="1610"/>
      <c r="D4" s="1610"/>
      <c r="E4" s="1610"/>
      <c r="F4" s="1610"/>
      <c r="G4" s="1610"/>
      <c r="H4" s="1610"/>
      <c r="I4" s="1610"/>
      <c r="J4" s="1610"/>
      <c r="K4" s="1610"/>
      <c r="L4" s="1610"/>
      <c r="M4" s="1610"/>
      <c r="N4" s="1191"/>
      <c r="P4" s="1191"/>
    </row>
    <row r="5" spans="1:28" ht="13.5" x14ac:dyDescent="0.25">
      <c r="B5" s="1192"/>
      <c r="C5" s="1192"/>
      <c r="D5" s="1192"/>
      <c r="E5" s="1192"/>
      <c r="F5" s="1192"/>
      <c r="G5" s="1192"/>
      <c r="H5" s="1192"/>
      <c r="I5" s="1192"/>
      <c r="J5" s="1192"/>
      <c r="K5" s="1192"/>
      <c r="L5" s="1192"/>
      <c r="M5" s="1192"/>
      <c r="N5" s="1192"/>
      <c r="P5" s="1192"/>
    </row>
    <row r="6" spans="1:28" ht="17.5" x14ac:dyDescent="0.25">
      <c r="B6" s="1193" t="s">
        <v>800</v>
      </c>
      <c r="C6" s="633" t="s">
        <v>431</v>
      </c>
      <c r="D6" s="707" t="s">
        <v>432</v>
      </c>
      <c r="E6" s="707" t="s">
        <v>433</v>
      </c>
      <c r="F6" s="707" t="s">
        <v>434</v>
      </c>
      <c r="G6" s="707" t="s">
        <v>435</v>
      </c>
      <c r="H6" s="61"/>
      <c r="I6" s="61"/>
      <c r="J6" s="61"/>
      <c r="K6" s="61"/>
      <c r="L6" s="61"/>
      <c r="M6" s="61"/>
      <c r="N6" s="61"/>
    </row>
    <row r="7" spans="1:28" ht="16.5" x14ac:dyDescent="0.25">
      <c r="B7" s="1194" t="s">
        <v>801</v>
      </c>
      <c r="C7" s="1195">
        <f>C8+C11+C12</f>
        <v>11064</v>
      </c>
      <c r="D7" s="1196">
        <f>D8+D11+D12</f>
        <v>13863</v>
      </c>
      <c r="E7" s="1197">
        <f>E8+E11+E12</f>
        <v>14472</v>
      </c>
      <c r="F7" s="1197">
        <f>F8+F11+F12</f>
        <v>14345</v>
      </c>
      <c r="G7" s="1197">
        <f>G8+G11+G12</f>
        <v>14583</v>
      </c>
      <c r="H7" s="61"/>
      <c r="I7" s="61"/>
      <c r="J7" s="61"/>
      <c r="K7" s="61"/>
      <c r="L7" s="61"/>
      <c r="M7" s="61"/>
      <c r="N7" s="61"/>
      <c r="P7" s="61"/>
    </row>
    <row r="8" spans="1:28" ht="15" x14ac:dyDescent="0.25">
      <c r="A8" s="1198"/>
      <c r="B8" s="1199" t="s">
        <v>802</v>
      </c>
      <c r="C8" s="1200">
        <v>10156</v>
      </c>
      <c r="D8" s="1201">
        <v>11685</v>
      </c>
      <c r="E8" s="1202">
        <f>L36</f>
        <v>12638</v>
      </c>
      <c r="F8" s="1203">
        <f>O36</f>
        <v>13430</v>
      </c>
      <c r="G8" s="1203">
        <f>R36</f>
        <v>13641</v>
      </c>
      <c r="H8" s="61"/>
      <c r="I8" s="61"/>
      <c r="J8" s="61"/>
      <c r="K8" s="61"/>
      <c r="L8" s="61"/>
      <c r="M8" s="61"/>
      <c r="N8" s="61"/>
      <c r="P8" s="61"/>
    </row>
    <row r="9" spans="1:28" ht="15" x14ac:dyDescent="0.3">
      <c r="A9" s="1198"/>
      <c r="B9" s="1409" t="s">
        <v>803</v>
      </c>
      <c r="C9" s="1200">
        <v>9884</v>
      </c>
      <c r="D9" s="1201">
        <v>11390</v>
      </c>
      <c r="E9" s="1204">
        <v>12315</v>
      </c>
      <c r="F9" s="1117"/>
      <c r="G9" s="1117"/>
      <c r="H9" s="61"/>
      <c r="I9" s="61"/>
      <c r="J9" s="61"/>
      <c r="K9" s="61"/>
      <c r="L9" s="61"/>
      <c r="M9" s="61"/>
      <c r="N9" s="61"/>
      <c r="P9" s="61"/>
    </row>
    <row r="10" spans="1:28" ht="15" x14ac:dyDescent="0.3">
      <c r="A10" s="1198"/>
      <c r="B10" s="1409" t="s">
        <v>804</v>
      </c>
      <c r="C10" s="1200">
        <v>272</v>
      </c>
      <c r="D10" s="1201">
        <v>295</v>
      </c>
      <c r="E10" s="1204">
        <v>323</v>
      </c>
      <c r="F10" s="1117"/>
      <c r="G10" s="1117"/>
      <c r="H10" s="61"/>
      <c r="I10" s="61"/>
      <c r="J10" s="61"/>
      <c r="K10" s="61"/>
      <c r="L10" s="61"/>
      <c r="M10" s="61"/>
      <c r="N10" s="61"/>
      <c r="P10" s="61"/>
    </row>
    <row r="11" spans="1:28" ht="15" x14ac:dyDescent="0.25">
      <c r="A11" s="1205"/>
      <c r="B11" s="1199" t="s">
        <v>805</v>
      </c>
      <c r="C11" s="1200">
        <v>521</v>
      </c>
      <c r="D11" s="1206">
        <v>905</v>
      </c>
      <c r="E11" s="1207">
        <v>949</v>
      </c>
      <c r="F11" s="1117"/>
      <c r="G11" s="1117"/>
      <c r="H11" s="61"/>
      <c r="I11" s="61"/>
      <c r="J11" s="61"/>
      <c r="K11" s="61"/>
      <c r="L11" s="61"/>
      <c r="M11" s="61"/>
      <c r="N11" s="61"/>
      <c r="P11" s="61"/>
    </row>
    <row r="12" spans="1:28" ht="15" x14ac:dyDescent="0.25">
      <c r="A12" s="1205"/>
      <c r="B12" s="1199" t="s">
        <v>806</v>
      </c>
      <c r="C12" s="1200">
        <v>387</v>
      </c>
      <c r="D12" s="1206">
        <v>1273</v>
      </c>
      <c r="E12" s="1208">
        <v>885</v>
      </c>
      <c r="F12" s="1209">
        <v>915</v>
      </c>
      <c r="G12" s="1209">
        <v>942</v>
      </c>
      <c r="H12" s="1210"/>
      <c r="I12" s="1192"/>
      <c r="J12" s="1192"/>
      <c r="K12" s="1192"/>
      <c r="L12" s="1192"/>
      <c r="M12" s="1192"/>
      <c r="N12" s="1192"/>
      <c r="O12" s="1192"/>
      <c r="P12" s="1192"/>
    </row>
    <row r="13" spans="1:28" ht="13.5" x14ac:dyDescent="0.25">
      <c r="B13" s="61"/>
      <c r="C13" s="1211"/>
      <c r="D13" s="1211"/>
      <c r="E13" s="1211"/>
      <c r="F13" s="1211"/>
      <c r="G13" s="1211"/>
      <c r="H13" s="61"/>
      <c r="I13" s="61"/>
      <c r="J13" s="61"/>
      <c r="K13" s="61"/>
      <c r="L13" s="61"/>
      <c r="M13" s="61"/>
      <c r="N13" s="61"/>
      <c r="O13" s="61"/>
      <c r="P13" s="61"/>
    </row>
    <row r="14" spans="1:28" ht="17.5" x14ac:dyDescent="0.25">
      <c r="B14" s="1212" t="s">
        <v>807</v>
      </c>
      <c r="C14" s="1621" t="s">
        <v>431</v>
      </c>
      <c r="D14" s="1621"/>
      <c r="E14" s="1621"/>
      <c r="F14" s="1621"/>
      <c r="G14" s="1603" t="s">
        <v>432</v>
      </c>
      <c r="H14" s="1603"/>
      <c r="I14" s="1603"/>
      <c r="J14" s="1603" t="s">
        <v>433</v>
      </c>
      <c r="K14" s="1603"/>
      <c r="L14" s="1603"/>
      <c r="M14" s="1603" t="s">
        <v>434</v>
      </c>
      <c r="N14" s="1603"/>
      <c r="O14" s="1603"/>
      <c r="P14" s="1603" t="s">
        <v>435</v>
      </c>
      <c r="Q14" s="1603"/>
      <c r="R14" s="1603"/>
      <c r="S14" s="1604" t="s">
        <v>808</v>
      </c>
      <c r="U14" s="61"/>
      <c r="V14" s="61"/>
    </row>
    <row r="15" spans="1:28" ht="28.5" customHeight="1" x14ac:dyDescent="0.25">
      <c r="A15" s="9"/>
      <c r="B15" s="1213" t="s">
        <v>809</v>
      </c>
      <c r="C15" s="1214" t="s">
        <v>810</v>
      </c>
      <c r="D15" s="1214" t="s">
        <v>811</v>
      </c>
      <c r="E15" s="1214" t="s">
        <v>812</v>
      </c>
      <c r="F15" s="1214" t="s">
        <v>708</v>
      </c>
      <c r="G15" s="1214" t="s">
        <v>810</v>
      </c>
      <c r="H15" s="1214" t="s">
        <v>811</v>
      </c>
      <c r="I15" s="1214" t="s">
        <v>708</v>
      </c>
      <c r="J15" s="1214" t="s">
        <v>810</v>
      </c>
      <c r="K15" s="1214" t="s">
        <v>811</v>
      </c>
      <c r="L15" s="1214" t="s">
        <v>708</v>
      </c>
      <c r="M15" s="1214" t="s">
        <v>810</v>
      </c>
      <c r="N15" s="1214" t="s">
        <v>811</v>
      </c>
      <c r="O15" s="1214" t="s">
        <v>708</v>
      </c>
      <c r="P15" s="1214" t="s">
        <v>810</v>
      </c>
      <c r="Q15" s="1214" t="s">
        <v>811</v>
      </c>
      <c r="R15" s="1214" t="s">
        <v>708</v>
      </c>
      <c r="S15" s="1604"/>
      <c r="U15" s="1215"/>
      <c r="V15" s="6"/>
      <c r="W15" s="6"/>
      <c r="X15" s="6"/>
      <c r="Y15" s="6"/>
      <c r="Z15" s="6"/>
      <c r="AA15" s="6"/>
      <c r="AB15" s="6"/>
    </row>
    <row r="16" spans="1:28" ht="15" hidden="1" customHeight="1" x14ac:dyDescent="0.3">
      <c r="A16" s="9"/>
      <c r="B16" s="1216" t="s">
        <v>814</v>
      </c>
      <c r="C16" s="1217"/>
      <c r="D16" s="1217"/>
      <c r="E16" s="1217"/>
      <c r="F16" s="1217"/>
      <c r="G16" s="1218"/>
      <c r="H16" s="1218"/>
      <c r="I16" s="1218"/>
      <c r="J16" s="1218"/>
      <c r="K16" s="1218"/>
      <c r="L16" s="1218"/>
      <c r="M16" s="1218"/>
      <c r="N16" s="1218"/>
      <c r="O16" s="1218"/>
      <c r="P16" s="1218"/>
      <c r="Q16" s="1218"/>
      <c r="R16" s="1218"/>
      <c r="S16" s="1219"/>
      <c r="T16" s="92"/>
      <c r="U16" s="1215"/>
      <c r="V16" s="6"/>
      <c r="W16" s="6"/>
      <c r="X16" s="6"/>
      <c r="Y16" s="6"/>
      <c r="Z16" s="6"/>
      <c r="AA16" s="6"/>
      <c r="AB16" s="6"/>
    </row>
    <row r="17" spans="1:31" ht="15" hidden="1" x14ac:dyDescent="0.3">
      <c r="A17" s="9"/>
      <c r="B17" s="527" t="s">
        <v>815</v>
      </c>
      <c r="C17" s="1220"/>
      <c r="D17" s="1220"/>
      <c r="E17" s="1220"/>
      <c r="F17" s="1220"/>
      <c r="G17" s="1221"/>
      <c r="H17" s="1221"/>
      <c r="I17" s="1221"/>
      <c r="J17" s="1606">
        <v>1116</v>
      </c>
      <c r="K17" s="1606">
        <v>2798</v>
      </c>
      <c r="L17" s="1606">
        <f>SUM(J17:K17)</f>
        <v>3914</v>
      </c>
      <c r="M17" s="1606">
        <v>2333</v>
      </c>
      <c r="N17" s="1606">
        <v>4901</v>
      </c>
      <c r="O17" s="1606">
        <f>SUM(M17:N17)</f>
        <v>7234</v>
      </c>
      <c r="P17" s="1606">
        <v>2344</v>
      </c>
      <c r="Q17" s="1606">
        <v>5229</v>
      </c>
      <c r="R17" s="1606">
        <f>P17+Q17</f>
        <v>7573</v>
      </c>
      <c r="S17" s="1219">
        <f t="shared" ref="S17:S22" si="0">J17/L17</f>
        <v>0.28513030148185997</v>
      </c>
      <c r="T17" s="1612"/>
      <c r="U17" s="1611"/>
      <c r="V17" s="6" t="str">
        <f>B17</f>
        <v xml:space="preserve">UK </v>
      </c>
      <c r="W17" s="1222">
        <f>L17+L24</f>
        <v>4079</v>
      </c>
      <c r="X17" s="6"/>
      <c r="Y17" s="6"/>
      <c r="Z17" s="6"/>
      <c r="AA17" s="6"/>
      <c r="AB17" s="6"/>
    </row>
    <row r="18" spans="1:31" ht="15" hidden="1" x14ac:dyDescent="0.3">
      <c r="A18" s="9"/>
      <c r="B18" s="527" t="s">
        <v>816</v>
      </c>
      <c r="C18" s="1220"/>
      <c r="D18" s="1220"/>
      <c r="E18" s="1220"/>
      <c r="F18" s="1220"/>
      <c r="G18" s="1221"/>
      <c r="H18" s="1221"/>
      <c r="I18" s="1221"/>
      <c r="J18" s="1606">
        <v>1088</v>
      </c>
      <c r="K18" s="1606">
        <v>1602</v>
      </c>
      <c r="L18" s="1606">
        <f>SUM(J18:K18)</f>
        <v>2690</v>
      </c>
      <c r="M18" s="1606"/>
      <c r="N18" s="1606"/>
      <c r="O18" s="1606"/>
      <c r="P18" s="1606"/>
      <c r="Q18" s="1606"/>
      <c r="R18" s="1606"/>
      <c r="S18" s="1219">
        <f t="shared" si="0"/>
        <v>0.40446096654275093</v>
      </c>
      <c r="T18" s="1612"/>
      <c r="U18" s="1611"/>
      <c r="V18" s="6" t="str">
        <f>B18</f>
        <v>Rest of Europe</v>
      </c>
      <c r="W18" s="1222">
        <f>L18+L25</f>
        <v>2858</v>
      </c>
      <c r="X18" s="6"/>
      <c r="Y18" s="6"/>
      <c r="Z18" s="6"/>
      <c r="AA18" s="6"/>
      <c r="AB18" s="6"/>
    </row>
    <row r="19" spans="1:31" ht="15" hidden="1" x14ac:dyDescent="0.3">
      <c r="A19" s="9"/>
      <c r="B19" s="527" t="s">
        <v>817</v>
      </c>
      <c r="C19" s="1220"/>
      <c r="D19" s="1220"/>
      <c r="E19" s="1220"/>
      <c r="F19" s="1220"/>
      <c r="G19" s="1221"/>
      <c r="H19" s="1221"/>
      <c r="I19" s="1221"/>
      <c r="J19" s="1221">
        <v>554</v>
      </c>
      <c r="K19" s="1221">
        <v>1606</v>
      </c>
      <c r="L19" s="1221">
        <f>SUM(J19:K19)</f>
        <v>2160</v>
      </c>
      <c r="M19" s="1221">
        <v>685</v>
      </c>
      <c r="N19" s="1221">
        <v>2076</v>
      </c>
      <c r="O19" s="1221">
        <f>SUM(M19:N19)</f>
        <v>2761</v>
      </c>
      <c r="P19" s="1221">
        <v>660</v>
      </c>
      <c r="Q19" s="1221">
        <v>2078</v>
      </c>
      <c r="R19" s="1221">
        <f>P19+Q19</f>
        <v>2738</v>
      </c>
      <c r="S19" s="1219">
        <f t="shared" si="0"/>
        <v>0.25648148148148148</v>
      </c>
      <c r="T19" s="94"/>
      <c r="U19" s="1223"/>
      <c r="V19" s="6" t="str">
        <f>B19</f>
        <v>North America</v>
      </c>
      <c r="W19" s="1222">
        <f>L19+L26</f>
        <v>2186</v>
      </c>
      <c r="X19" s="6"/>
      <c r="Y19" s="6"/>
      <c r="Z19" s="6"/>
      <c r="AA19" s="6"/>
      <c r="AB19" s="6"/>
    </row>
    <row r="20" spans="1:31" ht="15" hidden="1" x14ac:dyDescent="0.3">
      <c r="A20" s="9"/>
      <c r="B20" s="527" t="s">
        <v>818</v>
      </c>
      <c r="C20" s="1220"/>
      <c r="D20" s="1220"/>
      <c r="E20" s="1220"/>
      <c r="F20" s="1220"/>
      <c r="G20" s="1221"/>
      <c r="H20" s="1221"/>
      <c r="I20" s="1221"/>
      <c r="J20" s="1221">
        <v>537</v>
      </c>
      <c r="K20" s="1221">
        <v>1902</v>
      </c>
      <c r="L20" s="1221">
        <f>SUM(J20:K20)</f>
        <v>2439</v>
      </c>
      <c r="M20" s="1221">
        <v>510</v>
      </c>
      <c r="N20" s="1221">
        <v>1965</v>
      </c>
      <c r="O20" s="1221">
        <f>SUM(M20:N20)</f>
        <v>2475</v>
      </c>
      <c r="P20" s="1221">
        <v>441</v>
      </c>
      <c r="Q20" s="1221">
        <v>1913</v>
      </c>
      <c r="R20" s="1221">
        <f>P20+Q20</f>
        <v>2354</v>
      </c>
      <c r="S20" s="1219">
        <f t="shared" si="0"/>
        <v>0.22017220172201721</v>
      </c>
      <c r="T20" s="94"/>
      <c r="U20" s="1223"/>
      <c r="V20" s="6" t="str">
        <f>B20</f>
        <v>Asia</v>
      </c>
      <c r="W20" s="1222">
        <f>L20+L27</f>
        <v>2459</v>
      </c>
      <c r="X20" s="6"/>
      <c r="Y20" s="6"/>
      <c r="Z20" s="6"/>
      <c r="AA20" s="6"/>
      <c r="AB20" s="6"/>
    </row>
    <row r="21" spans="1:31" ht="15" hidden="1" x14ac:dyDescent="0.3">
      <c r="A21" s="9"/>
      <c r="B21" s="527" t="s">
        <v>819</v>
      </c>
      <c r="C21" s="1220"/>
      <c r="D21" s="1220"/>
      <c r="E21" s="1220"/>
      <c r="F21" s="1220"/>
      <c r="G21" s="1221"/>
      <c r="H21" s="1221"/>
      <c r="I21" s="1221"/>
      <c r="J21" s="1221">
        <v>280</v>
      </c>
      <c r="K21" s="1221">
        <v>701</v>
      </c>
      <c r="L21" s="1221">
        <f>SUM(J21:K21)</f>
        <v>981</v>
      </c>
      <c r="M21" s="1221">
        <v>200</v>
      </c>
      <c r="N21" s="1221">
        <v>410</v>
      </c>
      <c r="O21" s="1221">
        <f>SUM(M21:N21)</f>
        <v>610</v>
      </c>
      <c r="P21" s="1221">
        <v>198</v>
      </c>
      <c r="Q21" s="1221">
        <v>396</v>
      </c>
      <c r="R21" s="1221">
        <f>P21+Q21</f>
        <v>594</v>
      </c>
      <c r="S21" s="1219">
        <f t="shared" si="0"/>
        <v>0.2854230377166157</v>
      </c>
      <c r="T21" s="94"/>
      <c r="U21" s="1223"/>
      <c r="V21" s="6" t="str">
        <f>B21</f>
        <v>Rest of World</v>
      </c>
      <c r="W21" s="1222">
        <f>L21+L28</f>
        <v>1056</v>
      </c>
      <c r="X21" s="6"/>
      <c r="Y21" s="6"/>
      <c r="Z21" s="6"/>
      <c r="AA21" s="6"/>
      <c r="AB21" s="6"/>
    </row>
    <row r="22" spans="1:31" ht="15" hidden="1" x14ac:dyDescent="0.3">
      <c r="A22" s="9"/>
      <c r="B22" s="1224" t="s">
        <v>820</v>
      </c>
      <c r="C22" s="1225"/>
      <c r="D22" s="1225"/>
      <c r="E22" s="1225"/>
      <c r="F22" s="1225"/>
      <c r="G22" s="1221"/>
      <c r="H22" s="1221"/>
      <c r="I22" s="1221"/>
      <c r="J22" s="1221">
        <f t="shared" ref="J22:R22" si="1">SUM(J17:J21)</f>
        <v>3575</v>
      </c>
      <c r="K22" s="1221">
        <f t="shared" si="1"/>
        <v>8609</v>
      </c>
      <c r="L22" s="1221">
        <f t="shared" si="1"/>
        <v>12184</v>
      </c>
      <c r="M22" s="1221">
        <f t="shared" si="1"/>
        <v>3728</v>
      </c>
      <c r="N22" s="1221">
        <f t="shared" si="1"/>
        <v>9352</v>
      </c>
      <c r="O22" s="1221">
        <f t="shared" si="1"/>
        <v>13080</v>
      </c>
      <c r="P22" s="1221">
        <f t="shared" si="1"/>
        <v>3643</v>
      </c>
      <c r="Q22" s="1221">
        <f t="shared" si="1"/>
        <v>9616</v>
      </c>
      <c r="R22" s="1221">
        <f t="shared" si="1"/>
        <v>13259</v>
      </c>
      <c r="S22" s="1219">
        <f t="shared" si="0"/>
        <v>0.29341759684832569</v>
      </c>
      <c r="T22" s="95"/>
      <c r="U22" s="96"/>
      <c r="V22" s="6"/>
      <c r="W22" s="1222"/>
      <c r="X22" s="6"/>
      <c r="Y22" s="6"/>
      <c r="Z22" s="6"/>
      <c r="AA22" s="6"/>
      <c r="AB22" s="6"/>
    </row>
    <row r="23" spans="1:31" ht="15" hidden="1" x14ac:dyDescent="0.25">
      <c r="A23" s="9"/>
      <c r="B23" s="1216" t="s">
        <v>821</v>
      </c>
      <c r="C23" s="1217"/>
      <c r="D23" s="1217"/>
      <c r="E23" s="1217"/>
      <c r="F23" s="1217"/>
      <c r="G23" s="1226"/>
      <c r="H23" s="1226"/>
      <c r="I23" s="1226"/>
      <c r="J23" s="1226"/>
      <c r="K23" s="1226"/>
      <c r="L23" s="1226"/>
      <c r="M23" s="1226"/>
      <c r="N23" s="1226"/>
      <c r="O23" s="1226"/>
      <c r="P23" s="1226"/>
      <c r="Q23" s="1226"/>
      <c r="R23" s="1226"/>
      <c r="S23" s="1219"/>
      <c r="T23" s="92"/>
      <c r="U23" s="1215"/>
      <c r="V23" s="6"/>
      <c r="W23" s="6"/>
      <c r="X23" s="6"/>
      <c r="Y23" s="6"/>
      <c r="Z23" s="6"/>
      <c r="AA23" s="6"/>
      <c r="AB23" s="6"/>
    </row>
    <row r="24" spans="1:31" ht="15.5" hidden="1" x14ac:dyDescent="0.35">
      <c r="A24" s="9"/>
      <c r="B24" s="527" t="s">
        <v>815</v>
      </c>
      <c r="C24" s="1220"/>
      <c r="D24" s="1220"/>
      <c r="E24" s="1220"/>
      <c r="F24" s="1220"/>
      <c r="G24" s="1221"/>
      <c r="H24" s="1221"/>
      <c r="I24" s="1221"/>
      <c r="J24" s="1606">
        <v>64</v>
      </c>
      <c r="K24" s="1606">
        <v>101</v>
      </c>
      <c r="L24" s="1606">
        <f>SUM(J24:K24)</f>
        <v>165</v>
      </c>
      <c r="M24" s="1606">
        <v>102</v>
      </c>
      <c r="N24" s="1606">
        <v>104</v>
      </c>
      <c r="O24" s="1606">
        <f>SUM(M24:N24)</f>
        <v>206</v>
      </c>
      <c r="P24" s="1606">
        <v>103</v>
      </c>
      <c r="Q24" s="1606">
        <v>154</v>
      </c>
      <c r="R24" s="1606">
        <f>P24+Q24</f>
        <v>257</v>
      </c>
      <c r="S24" s="1219">
        <f t="shared" ref="S24:S29" si="2">J24/L24</f>
        <v>0.38787878787878788</v>
      </c>
      <c r="T24" s="92"/>
      <c r="U24" s="1215"/>
      <c r="V24" s="1227" t="s">
        <v>822</v>
      </c>
      <c r="W24" s="1228">
        <v>0.54900000000000004</v>
      </c>
      <c r="X24" s="1229">
        <v>0.55000000000000004</v>
      </c>
      <c r="Y24" s="6"/>
      <c r="Z24" s="6"/>
      <c r="AA24" s="6"/>
      <c r="AB24" s="6"/>
    </row>
    <row r="25" spans="1:31" ht="15" hidden="1" x14ac:dyDescent="0.3">
      <c r="A25" s="9"/>
      <c r="B25" s="527" t="s">
        <v>816</v>
      </c>
      <c r="C25" s="1220"/>
      <c r="D25" s="1220"/>
      <c r="E25" s="1220"/>
      <c r="F25" s="1220"/>
      <c r="G25" s="1221"/>
      <c r="H25" s="1221"/>
      <c r="I25" s="1221"/>
      <c r="J25" s="1606">
        <v>77</v>
      </c>
      <c r="K25" s="1606">
        <v>91</v>
      </c>
      <c r="L25" s="1606">
        <f>SUM(J25:K25)</f>
        <v>168</v>
      </c>
      <c r="M25" s="1606"/>
      <c r="N25" s="1606"/>
      <c r="O25" s="1606"/>
      <c r="P25" s="1606"/>
      <c r="Q25" s="1606"/>
      <c r="R25" s="1606"/>
      <c r="S25" s="1219">
        <f t="shared" si="2"/>
        <v>0.45833333333333331</v>
      </c>
      <c r="T25" s="93"/>
      <c r="U25" s="1230"/>
      <c r="V25" s="6" t="s">
        <v>823</v>
      </c>
      <c r="W25" s="1228">
        <v>8.3000000000000004E-2</v>
      </c>
      <c r="X25" s="1229">
        <v>0.08</v>
      </c>
      <c r="Y25" s="6"/>
      <c r="Z25" s="6"/>
      <c r="AA25" s="6"/>
      <c r="AB25" s="6"/>
    </row>
    <row r="26" spans="1:31" ht="15" hidden="1" x14ac:dyDescent="0.3">
      <c r="A26" s="9"/>
      <c r="B26" s="527" t="s">
        <v>817</v>
      </c>
      <c r="C26" s="1220"/>
      <c r="D26" s="1220"/>
      <c r="E26" s="1220"/>
      <c r="F26" s="1220"/>
      <c r="G26" s="1221"/>
      <c r="H26" s="1221"/>
      <c r="I26" s="1221"/>
      <c r="J26" s="1221">
        <v>13</v>
      </c>
      <c r="K26" s="1221">
        <v>13</v>
      </c>
      <c r="L26" s="1221">
        <f>SUM(J26:K26)</f>
        <v>26</v>
      </c>
      <c r="M26" s="1221">
        <v>30</v>
      </c>
      <c r="N26" s="1221">
        <v>44</v>
      </c>
      <c r="O26" s="1221">
        <f>SUM(M26:N26)</f>
        <v>74</v>
      </c>
      <c r="P26" s="1221">
        <v>4</v>
      </c>
      <c r="Q26" s="1221">
        <v>51</v>
      </c>
      <c r="R26" s="1221">
        <f>P26+Q26</f>
        <v>55</v>
      </c>
      <c r="S26" s="1219">
        <f t="shared" si="2"/>
        <v>0.5</v>
      </c>
      <c r="T26" s="93"/>
      <c r="U26" s="1230"/>
      <c r="V26" s="6" t="s">
        <v>824</v>
      </c>
      <c r="W26" s="1228">
        <v>0.111</v>
      </c>
      <c r="X26" s="1229">
        <v>0.11</v>
      </c>
      <c r="Y26" s="6"/>
      <c r="Z26" s="6"/>
      <c r="AA26" s="6"/>
      <c r="AB26" s="6"/>
    </row>
    <row r="27" spans="1:31" s="1231" customFormat="1" ht="15" hidden="1" x14ac:dyDescent="0.3">
      <c r="A27" s="9"/>
      <c r="B27" s="527" t="s">
        <v>818</v>
      </c>
      <c r="C27" s="1220"/>
      <c r="D27" s="1220"/>
      <c r="E27" s="1220"/>
      <c r="F27" s="1220"/>
      <c r="G27" s="1221"/>
      <c r="H27" s="1221"/>
      <c r="I27" s="1221"/>
      <c r="J27" s="1221">
        <v>10</v>
      </c>
      <c r="K27" s="1221">
        <v>10</v>
      </c>
      <c r="L27" s="1221">
        <f>SUM(J27:K27)</f>
        <v>20</v>
      </c>
      <c r="M27" s="1221">
        <v>10</v>
      </c>
      <c r="N27" s="1221">
        <v>12</v>
      </c>
      <c r="O27" s="1221">
        <f>SUM(M27:N27)</f>
        <v>22</v>
      </c>
      <c r="P27" s="1221">
        <v>14</v>
      </c>
      <c r="Q27" s="1221">
        <v>13</v>
      </c>
      <c r="R27" s="1221">
        <f>P27+Q27</f>
        <v>27</v>
      </c>
      <c r="S27" s="1219">
        <f t="shared" si="2"/>
        <v>0.5</v>
      </c>
      <c r="T27" s="93"/>
      <c r="U27" s="1230"/>
      <c r="V27" s="6" t="s">
        <v>817</v>
      </c>
      <c r="W27" s="1228">
        <v>0.17299999999999999</v>
      </c>
      <c r="X27" s="1229">
        <v>0.17</v>
      </c>
      <c r="Y27" s="6"/>
      <c r="Z27" s="6"/>
      <c r="AA27" s="6"/>
      <c r="AB27" s="6"/>
      <c r="AC27" s="2"/>
      <c r="AD27" s="2"/>
      <c r="AE27" s="2"/>
    </row>
    <row r="28" spans="1:31" ht="15" hidden="1" x14ac:dyDescent="0.3">
      <c r="A28" s="9"/>
      <c r="B28" s="527" t="s">
        <v>819</v>
      </c>
      <c r="C28" s="1220"/>
      <c r="D28" s="1220"/>
      <c r="E28" s="1220"/>
      <c r="F28" s="1220"/>
      <c r="G28" s="1221"/>
      <c r="H28" s="1221"/>
      <c r="I28" s="1221"/>
      <c r="J28" s="1221">
        <v>34</v>
      </c>
      <c r="K28" s="1221">
        <v>41</v>
      </c>
      <c r="L28" s="1221">
        <f>SUM(J28:K28)</f>
        <v>75</v>
      </c>
      <c r="M28" s="1221">
        <v>28</v>
      </c>
      <c r="N28" s="1221">
        <v>20</v>
      </c>
      <c r="O28" s="1221">
        <f>SUM(M28:N28)</f>
        <v>48</v>
      </c>
      <c r="P28" s="1221">
        <v>19</v>
      </c>
      <c r="Q28" s="1221">
        <v>24</v>
      </c>
      <c r="R28" s="1221">
        <f>P28+Q28</f>
        <v>43</v>
      </c>
      <c r="S28" s="1219">
        <f t="shared" si="2"/>
        <v>0.45333333333333331</v>
      </c>
      <c r="T28" s="93"/>
      <c r="U28" s="1230"/>
      <c r="V28" s="6" t="s">
        <v>819</v>
      </c>
      <c r="W28" s="1228">
        <v>8.4000000000000005E-2</v>
      </c>
      <c r="X28" s="1229">
        <v>0.09</v>
      </c>
      <c r="Y28" s="6"/>
      <c r="Z28" s="6"/>
      <c r="AA28" s="6"/>
      <c r="AB28" s="6"/>
    </row>
    <row r="29" spans="1:31" ht="15" hidden="1" x14ac:dyDescent="0.3">
      <c r="A29" s="9"/>
      <c r="B29" s="1224" t="s">
        <v>820</v>
      </c>
      <c r="C29" s="1225"/>
      <c r="D29" s="1225"/>
      <c r="E29" s="1225"/>
      <c r="F29" s="1225"/>
      <c r="G29" s="1221"/>
      <c r="H29" s="1221"/>
      <c r="I29" s="1221"/>
      <c r="J29" s="1221">
        <f t="shared" ref="J29:Q29" si="3">SUM(J24:J28)</f>
        <v>198</v>
      </c>
      <c r="K29" s="1221">
        <f t="shared" si="3"/>
        <v>256</v>
      </c>
      <c r="L29" s="1221">
        <f t="shared" si="3"/>
        <v>454</v>
      </c>
      <c r="M29" s="1221">
        <f t="shared" si="3"/>
        <v>170</v>
      </c>
      <c r="N29" s="1221">
        <f t="shared" si="3"/>
        <v>180</v>
      </c>
      <c r="O29" s="1221">
        <f t="shared" si="3"/>
        <v>350</v>
      </c>
      <c r="P29" s="1221">
        <f t="shared" si="3"/>
        <v>140</v>
      </c>
      <c r="Q29" s="1221">
        <f t="shared" si="3"/>
        <v>242</v>
      </c>
      <c r="R29" s="1221">
        <f>P29+Q29</f>
        <v>382</v>
      </c>
      <c r="S29" s="1219">
        <f t="shared" si="2"/>
        <v>0.43612334801762115</v>
      </c>
      <c r="T29" s="61"/>
      <c r="U29" s="1215"/>
      <c r="V29" s="6"/>
      <c r="W29" s="1228">
        <f>SUM(W24:W28)</f>
        <v>0.99999999999999989</v>
      </c>
      <c r="X29" s="1232">
        <f>SUM(X24:X28)</f>
        <v>1</v>
      </c>
      <c r="Y29" s="6"/>
      <c r="Z29" s="6"/>
      <c r="AA29" s="6"/>
      <c r="AB29" s="6"/>
    </row>
    <row r="30" spans="1:31" ht="15" x14ac:dyDescent="0.3">
      <c r="A30" s="9"/>
      <c r="B30" s="1216" t="s">
        <v>825</v>
      </c>
      <c r="C30" s="1233"/>
      <c r="D30" s="1233"/>
      <c r="E30" s="1233"/>
      <c r="F30" s="1233"/>
      <c r="G30" s="961"/>
      <c r="H30" s="961"/>
      <c r="I30" s="961"/>
      <c r="J30" s="962"/>
      <c r="K30" s="962"/>
      <c r="L30" s="962"/>
      <c r="M30" s="962"/>
      <c r="N30" s="962"/>
      <c r="O30" s="962"/>
      <c r="P30" s="962"/>
      <c r="Q30" s="962"/>
      <c r="R30" s="962"/>
      <c r="S30" s="1234"/>
      <c r="T30" s="61"/>
      <c r="U30" s="1215"/>
      <c r="V30" s="6"/>
      <c r="W30" s="6"/>
      <c r="X30" s="6"/>
      <c r="Y30" s="6"/>
      <c r="Z30" s="6"/>
      <c r="AA30" s="6"/>
      <c r="AB30" s="6"/>
      <c r="AC30" s="664"/>
      <c r="AD30" s="664"/>
      <c r="AE30" s="664"/>
    </row>
    <row r="31" spans="1:31" ht="15" x14ac:dyDescent="0.3">
      <c r="A31" s="9"/>
      <c r="B31" s="527" t="s">
        <v>815</v>
      </c>
      <c r="C31" s="1235">
        <v>1018</v>
      </c>
      <c r="D31" s="1235">
        <v>2468</v>
      </c>
      <c r="E31" s="1235">
        <v>0</v>
      </c>
      <c r="F31" s="1235">
        <v>3486</v>
      </c>
      <c r="G31" s="1236">
        <v>1166</v>
      </c>
      <c r="H31" s="1236">
        <v>2713</v>
      </c>
      <c r="I31" s="1236">
        <f t="shared" ref="I31:I40" si="4">SUM(G31:H31)</f>
        <v>3879</v>
      </c>
      <c r="J31" s="1605">
        <f t="shared" ref="J31:R31" si="5">J17+J24</f>
        <v>1180</v>
      </c>
      <c r="K31" s="1605">
        <f t="shared" si="5"/>
        <v>2899</v>
      </c>
      <c r="L31" s="1605">
        <f t="shared" si="5"/>
        <v>4079</v>
      </c>
      <c r="M31" s="1605">
        <f t="shared" si="5"/>
        <v>2435</v>
      </c>
      <c r="N31" s="1605">
        <f t="shared" si="5"/>
        <v>5005</v>
      </c>
      <c r="O31" s="1605">
        <f t="shared" si="5"/>
        <v>7440</v>
      </c>
      <c r="P31" s="1605">
        <f t="shared" si="5"/>
        <v>2447</v>
      </c>
      <c r="Q31" s="1605">
        <f t="shared" si="5"/>
        <v>5383</v>
      </c>
      <c r="R31" s="1605">
        <f t="shared" si="5"/>
        <v>7830</v>
      </c>
      <c r="S31" s="1238">
        <f>C31/F31</f>
        <v>0.29202524383247275</v>
      </c>
      <c r="T31" s="61"/>
      <c r="U31" s="1215"/>
      <c r="V31" s="6" t="str">
        <f>B31</f>
        <v xml:space="preserve">UK </v>
      </c>
      <c r="W31" s="1222">
        <f>F31</f>
        <v>3486</v>
      </c>
      <c r="X31" s="1229">
        <f>F31/$F$36</f>
        <v>0.3432453721937771</v>
      </c>
      <c r="Y31" s="1232">
        <f>X31+X32</f>
        <v>0.57463568333989756</v>
      </c>
      <c r="Z31" s="6" t="str">
        <f>B31</f>
        <v xml:space="preserve">UK </v>
      </c>
      <c r="AA31" s="1239">
        <f>F31/$F$36</f>
        <v>0.3432453721937771</v>
      </c>
      <c r="AB31" s="6"/>
      <c r="AC31" s="664" t="s">
        <v>822</v>
      </c>
      <c r="AD31" s="664"/>
      <c r="AE31" s="1240">
        <f>(F31+F32)/F36</f>
        <v>0.57463568333989756</v>
      </c>
    </row>
    <row r="32" spans="1:31" ht="15" x14ac:dyDescent="0.3">
      <c r="A32" s="9"/>
      <c r="B32" s="527" t="s">
        <v>816</v>
      </c>
      <c r="C32" s="1235">
        <v>869</v>
      </c>
      <c r="D32" s="1235">
        <v>1456</v>
      </c>
      <c r="E32" s="1235">
        <v>25</v>
      </c>
      <c r="F32" s="1235">
        <v>2350</v>
      </c>
      <c r="G32" s="1236">
        <v>1194</v>
      </c>
      <c r="H32" s="1236">
        <v>1682</v>
      </c>
      <c r="I32" s="1236">
        <f t="shared" si="4"/>
        <v>2876</v>
      </c>
      <c r="J32" s="1605">
        <f t="shared" ref="J32:L35" si="6">J18+J25</f>
        <v>1165</v>
      </c>
      <c r="K32" s="1605">
        <f t="shared" si="6"/>
        <v>1693</v>
      </c>
      <c r="L32" s="1605">
        <f t="shared" si="6"/>
        <v>2858</v>
      </c>
      <c r="M32" s="1605"/>
      <c r="N32" s="1605"/>
      <c r="O32" s="1605"/>
      <c r="P32" s="1605"/>
      <c r="Q32" s="1605"/>
      <c r="R32" s="1605"/>
      <c r="S32" s="1238">
        <f>C32/F32</f>
        <v>0.3697872340425532</v>
      </c>
      <c r="T32" s="61"/>
      <c r="U32" s="1215"/>
      <c r="V32" s="6" t="str">
        <f>B32</f>
        <v>Rest of Europe</v>
      </c>
      <c r="W32" s="1222">
        <f>F32</f>
        <v>2350</v>
      </c>
      <c r="X32" s="1229">
        <f>F32/$F$36</f>
        <v>0.23139031114612052</v>
      </c>
      <c r="Y32" s="6"/>
      <c r="Z32" s="6" t="str">
        <f>B32</f>
        <v>Rest of Europe</v>
      </c>
      <c r="AA32" s="1239">
        <f>F32/$F$36</f>
        <v>0.23139031114612052</v>
      </c>
      <c r="AB32" s="6"/>
      <c r="AC32" s="664" t="s">
        <v>817</v>
      </c>
      <c r="AD32" s="664"/>
      <c r="AE32" s="1240">
        <f>F33/F36</f>
        <v>0.19446632532493108</v>
      </c>
    </row>
    <row r="33" spans="1:31" ht="15" x14ac:dyDescent="0.3">
      <c r="A33" s="9"/>
      <c r="B33" s="527" t="s">
        <v>817</v>
      </c>
      <c r="C33" s="1235">
        <v>448</v>
      </c>
      <c r="D33" s="1235">
        <v>1487</v>
      </c>
      <c r="E33" s="1235">
        <v>40</v>
      </c>
      <c r="F33" s="1235">
        <v>1975</v>
      </c>
      <c r="G33" s="1236">
        <v>544</v>
      </c>
      <c r="H33" s="1236">
        <v>1470</v>
      </c>
      <c r="I33" s="1236">
        <f t="shared" si="4"/>
        <v>2014</v>
      </c>
      <c r="J33" s="1237">
        <f t="shared" si="6"/>
        <v>567</v>
      </c>
      <c r="K33" s="1237">
        <f t="shared" si="6"/>
        <v>1619</v>
      </c>
      <c r="L33" s="1237">
        <f t="shared" si="6"/>
        <v>2186</v>
      </c>
      <c r="M33" s="1237">
        <f t="shared" ref="M33:R35" si="7">M19+M26</f>
        <v>715</v>
      </c>
      <c r="N33" s="1237">
        <f t="shared" si="7"/>
        <v>2120</v>
      </c>
      <c r="O33" s="1237">
        <f t="shared" si="7"/>
        <v>2835</v>
      </c>
      <c r="P33" s="1237">
        <f t="shared" si="7"/>
        <v>664</v>
      </c>
      <c r="Q33" s="1237">
        <f t="shared" si="7"/>
        <v>2129</v>
      </c>
      <c r="R33" s="1237">
        <f t="shared" si="7"/>
        <v>2793</v>
      </c>
      <c r="S33" s="1238">
        <f t="shared" ref="S33:S34" si="8">C33/F33</f>
        <v>0.22683544303797468</v>
      </c>
      <c r="T33" s="61"/>
      <c r="U33" s="1215"/>
      <c r="V33" s="6" t="str">
        <f>B33</f>
        <v>North America</v>
      </c>
      <c r="W33" s="1222">
        <f>F33</f>
        <v>1975</v>
      </c>
      <c r="X33" s="1229">
        <f>F33/$F$36</f>
        <v>0.19446632532493108</v>
      </c>
      <c r="Y33" s="1232">
        <f>X33</f>
        <v>0.19446632532493108</v>
      </c>
      <c r="Z33" s="6" t="str">
        <f>B33</f>
        <v>North America</v>
      </c>
      <c r="AA33" s="1239">
        <f>F33/$F$36</f>
        <v>0.19446632532493108</v>
      </c>
      <c r="AB33" s="6"/>
      <c r="AC33" s="664" t="s">
        <v>823</v>
      </c>
      <c r="AD33" s="664"/>
      <c r="AE33" s="1240">
        <f>W34/$F$36</f>
        <v>7.7392674281213075E-2</v>
      </c>
    </row>
    <row r="34" spans="1:31" ht="15" x14ac:dyDescent="0.3">
      <c r="A34" s="9"/>
      <c r="B34" s="527" t="s">
        <v>818</v>
      </c>
      <c r="C34" s="1235">
        <v>475</v>
      </c>
      <c r="D34" s="1235">
        <v>1690</v>
      </c>
      <c r="E34" s="1235">
        <v>7</v>
      </c>
      <c r="F34" s="1235">
        <v>2172</v>
      </c>
      <c r="G34" s="1236">
        <v>506</v>
      </c>
      <c r="H34" s="1236">
        <v>1791</v>
      </c>
      <c r="I34" s="1236">
        <f t="shared" si="4"/>
        <v>2297</v>
      </c>
      <c r="J34" s="1237">
        <f t="shared" si="6"/>
        <v>547</v>
      </c>
      <c r="K34" s="1237">
        <f t="shared" si="6"/>
        <v>1912</v>
      </c>
      <c r="L34" s="1237">
        <f t="shared" si="6"/>
        <v>2459</v>
      </c>
      <c r="M34" s="1237">
        <f t="shared" si="7"/>
        <v>520</v>
      </c>
      <c r="N34" s="1237">
        <f t="shared" si="7"/>
        <v>1977</v>
      </c>
      <c r="O34" s="1237">
        <f t="shared" si="7"/>
        <v>2497</v>
      </c>
      <c r="P34" s="1237">
        <f t="shared" si="7"/>
        <v>455</v>
      </c>
      <c r="Q34" s="1237">
        <f t="shared" si="7"/>
        <v>1926</v>
      </c>
      <c r="R34" s="1237">
        <f t="shared" si="7"/>
        <v>2381</v>
      </c>
      <c r="S34" s="1238">
        <f t="shared" si="8"/>
        <v>0.21869244935543278</v>
      </c>
      <c r="T34" s="61"/>
      <c r="U34" s="1215"/>
      <c r="V34" s="6" t="s">
        <v>823</v>
      </c>
      <c r="W34" s="1241">
        <v>786</v>
      </c>
      <c r="X34" s="1229">
        <f>W34/$F$36</f>
        <v>7.7392674281213075E-2</v>
      </c>
      <c r="Y34" s="1232">
        <f t="shared" ref="Y34:Y36" si="9">X34</f>
        <v>7.7392674281213075E-2</v>
      </c>
      <c r="Z34" s="6" t="str">
        <f>B34</f>
        <v>Asia</v>
      </c>
      <c r="AA34" s="1239">
        <f>F34/$F$36</f>
        <v>0.21386372587632926</v>
      </c>
      <c r="AB34" s="6"/>
      <c r="AC34" s="664" t="s">
        <v>824</v>
      </c>
      <c r="AD34" s="664"/>
      <c r="AE34" s="1240">
        <f>W35/$F$36</f>
        <v>0.13647105159511619</v>
      </c>
    </row>
    <row r="35" spans="1:31" ht="15" x14ac:dyDescent="0.3">
      <c r="A35" s="1205"/>
      <c r="B35" s="527" t="s">
        <v>819</v>
      </c>
      <c r="C35" s="1235">
        <v>39</v>
      </c>
      <c r="D35" s="1235">
        <v>126</v>
      </c>
      <c r="E35" s="1235">
        <v>8</v>
      </c>
      <c r="F35" s="1235">
        <v>173</v>
      </c>
      <c r="G35" s="1236">
        <v>167</v>
      </c>
      <c r="H35" s="1236">
        <v>452</v>
      </c>
      <c r="I35" s="1236">
        <f t="shared" si="4"/>
        <v>619</v>
      </c>
      <c r="J35" s="1237">
        <f t="shared" si="6"/>
        <v>314</v>
      </c>
      <c r="K35" s="1237">
        <f t="shared" si="6"/>
        <v>742</v>
      </c>
      <c r="L35" s="1237">
        <f t="shared" si="6"/>
        <v>1056</v>
      </c>
      <c r="M35" s="1237">
        <f t="shared" si="7"/>
        <v>228</v>
      </c>
      <c r="N35" s="1237">
        <f t="shared" si="7"/>
        <v>430</v>
      </c>
      <c r="O35" s="1237">
        <f t="shared" si="7"/>
        <v>658</v>
      </c>
      <c r="P35" s="1237">
        <f t="shared" si="7"/>
        <v>217</v>
      </c>
      <c r="Q35" s="1237">
        <f t="shared" si="7"/>
        <v>420</v>
      </c>
      <c r="R35" s="1237">
        <f t="shared" si="7"/>
        <v>637</v>
      </c>
      <c r="S35" s="1238">
        <f>C35/F35</f>
        <v>0.22543352601156069</v>
      </c>
      <c r="T35" s="61"/>
      <c r="U35" s="1215"/>
      <c r="V35" s="6" t="s">
        <v>824</v>
      </c>
      <c r="W35" s="1222">
        <v>1386</v>
      </c>
      <c r="X35" s="1229">
        <f>W35/$F$36</f>
        <v>0.13647105159511619</v>
      </c>
      <c r="Y35" s="1232">
        <f t="shared" si="9"/>
        <v>0.13647105159511619</v>
      </c>
      <c r="Z35" s="6" t="str">
        <f>B35</f>
        <v>Rest of World</v>
      </c>
      <c r="AA35" s="1239">
        <f>F35/$F$36</f>
        <v>1.7034265458842065E-2</v>
      </c>
      <c r="AB35" s="6"/>
      <c r="AC35" s="664" t="s">
        <v>819</v>
      </c>
      <c r="AD35" s="664"/>
      <c r="AE35" s="1240">
        <f>F35/F36</f>
        <v>1.7034265458842065E-2</v>
      </c>
    </row>
    <row r="36" spans="1:31" ht="15" x14ac:dyDescent="0.3">
      <c r="A36" s="378"/>
      <c r="B36" s="1242" t="s">
        <v>826</v>
      </c>
      <c r="C36" s="1243">
        <v>2849</v>
      </c>
      <c r="D36" s="1243">
        <v>7227</v>
      </c>
      <c r="E36" s="1243">
        <v>80</v>
      </c>
      <c r="F36" s="1243">
        <v>10156</v>
      </c>
      <c r="G36" s="1244">
        <f>SUM(G31:G35)</f>
        <v>3577</v>
      </c>
      <c r="H36" s="1244">
        <f>SUM(H31:H35)</f>
        <v>8108</v>
      </c>
      <c r="I36" s="1244">
        <f t="shared" si="4"/>
        <v>11685</v>
      </c>
      <c r="J36" s="1245">
        <f>J22+J29</f>
        <v>3773</v>
      </c>
      <c r="K36" s="1245">
        <f>K22+K29</f>
        <v>8865</v>
      </c>
      <c r="L36" s="1245">
        <f t="shared" ref="L36:L42" si="10">J36+K36</f>
        <v>12638</v>
      </c>
      <c r="M36" s="1245">
        <f>M22+M29</f>
        <v>3898</v>
      </c>
      <c r="N36" s="1245">
        <f>N22+N29</f>
        <v>9532</v>
      </c>
      <c r="O36" s="1245">
        <f t="shared" ref="O36:O42" si="11">M36+N36</f>
        <v>13430</v>
      </c>
      <c r="P36" s="1245">
        <f>P22+P29</f>
        <v>3783</v>
      </c>
      <c r="Q36" s="1245">
        <f>Q22+Q29</f>
        <v>9858</v>
      </c>
      <c r="R36" s="1245">
        <f t="shared" ref="R36:R42" si="12">P36+Q36</f>
        <v>13641</v>
      </c>
      <c r="S36" s="1246">
        <f>C36/F36</f>
        <v>0.28052382827884992</v>
      </c>
      <c r="T36" s="61"/>
      <c r="U36" s="1215"/>
      <c r="V36" s="6" t="str">
        <f>B35</f>
        <v>Rest of World</v>
      </c>
      <c r="W36" s="1222">
        <f>F35</f>
        <v>173</v>
      </c>
      <c r="X36" s="1229">
        <f>F35/$F$36</f>
        <v>1.7034265458842065E-2</v>
      </c>
      <c r="Y36" s="1232">
        <f t="shared" si="9"/>
        <v>1.7034265458842065E-2</v>
      </c>
      <c r="Z36" s="6"/>
      <c r="AA36" s="1232">
        <f>SUM(AA31:AA35)</f>
        <v>0.99999999999999989</v>
      </c>
      <c r="AB36" s="6"/>
      <c r="AC36" s="664"/>
      <c r="AD36" s="664"/>
      <c r="AE36" s="664"/>
    </row>
    <row r="37" spans="1:31" ht="15" x14ac:dyDescent="0.25">
      <c r="A37" s="1205"/>
      <c r="B37" s="1247" t="s">
        <v>827</v>
      </c>
      <c r="C37" s="1235">
        <v>4</v>
      </c>
      <c r="D37" s="1235">
        <v>5</v>
      </c>
      <c r="E37" s="1235">
        <v>0</v>
      </c>
      <c r="F37" s="1235">
        <v>9</v>
      </c>
      <c r="G37" s="1236">
        <v>4</v>
      </c>
      <c r="H37" s="1236">
        <v>5</v>
      </c>
      <c r="I37" s="1236">
        <f t="shared" si="4"/>
        <v>9</v>
      </c>
      <c r="J37" s="1237">
        <v>3</v>
      </c>
      <c r="K37" s="1237">
        <v>6</v>
      </c>
      <c r="L37" s="1237">
        <f t="shared" si="10"/>
        <v>9</v>
      </c>
      <c r="M37" s="1237">
        <v>3</v>
      </c>
      <c r="N37" s="1237">
        <v>6</v>
      </c>
      <c r="O37" s="1237">
        <f t="shared" si="11"/>
        <v>9</v>
      </c>
      <c r="P37" s="1237">
        <v>2</v>
      </c>
      <c r="Q37" s="1237">
        <v>5</v>
      </c>
      <c r="R37" s="1237">
        <f t="shared" si="12"/>
        <v>7</v>
      </c>
      <c r="S37" s="1248">
        <f>C37/F37</f>
        <v>0.44444444444444442</v>
      </c>
      <c r="T37" s="743"/>
      <c r="U37" s="1215"/>
      <c r="V37" s="6"/>
      <c r="W37" s="1222">
        <f>SUM(W31:W36)</f>
        <v>10156</v>
      </c>
      <c r="X37" s="1232">
        <f>SUM(X31:X36)</f>
        <v>0.99999999999999989</v>
      </c>
      <c r="Y37" s="1232">
        <f>SUM(Y31:Y36)</f>
        <v>0.99999999999999989</v>
      </c>
      <c r="Z37" s="6"/>
      <c r="AA37" s="6"/>
      <c r="AB37" s="6"/>
      <c r="AC37" s="664"/>
      <c r="AD37" s="664"/>
      <c r="AE37" s="664"/>
    </row>
    <row r="38" spans="1:31" ht="15" x14ac:dyDescent="0.25">
      <c r="A38" s="1205"/>
      <c r="B38" s="1247" t="s">
        <v>828</v>
      </c>
      <c r="C38" s="1235">
        <v>2</v>
      </c>
      <c r="D38" s="1235">
        <v>7</v>
      </c>
      <c r="E38" s="1235">
        <v>0</v>
      </c>
      <c r="F38" s="1235">
        <v>9</v>
      </c>
      <c r="G38" s="1236">
        <v>4</v>
      </c>
      <c r="H38" s="1236">
        <v>9</v>
      </c>
      <c r="I38" s="1236">
        <f t="shared" si="4"/>
        <v>13</v>
      </c>
      <c r="J38" s="1237">
        <v>3</v>
      </c>
      <c r="K38" s="1237">
        <v>9</v>
      </c>
      <c r="L38" s="1237">
        <f t="shared" si="10"/>
        <v>12</v>
      </c>
      <c r="M38" s="1237">
        <v>2</v>
      </c>
      <c r="N38" s="1237">
        <v>6</v>
      </c>
      <c r="O38" s="1237">
        <f t="shared" si="11"/>
        <v>8</v>
      </c>
      <c r="P38" s="1237">
        <v>4</v>
      </c>
      <c r="Q38" s="1237">
        <v>5</v>
      </c>
      <c r="R38" s="1237">
        <f t="shared" si="12"/>
        <v>9</v>
      </c>
      <c r="S38" s="1238">
        <f t="shared" ref="S38:S40" si="13">C38/F38</f>
        <v>0.22222222222222221</v>
      </c>
      <c r="T38" s="9"/>
      <c r="U38" s="1215"/>
      <c r="V38" s="6"/>
      <c r="W38" s="6"/>
      <c r="X38" s="6"/>
      <c r="Y38" s="6"/>
      <c r="Z38" s="6"/>
      <c r="AA38" s="6"/>
      <c r="AB38" s="6"/>
      <c r="AC38" s="664"/>
      <c r="AD38" s="664"/>
      <c r="AE38" s="664"/>
    </row>
    <row r="39" spans="1:31" s="1249" customFormat="1" ht="15" x14ac:dyDescent="0.25">
      <c r="A39" s="1205"/>
      <c r="B39" s="529" t="s">
        <v>829</v>
      </c>
      <c r="C39" s="1235">
        <v>27</v>
      </c>
      <c r="D39" s="1235">
        <v>65</v>
      </c>
      <c r="E39" s="1235">
        <v>0</v>
      </c>
      <c r="F39" s="1235">
        <v>92</v>
      </c>
      <c r="G39" s="1236">
        <v>23</v>
      </c>
      <c r="H39" s="1236">
        <v>74</v>
      </c>
      <c r="I39" s="1236">
        <f t="shared" si="4"/>
        <v>97</v>
      </c>
      <c r="J39" s="1237">
        <v>13</v>
      </c>
      <c r="K39" s="1237">
        <v>86</v>
      </c>
      <c r="L39" s="1237">
        <f t="shared" si="10"/>
        <v>99</v>
      </c>
      <c r="M39" s="1237">
        <v>17</v>
      </c>
      <c r="N39" s="1237">
        <v>100</v>
      </c>
      <c r="O39" s="1237">
        <f t="shared" si="11"/>
        <v>117</v>
      </c>
      <c r="P39" s="1237">
        <v>16</v>
      </c>
      <c r="Q39" s="1237">
        <v>95</v>
      </c>
      <c r="R39" s="1237">
        <f t="shared" si="12"/>
        <v>111</v>
      </c>
      <c r="S39" s="1238">
        <f t="shared" si="13"/>
        <v>0.29347826086956524</v>
      </c>
      <c r="T39" s="9"/>
      <c r="U39" s="1215"/>
      <c r="V39" s="63"/>
      <c r="W39" s="63"/>
      <c r="X39" s="63"/>
      <c r="Y39" s="63"/>
      <c r="Z39" s="63"/>
      <c r="AA39" s="63"/>
      <c r="AB39" s="63"/>
      <c r="AC39" s="9"/>
      <c r="AD39" s="9"/>
      <c r="AE39" s="9"/>
    </row>
    <row r="40" spans="1:31" ht="15" x14ac:dyDescent="0.25">
      <c r="A40" s="1205"/>
      <c r="B40" s="529" t="s">
        <v>830</v>
      </c>
      <c r="C40" s="1235">
        <v>42</v>
      </c>
      <c r="D40" s="1235">
        <v>35</v>
      </c>
      <c r="E40" s="1235">
        <v>0</v>
      </c>
      <c r="F40" s="1235">
        <v>77</v>
      </c>
      <c r="G40" s="1236">
        <v>30</v>
      </c>
      <c r="H40" s="1236">
        <v>48</v>
      </c>
      <c r="I40" s="1236">
        <f t="shared" si="4"/>
        <v>78</v>
      </c>
      <c r="J40" s="1237">
        <v>31</v>
      </c>
      <c r="K40" s="1237">
        <v>52</v>
      </c>
      <c r="L40" s="1237">
        <f t="shared" si="10"/>
        <v>83</v>
      </c>
      <c r="M40" s="1237">
        <v>22</v>
      </c>
      <c r="N40" s="1237">
        <v>38</v>
      </c>
      <c r="O40" s="1237">
        <f t="shared" si="11"/>
        <v>60</v>
      </c>
      <c r="P40" s="1237">
        <v>21</v>
      </c>
      <c r="Q40" s="1237">
        <v>41</v>
      </c>
      <c r="R40" s="1237">
        <f>P40+Q40</f>
        <v>62</v>
      </c>
      <c r="S40" s="1238">
        <f t="shared" si="13"/>
        <v>0.54545454545454541</v>
      </c>
      <c r="T40" s="9"/>
      <c r="U40" s="61"/>
    </row>
    <row r="41" spans="1:31" ht="30" x14ac:dyDescent="0.25">
      <c r="A41" s="1205"/>
      <c r="B41" s="529" t="s">
        <v>831</v>
      </c>
      <c r="C41" s="1243">
        <v>542</v>
      </c>
      <c r="D41" s="1243">
        <v>1149</v>
      </c>
      <c r="E41" s="1243">
        <v>2</v>
      </c>
      <c r="F41" s="1243">
        <v>1693</v>
      </c>
      <c r="G41" s="1244">
        <v>507</v>
      </c>
      <c r="H41" s="1244">
        <v>1190</v>
      </c>
      <c r="I41" s="1244">
        <f>G41+H41</f>
        <v>1697</v>
      </c>
      <c r="J41" s="1245">
        <v>478</v>
      </c>
      <c r="K41" s="1245">
        <v>1223</v>
      </c>
      <c r="L41" s="1245">
        <f t="shared" si="10"/>
        <v>1701</v>
      </c>
      <c r="M41" s="1245">
        <v>487</v>
      </c>
      <c r="N41" s="1245">
        <v>1302</v>
      </c>
      <c r="O41" s="1245">
        <f t="shared" si="11"/>
        <v>1789</v>
      </c>
      <c r="P41" s="1117"/>
      <c r="Q41" s="1117"/>
      <c r="R41" s="1117"/>
      <c r="S41" s="1246">
        <f>C41/F41</f>
        <v>0.32014176018901358</v>
      </c>
      <c r="T41" s="1250"/>
      <c r="U41" s="1251"/>
    </row>
    <row r="42" spans="1:31" ht="15" x14ac:dyDescent="0.25">
      <c r="A42" s="378"/>
      <c r="B42" s="1247" t="s">
        <v>832</v>
      </c>
      <c r="C42" s="1235">
        <v>398</v>
      </c>
      <c r="D42" s="1235">
        <v>672</v>
      </c>
      <c r="E42" s="1235">
        <v>26</v>
      </c>
      <c r="F42" s="1243">
        <v>1096</v>
      </c>
      <c r="G42" s="1236">
        <v>765</v>
      </c>
      <c r="H42" s="1236">
        <v>1232</v>
      </c>
      <c r="I42" s="1244">
        <f>G42+H42</f>
        <v>1997</v>
      </c>
      <c r="J42" s="1237">
        <v>748</v>
      </c>
      <c r="K42" s="1237">
        <v>1496</v>
      </c>
      <c r="L42" s="1237">
        <f t="shared" si="10"/>
        <v>2244</v>
      </c>
      <c r="M42" s="1237">
        <v>718</v>
      </c>
      <c r="N42" s="1237">
        <v>1355</v>
      </c>
      <c r="O42" s="1237">
        <f t="shared" si="11"/>
        <v>2073</v>
      </c>
      <c r="P42" s="1237">
        <v>475</v>
      </c>
      <c r="Q42" s="1237">
        <v>1117</v>
      </c>
      <c r="R42" s="1237">
        <f t="shared" si="12"/>
        <v>1592</v>
      </c>
      <c r="S42" s="1238">
        <f>C42/F42</f>
        <v>0.36313868613138683</v>
      </c>
      <c r="T42" s="9"/>
      <c r="U42" s="61"/>
    </row>
    <row r="43" spans="1:31" ht="13.5" x14ac:dyDescent="0.25">
      <c r="A43" s="378"/>
      <c r="B43" s="91"/>
      <c r="C43" s="91"/>
      <c r="D43" s="64"/>
      <c r="E43" s="1252"/>
      <c r="F43" s="1253"/>
      <c r="G43" s="1252"/>
      <c r="H43" s="1252"/>
      <c r="I43" s="1253"/>
      <c r="J43" s="1252"/>
      <c r="K43" s="1252"/>
      <c r="L43" s="1253"/>
      <c r="M43" s="1252"/>
      <c r="N43" s="1254"/>
      <c r="O43" s="1253"/>
      <c r="P43" s="61"/>
    </row>
    <row r="44" spans="1:31" ht="17.5" x14ac:dyDescent="0.25">
      <c r="A44" s="1205"/>
      <c r="B44" s="1255" t="s">
        <v>833</v>
      </c>
      <c r="C44" s="1621" t="s">
        <v>431</v>
      </c>
      <c r="D44" s="1621"/>
      <c r="E44" s="1621"/>
      <c r="F44" s="1621"/>
      <c r="G44" s="1603" t="s">
        <v>432</v>
      </c>
      <c r="H44" s="1603"/>
      <c r="I44" s="1603"/>
      <c r="J44" s="1603" t="s">
        <v>433</v>
      </c>
      <c r="K44" s="1603"/>
      <c r="L44" s="1603"/>
      <c r="M44" s="1603" t="s">
        <v>434</v>
      </c>
      <c r="N44" s="1603"/>
      <c r="O44" s="1603"/>
      <c r="P44" s="1603" t="s">
        <v>435</v>
      </c>
      <c r="Q44" s="1603"/>
      <c r="R44" s="1603"/>
      <c r="S44" s="1604" t="s">
        <v>808</v>
      </c>
      <c r="U44" s="61"/>
      <c r="V44" s="61"/>
    </row>
    <row r="45" spans="1:31" ht="30" x14ac:dyDescent="0.35">
      <c r="A45" s="1205"/>
      <c r="B45" s="1213" t="s">
        <v>809</v>
      </c>
      <c r="C45" s="1214" t="s">
        <v>810</v>
      </c>
      <c r="D45" s="1214" t="s">
        <v>811</v>
      </c>
      <c r="E45" s="1214" t="s">
        <v>812</v>
      </c>
      <c r="F45" s="1214" t="s">
        <v>708</v>
      </c>
      <c r="G45" s="1214" t="s">
        <v>810</v>
      </c>
      <c r="H45" s="1214" t="s">
        <v>811</v>
      </c>
      <c r="I45" s="1214" t="s">
        <v>708</v>
      </c>
      <c r="J45" s="1214" t="s">
        <v>810</v>
      </c>
      <c r="K45" s="1214" t="s">
        <v>811</v>
      </c>
      <c r="L45" s="1214" t="s">
        <v>708</v>
      </c>
      <c r="M45" s="1214" t="s">
        <v>810</v>
      </c>
      <c r="N45" s="1214" t="s">
        <v>811</v>
      </c>
      <c r="O45" s="1214" t="s">
        <v>708</v>
      </c>
      <c r="P45" s="1214" t="s">
        <v>810</v>
      </c>
      <c r="Q45" s="1214" t="s">
        <v>811</v>
      </c>
      <c r="R45" s="1214" t="s">
        <v>708</v>
      </c>
      <c r="S45" s="1604"/>
      <c r="U45" s="92" t="s">
        <v>813</v>
      </c>
      <c r="Z45"/>
    </row>
    <row r="46" spans="1:31" ht="15" x14ac:dyDescent="0.3">
      <c r="A46" s="1205"/>
      <c r="B46" s="1216" t="s">
        <v>834</v>
      </c>
      <c r="C46" s="1256"/>
      <c r="D46" s="1256"/>
      <c r="E46" s="1256"/>
      <c r="F46" s="1256"/>
      <c r="G46" s="1257"/>
      <c r="H46" s="1257"/>
      <c r="I46" s="1257"/>
      <c r="J46" s="1258"/>
      <c r="K46" s="1258"/>
      <c r="L46" s="1258"/>
      <c r="M46" s="1218"/>
      <c r="N46" s="1218"/>
      <c r="O46" s="1218"/>
      <c r="P46" s="1218"/>
      <c r="Q46" s="1218"/>
      <c r="R46" s="1259"/>
      <c r="S46" s="1607"/>
      <c r="T46" s="92"/>
    </row>
    <row r="47" spans="1:31" ht="15" x14ac:dyDescent="0.3">
      <c r="A47" s="1205"/>
      <c r="B47" s="1260" t="s">
        <v>835</v>
      </c>
      <c r="C47" s="1261" t="s">
        <v>836</v>
      </c>
      <c r="D47" s="1261" t="s">
        <v>836</v>
      </c>
      <c r="E47" s="1261" t="s">
        <v>836</v>
      </c>
      <c r="F47" s="1261">
        <v>0</v>
      </c>
      <c r="G47" s="1262">
        <v>0</v>
      </c>
      <c r="H47" s="1262">
        <v>0</v>
      </c>
      <c r="I47" s="1262">
        <f t="shared" ref="I47:I55" si="14">SUM(G47:H47)</f>
        <v>0</v>
      </c>
      <c r="J47" s="1263">
        <v>0</v>
      </c>
      <c r="K47" s="1263">
        <v>0</v>
      </c>
      <c r="L47" s="1263">
        <f>J47+K47</f>
        <v>0</v>
      </c>
      <c r="M47" s="1237">
        <v>0</v>
      </c>
      <c r="N47" s="1237">
        <v>0</v>
      </c>
      <c r="O47" s="1237">
        <f>M47+N47</f>
        <v>0</v>
      </c>
      <c r="P47" s="1237">
        <v>1</v>
      </c>
      <c r="Q47" s="1237">
        <v>0</v>
      </c>
      <c r="R47" s="1237">
        <v>1</v>
      </c>
      <c r="S47" s="1607"/>
      <c r="T47" s="9"/>
      <c r="U47" s="61"/>
    </row>
    <row r="48" spans="1:31" ht="15" x14ac:dyDescent="0.3">
      <c r="A48" s="1205"/>
      <c r="B48" s="1260" t="s">
        <v>837</v>
      </c>
      <c r="C48" s="1235">
        <v>1</v>
      </c>
      <c r="D48" s="1235">
        <v>2</v>
      </c>
      <c r="E48" s="1235">
        <v>0</v>
      </c>
      <c r="F48" s="1235">
        <v>3</v>
      </c>
      <c r="G48" s="1262">
        <v>0</v>
      </c>
      <c r="H48" s="1262">
        <v>2</v>
      </c>
      <c r="I48" s="1262">
        <f t="shared" si="14"/>
        <v>2</v>
      </c>
      <c r="J48" s="1263">
        <v>0</v>
      </c>
      <c r="K48" s="1263">
        <v>3</v>
      </c>
      <c r="L48" s="1263">
        <f>J48+K48</f>
        <v>3</v>
      </c>
      <c r="M48" s="1237">
        <v>0</v>
      </c>
      <c r="N48" s="1237">
        <v>3</v>
      </c>
      <c r="O48" s="1237">
        <f>M48+N48</f>
        <v>3</v>
      </c>
      <c r="P48" s="1237">
        <v>0</v>
      </c>
      <c r="Q48" s="1237">
        <v>2</v>
      </c>
      <c r="R48" s="1237">
        <v>2</v>
      </c>
      <c r="S48" s="1607"/>
      <c r="T48" s="9"/>
      <c r="U48" s="61"/>
    </row>
    <row r="49" spans="1:31" ht="15" x14ac:dyDescent="0.3">
      <c r="A49" s="1205"/>
      <c r="B49" s="1260" t="s">
        <v>838</v>
      </c>
      <c r="C49" s="1235">
        <v>0</v>
      </c>
      <c r="D49" s="1235">
        <v>2</v>
      </c>
      <c r="E49" s="1235">
        <v>0</v>
      </c>
      <c r="F49" s="1235">
        <v>2</v>
      </c>
      <c r="G49" s="1262"/>
      <c r="H49" s="1262">
        <v>2</v>
      </c>
      <c r="I49" s="1262">
        <f t="shared" si="14"/>
        <v>2</v>
      </c>
      <c r="J49" s="1263">
        <v>0</v>
      </c>
      <c r="K49" s="1263">
        <v>2</v>
      </c>
      <c r="L49" s="1263">
        <f>J49+K49</f>
        <v>2</v>
      </c>
      <c r="M49" s="1237">
        <v>0</v>
      </c>
      <c r="N49" s="1237">
        <v>2</v>
      </c>
      <c r="O49" s="1237">
        <f>M49+N49</f>
        <v>2</v>
      </c>
      <c r="P49" s="1237">
        <v>2</v>
      </c>
      <c r="Q49" s="1237">
        <v>4</v>
      </c>
      <c r="R49" s="1237">
        <v>6</v>
      </c>
      <c r="S49" s="1607"/>
      <c r="T49" s="9"/>
      <c r="U49" s="61"/>
    </row>
    <row r="50" spans="1:31" ht="15" x14ac:dyDescent="0.3">
      <c r="B50" s="1260" t="s">
        <v>839</v>
      </c>
      <c r="C50" s="1235">
        <v>3</v>
      </c>
      <c r="D50" s="1235">
        <v>1</v>
      </c>
      <c r="E50" s="1235">
        <v>0</v>
      </c>
      <c r="F50" s="1235">
        <v>4</v>
      </c>
      <c r="G50" s="1262">
        <v>4</v>
      </c>
      <c r="H50" s="1262">
        <v>1</v>
      </c>
      <c r="I50" s="1262">
        <f t="shared" si="14"/>
        <v>5</v>
      </c>
      <c r="J50" s="1263">
        <v>3</v>
      </c>
      <c r="K50" s="1263">
        <v>1</v>
      </c>
      <c r="L50" s="1263">
        <f>J50+K50</f>
        <v>4</v>
      </c>
      <c r="M50" s="1237">
        <v>3</v>
      </c>
      <c r="N50" s="1237">
        <v>1</v>
      </c>
      <c r="O50" s="1237">
        <f>M50+N50</f>
        <v>4</v>
      </c>
      <c r="P50" s="1237">
        <v>0</v>
      </c>
      <c r="Q50" s="1237">
        <v>0</v>
      </c>
      <c r="R50" s="1237">
        <v>0</v>
      </c>
      <c r="S50" s="1264"/>
      <c r="T50" s="9"/>
      <c r="U50" s="61"/>
    </row>
    <row r="51" spans="1:31" ht="15" x14ac:dyDescent="0.25">
      <c r="B51" s="1265" t="s">
        <v>840</v>
      </c>
      <c r="C51" s="1266">
        <v>4</v>
      </c>
      <c r="D51" s="1266">
        <v>5</v>
      </c>
      <c r="E51" s="1266" t="s">
        <v>836</v>
      </c>
      <c r="F51" s="1266">
        <v>9</v>
      </c>
      <c r="G51" s="1267">
        <f>SUM(G47:G50)</f>
        <v>4</v>
      </c>
      <c r="H51" s="1267">
        <f>SUM(H47:H50)</f>
        <v>5</v>
      </c>
      <c r="I51" s="1267">
        <f t="shared" si="14"/>
        <v>9</v>
      </c>
      <c r="J51" s="1268">
        <f t="shared" ref="J51:Q51" si="15">SUM(J47:J50)</f>
        <v>3</v>
      </c>
      <c r="K51" s="1268">
        <f t="shared" si="15"/>
        <v>6</v>
      </c>
      <c r="L51" s="1268">
        <f t="shared" si="15"/>
        <v>9</v>
      </c>
      <c r="M51" s="1245">
        <f t="shared" si="15"/>
        <v>3</v>
      </c>
      <c r="N51" s="1245">
        <f t="shared" si="15"/>
        <v>6</v>
      </c>
      <c r="O51" s="1245">
        <f t="shared" si="15"/>
        <v>9</v>
      </c>
      <c r="P51" s="1245">
        <f t="shared" si="15"/>
        <v>3</v>
      </c>
      <c r="Q51" s="1245">
        <f t="shared" si="15"/>
        <v>6</v>
      </c>
      <c r="R51" s="1245">
        <v>9</v>
      </c>
      <c r="S51" s="1269">
        <f>C51/F51</f>
        <v>0.44444444444444442</v>
      </c>
      <c r="T51" s="9"/>
      <c r="U51" s="1251"/>
    </row>
    <row r="52" spans="1:31" ht="15" x14ac:dyDescent="0.25">
      <c r="A52" s="1205"/>
      <c r="B52" s="1270" t="s">
        <v>841</v>
      </c>
      <c r="C52" s="1235">
        <v>529</v>
      </c>
      <c r="D52" s="1235">
        <v>1011</v>
      </c>
      <c r="E52" s="1235">
        <v>18</v>
      </c>
      <c r="F52" s="1235">
        <v>1558</v>
      </c>
      <c r="G52" s="1262">
        <v>659</v>
      </c>
      <c r="H52" s="1262">
        <v>1284</v>
      </c>
      <c r="I52" s="1262">
        <f t="shared" si="14"/>
        <v>1943</v>
      </c>
      <c r="J52" s="1263">
        <v>640</v>
      </c>
      <c r="K52" s="1263">
        <v>1388</v>
      </c>
      <c r="L52" s="1263">
        <f>J52+K52</f>
        <v>2028</v>
      </c>
      <c r="M52" s="1263">
        <v>719</v>
      </c>
      <c r="N52" s="1263">
        <v>1509</v>
      </c>
      <c r="O52" s="1263">
        <f>M52+N52</f>
        <v>2228</v>
      </c>
      <c r="P52" s="1263">
        <v>730</v>
      </c>
      <c r="Q52" s="1263">
        <v>1608</v>
      </c>
      <c r="R52" s="1263">
        <f>P52+Q52</f>
        <v>2338</v>
      </c>
      <c r="S52" s="1238">
        <f t="shared" ref="S52:S56" si="16">C52/F52</f>
        <v>0.33953786906290118</v>
      </c>
      <c r="T52" s="9"/>
      <c r="U52" s="61"/>
    </row>
    <row r="53" spans="1:31" ht="15" x14ac:dyDescent="0.25">
      <c r="A53" s="1205"/>
      <c r="B53" s="1270" t="s">
        <v>842</v>
      </c>
      <c r="C53" s="1235">
        <v>1562</v>
      </c>
      <c r="D53" s="1235">
        <v>3731</v>
      </c>
      <c r="E53" s="1235">
        <v>22</v>
      </c>
      <c r="F53" s="1235">
        <v>5315</v>
      </c>
      <c r="G53" s="1262">
        <v>1855</v>
      </c>
      <c r="H53" s="1262">
        <v>4090</v>
      </c>
      <c r="I53" s="1262">
        <f t="shared" si="14"/>
        <v>5945</v>
      </c>
      <c r="J53" s="1608">
        <v>1971</v>
      </c>
      <c r="K53" s="1608">
        <v>4463</v>
      </c>
      <c r="L53" s="1608">
        <f>J53+K53</f>
        <v>6434</v>
      </c>
      <c r="M53" s="1608">
        <v>2477</v>
      </c>
      <c r="N53" s="1608">
        <v>6050</v>
      </c>
      <c r="O53" s="1608">
        <f>M53+N53</f>
        <v>8527</v>
      </c>
      <c r="P53" s="1608">
        <v>2331</v>
      </c>
      <c r="Q53" s="1608">
        <v>5927</v>
      </c>
      <c r="R53" s="1608">
        <f>P53+Q53</f>
        <v>8258</v>
      </c>
      <c r="S53" s="1238">
        <f t="shared" si="16"/>
        <v>0.29388523047977422</v>
      </c>
      <c r="T53" s="9"/>
      <c r="U53" s="61"/>
    </row>
    <row r="54" spans="1:31" ht="15" x14ac:dyDescent="0.25">
      <c r="A54" s="1205"/>
      <c r="B54" s="1270" t="s">
        <v>843</v>
      </c>
      <c r="C54" s="1235">
        <v>681</v>
      </c>
      <c r="D54" s="1235">
        <v>2082</v>
      </c>
      <c r="E54" s="1235">
        <v>2</v>
      </c>
      <c r="F54" s="1235">
        <v>2765</v>
      </c>
      <c r="G54" s="1262">
        <v>917</v>
      </c>
      <c r="H54" s="1262">
        <v>2272</v>
      </c>
      <c r="I54" s="1262">
        <f t="shared" si="14"/>
        <v>3189</v>
      </c>
      <c r="J54" s="1608">
        <v>962</v>
      </c>
      <c r="K54" s="1608">
        <v>2456</v>
      </c>
      <c r="L54" s="1608">
        <f>J54+K54</f>
        <v>3418</v>
      </c>
      <c r="M54" s="1608"/>
      <c r="N54" s="1608"/>
      <c r="O54" s="1608"/>
      <c r="P54" s="1608"/>
      <c r="Q54" s="1608"/>
      <c r="R54" s="1608"/>
      <c r="S54" s="1238">
        <f t="shared" si="16"/>
        <v>0.24629294755877035</v>
      </c>
      <c r="T54" s="9"/>
      <c r="U54" s="61"/>
    </row>
    <row r="55" spans="1:31" s="1231" customFormat="1" ht="15" x14ac:dyDescent="0.25">
      <c r="A55" s="1205"/>
      <c r="B55" s="1270" t="s">
        <v>844</v>
      </c>
      <c r="C55" s="1235">
        <v>77</v>
      </c>
      <c r="D55" s="1235">
        <v>405</v>
      </c>
      <c r="E55" s="1235">
        <v>0</v>
      </c>
      <c r="F55" s="1235">
        <v>482</v>
      </c>
      <c r="G55" s="1262">
        <v>118</v>
      </c>
      <c r="H55" s="1262">
        <v>415</v>
      </c>
      <c r="I55" s="1262">
        <f t="shared" si="14"/>
        <v>533</v>
      </c>
      <c r="J55" s="1263">
        <v>123</v>
      </c>
      <c r="K55" s="1263">
        <v>434</v>
      </c>
      <c r="L55" s="1263">
        <f>J55+K55</f>
        <v>557</v>
      </c>
      <c r="M55" s="1263">
        <v>703</v>
      </c>
      <c r="N55" s="1263">
        <v>1972</v>
      </c>
      <c r="O55" s="1263">
        <f>M55+N55</f>
        <v>2675</v>
      </c>
      <c r="P55" s="1263">
        <v>722</v>
      </c>
      <c r="Q55" s="1263">
        <v>2322</v>
      </c>
      <c r="R55" s="1263">
        <f>P55+Q55</f>
        <v>3044</v>
      </c>
      <c r="S55" s="1238">
        <f t="shared" si="16"/>
        <v>0.15975103734439833</v>
      </c>
      <c r="T55" s="9"/>
      <c r="U55" s="61"/>
      <c r="V55" s="2"/>
      <c r="W55" s="2"/>
      <c r="X55" s="2"/>
      <c r="Y55" s="2"/>
      <c r="Z55" s="2"/>
      <c r="AA55" s="2"/>
      <c r="AB55" s="2"/>
      <c r="AC55" s="2"/>
      <c r="AD55" s="2"/>
      <c r="AE55" s="2"/>
    </row>
    <row r="56" spans="1:31" s="1271" customFormat="1" ht="15" x14ac:dyDescent="0.25">
      <c r="A56" s="371"/>
      <c r="B56" s="1026" t="s">
        <v>845</v>
      </c>
      <c r="C56" s="1243">
        <v>2849</v>
      </c>
      <c r="D56" s="1243">
        <v>7227</v>
      </c>
      <c r="E56" s="1243">
        <v>42</v>
      </c>
      <c r="F56" s="1243">
        <v>10118</v>
      </c>
      <c r="G56" s="1267">
        <f t="shared" ref="G56:R56" si="17">SUM(G52:G55)</f>
        <v>3549</v>
      </c>
      <c r="H56" s="1267">
        <f t="shared" si="17"/>
        <v>8061</v>
      </c>
      <c r="I56" s="1267">
        <f t="shared" si="17"/>
        <v>11610</v>
      </c>
      <c r="J56" s="1268">
        <f t="shared" si="17"/>
        <v>3696</v>
      </c>
      <c r="K56" s="1268">
        <f t="shared" si="17"/>
        <v>8741</v>
      </c>
      <c r="L56" s="1268">
        <f t="shared" si="17"/>
        <v>12437</v>
      </c>
      <c r="M56" s="1268">
        <f t="shared" si="17"/>
        <v>3899</v>
      </c>
      <c r="N56" s="1268">
        <f t="shared" si="17"/>
        <v>9531</v>
      </c>
      <c r="O56" s="1268">
        <f t="shared" si="17"/>
        <v>13430</v>
      </c>
      <c r="P56" s="1268">
        <f t="shared" si="17"/>
        <v>3783</v>
      </c>
      <c r="Q56" s="1268">
        <f t="shared" si="17"/>
        <v>9857</v>
      </c>
      <c r="R56" s="1268">
        <f t="shared" si="17"/>
        <v>13640</v>
      </c>
      <c r="S56" s="1246">
        <f t="shared" si="16"/>
        <v>0.28157738683534295</v>
      </c>
      <c r="T56" s="72"/>
      <c r="U56" s="73"/>
      <c r="V56" s="72"/>
      <c r="W56" s="72"/>
      <c r="X56" s="72"/>
      <c r="Y56" s="72"/>
      <c r="Z56" s="72"/>
      <c r="AA56" s="72"/>
      <c r="AB56" s="72"/>
      <c r="AC56" s="72"/>
      <c r="AD56" s="72"/>
      <c r="AE56" s="72"/>
    </row>
    <row r="57" spans="1:31" ht="15" x14ac:dyDescent="0.25">
      <c r="A57" s="1205"/>
      <c r="B57" s="1270" t="s">
        <v>846</v>
      </c>
      <c r="C57" s="1235"/>
      <c r="D57" s="1235"/>
      <c r="E57" s="1235">
        <v>38</v>
      </c>
      <c r="F57" s="1235">
        <v>38</v>
      </c>
      <c r="G57" s="1262"/>
      <c r="H57" s="1262"/>
      <c r="I57" s="1262">
        <v>75</v>
      </c>
      <c r="J57" s="1263"/>
      <c r="K57" s="1263"/>
      <c r="L57" s="1263">
        <v>201</v>
      </c>
      <c r="M57" s="1117"/>
      <c r="N57" s="1117"/>
      <c r="O57" s="1117"/>
      <c r="P57" s="1117"/>
      <c r="Q57" s="1117"/>
      <c r="R57" s="1117"/>
      <c r="S57" s="1238"/>
      <c r="T57" s="9"/>
      <c r="U57" s="61"/>
    </row>
    <row r="58" spans="1:31" ht="15" x14ac:dyDescent="0.25">
      <c r="A58" s="1205"/>
      <c r="B58" s="1272"/>
      <c r="C58" s="1272"/>
      <c r="D58" s="1273"/>
      <c r="E58" s="1274"/>
      <c r="F58" s="1274"/>
      <c r="G58" s="1275"/>
      <c r="H58" s="1274"/>
      <c r="I58" s="1274"/>
      <c r="J58" s="1275"/>
      <c r="K58" s="1274"/>
      <c r="L58" s="1274"/>
      <c r="M58" s="1275"/>
      <c r="N58" s="1274"/>
      <c r="O58" s="1274"/>
      <c r="P58" s="1274"/>
      <c r="Q58" s="1274"/>
      <c r="R58" s="1274"/>
    </row>
    <row r="59" spans="1:31" ht="17.5" x14ac:dyDescent="0.25">
      <c r="A59" s="1205"/>
      <c r="B59" s="1276" t="s">
        <v>847</v>
      </c>
      <c r="C59" s="1602" t="s">
        <v>431</v>
      </c>
      <c r="D59" s="1602"/>
      <c r="E59" s="1275"/>
      <c r="F59" s="1275"/>
      <c r="G59" s="1275"/>
      <c r="H59" s="1275"/>
      <c r="I59" s="1275"/>
      <c r="J59" s="1275"/>
      <c r="K59" s="1274"/>
      <c r="L59" s="1274"/>
      <c r="M59" s="1275"/>
      <c r="N59" s="1274"/>
      <c r="O59" s="1274"/>
      <c r="P59" s="1274"/>
      <c r="Q59" s="1274"/>
      <c r="R59" s="1274"/>
    </row>
    <row r="60" spans="1:31" ht="15" x14ac:dyDescent="0.25">
      <c r="A60" s="1205"/>
      <c r="B60" s="1277"/>
      <c r="C60" s="1278" t="s">
        <v>848</v>
      </c>
      <c r="D60" s="1278" t="s">
        <v>849</v>
      </c>
      <c r="E60" s="1275"/>
      <c r="F60" s="1275"/>
      <c r="G60" s="1275"/>
      <c r="H60" s="1275"/>
      <c r="I60" s="1275"/>
      <c r="J60" s="1275"/>
      <c r="K60" s="1274"/>
      <c r="L60" s="1274"/>
      <c r="M60" s="1275"/>
      <c r="N60" s="1274"/>
      <c r="O60" s="1274"/>
      <c r="P60" s="1274"/>
      <c r="Q60" s="1274"/>
      <c r="R60" s="1274"/>
    </row>
    <row r="61" spans="1:31" ht="15" x14ac:dyDescent="0.25">
      <c r="A61" s="1205"/>
      <c r="B61" s="1279" t="s">
        <v>850</v>
      </c>
      <c r="C61" s="1280">
        <v>46</v>
      </c>
      <c r="D61" s="1281">
        <f>C61/$C$67</f>
        <v>0.59740259740259738</v>
      </c>
      <c r="E61" s="1275"/>
      <c r="F61" s="1275"/>
      <c r="G61" s="1275"/>
      <c r="H61" s="1275"/>
      <c r="I61" s="1275"/>
      <c r="J61" s="1275"/>
      <c r="K61" s="1274"/>
      <c r="L61" s="1274"/>
      <c r="M61" s="1275"/>
      <c r="N61" s="1274"/>
      <c r="O61" s="1274"/>
      <c r="P61" s="1274"/>
      <c r="Q61" s="1274"/>
      <c r="R61" s="1274"/>
    </row>
    <row r="62" spans="1:31" ht="15" x14ac:dyDescent="0.25">
      <c r="A62" s="1205"/>
      <c r="B62" s="1279" t="s">
        <v>851</v>
      </c>
      <c r="C62" s="1282">
        <v>1</v>
      </c>
      <c r="D62" s="1281">
        <v>1.29E-2</v>
      </c>
      <c r="E62" s="1275"/>
      <c r="F62" s="1275"/>
      <c r="G62" s="1275"/>
      <c r="H62" s="1275"/>
      <c r="I62" s="1275"/>
      <c r="J62" s="1275"/>
      <c r="K62" s="1274"/>
      <c r="L62" s="1274"/>
      <c r="M62" s="1275"/>
      <c r="N62" s="1274"/>
      <c r="O62" s="1274"/>
      <c r="P62" s="1274"/>
      <c r="Q62" s="1274"/>
      <c r="R62" s="1274"/>
    </row>
    <row r="63" spans="1:31" ht="15" x14ac:dyDescent="0.25">
      <c r="A63" s="1205"/>
      <c r="B63" s="1279" t="s">
        <v>852</v>
      </c>
      <c r="C63" s="1280">
        <v>9</v>
      </c>
      <c r="D63" s="1281">
        <v>0.1169</v>
      </c>
      <c r="E63" s="1283"/>
      <c r="F63" s="1283"/>
      <c r="G63" s="1283"/>
      <c r="H63" s="1283"/>
      <c r="I63" s="1283"/>
      <c r="J63" s="1283"/>
      <c r="K63" s="1274"/>
      <c r="L63" s="1274"/>
      <c r="M63" s="1275"/>
      <c r="N63" s="1274"/>
      <c r="O63" s="1274"/>
      <c r="P63" s="1274"/>
      <c r="Q63" s="1274"/>
      <c r="R63" s="1274"/>
    </row>
    <row r="64" spans="1:31" ht="15" x14ac:dyDescent="0.25">
      <c r="A64" s="1205"/>
      <c r="B64" s="1279" t="s">
        <v>853</v>
      </c>
      <c r="C64" s="1282">
        <v>0</v>
      </c>
      <c r="D64" s="1281">
        <f t="shared" ref="D64:D66" si="18">C64/$C$67</f>
        <v>0</v>
      </c>
      <c r="E64" s="1275"/>
      <c r="F64" s="1275"/>
      <c r="G64" s="1275"/>
      <c r="H64" s="1275"/>
      <c r="I64" s="1275"/>
      <c r="J64" s="1275"/>
      <c r="K64" s="1274"/>
      <c r="L64" s="1274"/>
      <c r="M64" s="1275"/>
      <c r="N64" s="1274"/>
      <c r="O64" s="1274"/>
      <c r="P64" s="1274"/>
      <c r="Q64" s="1274"/>
      <c r="R64" s="1274"/>
    </row>
    <row r="65" spans="1:18" ht="15" x14ac:dyDescent="0.25">
      <c r="A65" s="1205"/>
      <c r="B65" s="1284" t="s">
        <v>854</v>
      </c>
      <c r="C65" s="1282">
        <v>0</v>
      </c>
      <c r="D65" s="1281">
        <f t="shared" si="18"/>
        <v>0</v>
      </c>
      <c r="E65" s="1275"/>
      <c r="F65" s="1275"/>
      <c r="G65" s="1275"/>
      <c r="H65" s="1275"/>
      <c r="I65" s="1275"/>
      <c r="J65" s="1275"/>
      <c r="K65" s="1274"/>
      <c r="L65" s="1274"/>
      <c r="M65" s="1275"/>
      <c r="N65" s="1274"/>
      <c r="O65" s="1274"/>
      <c r="P65" s="1274"/>
      <c r="Q65" s="1274"/>
      <c r="R65" s="1274"/>
    </row>
    <row r="66" spans="1:18" ht="15" x14ac:dyDescent="0.25">
      <c r="A66" s="1205"/>
      <c r="B66" s="1285" t="s">
        <v>855</v>
      </c>
      <c r="C66" s="1282">
        <v>21</v>
      </c>
      <c r="D66" s="1281">
        <f t="shared" si="18"/>
        <v>0.27272727272727271</v>
      </c>
      <c r="E66" s="1275"/>
      <c r="F66" s="1275"/>
      <c r="G66" s="1275"/>
      <c r="H66" s="1275"/>
      <c r="I66" s="1275"/>
      <c r="J66" s="1275"/>
      <c r="K66" s="1274"/>
      <c r="L66" s="1274"/>
      <c r="M66" s="1275"/>
      <c r="N66" s="1274"/>
      <c r="O66" s="1274"/>
      <c r="P66" s="1274"/>
      <c r="Q66" s="1274"/>
      <c r="R66" s="1274"/>
    </row>
    <row r="67" spans="1:18" ht="15" x14ac:dyDescent="0.25">
      <c r="A67" s="1205"/>
      <c r="B67" s="1286" t="s">
        <v>708</v>
      </c>
      <c r="C67" s="1287">
        <f>SUM(C61:C66)</f>
        <v>77</v>
      </c>
      <c r="D67" s="1288">
        <f t="shared" ref="D67" si="19">SUM(D61:D66)</f>
        <v>0.99992987012987011</v>
      </c>
      <c r="E67" s="1275"/>
      <c r="F67" s="1275"/>
      <c r="G67" s="1275"/>
      <c r="H67" s="1275"/>
      <c r="I67" s="1275"/>
      <c r="J67" s="1275"/>
      <c r="K67" s="1274"/>
      <c r="L67" s="1274"/>
      <c r="M67" s="1275"/>
      <c r="N67" s="1274"/>
      <c r="O67" s="1274"/>
      <c r="P67" s="1274"/>
      <c r="Q67" s="1274"/>
      <c r="R67" s="1274"/>
    </row>
    <row r="68" spans="1:18" ht="15" x14ac:dyDescent="0.25">
      <c r="A68" s="1205"/>
      <c r="B68" s="1272"/>
      <c r="C68" s="1272"/>
      <c r="D68" s="1273"/>
      <c r="E68" s="1274"/>
      <c r="F68" s="1274"/>
      <c r="G68" s="1275"/>
      <c r="H68" s="1274"/>
      <c r="I68" s="1274"/>
      <c r="J68" s="1275"/>
      <c r="K68" s="1274"/>
      <c r="L68" s="1274"/>
      <c r="M68" s="1275"/>
      <c r="N68" s="1274"/>
      <c r="O68" s="1274"/>
      <c r="P68" s="1274"/>
      <c r="Q68" s="1274"/>
      <c r="R68" s="1274"/>
    </row>
    <row r="69" spans="1:18" ht="17.5" x14ac:dyDescent="0.25">
      <c r="A69" s="1205"/>
      <c r="B69" s="1255" t="s">
        <v>856</v>
      </c>
      <c r="C69" s="1621" t="s">
        <v>431</v>
      </c>
      <c r="D69" s="1621"/>
      <c r="E69" s="1613" t="s">
        <v>432</v>
      </c>
      <c r="F69" s="1613"/>
      <c r="G69" s="1614" t="s">
        <v>433</v>
      </c>
      <c r="H69" s="1614"/>
      <c r="I69" s="1613" t="s">
        <v>434</v>
      </c>
      <c r="J69" s="1613"/>
      <c r="K69" s="1275"/>
      <c r="L69" s="1275"/>
      <c r="M69" s="1275"/>
      <c r="N69" s="1275"/>
      <c r="O69" s="1289"/>
      <c r="Q69" s="61"/>
    </row>
    <row r="70" spans="1:18" ht="15" hidden="1" x14ac:dyDescent="0.25">
      <c r="B70" s="1290" t="s">
        <v>857</v>
      </c>
      <c r="C70" s="1290"/>
      <c r="D70" s="1290"/>
      <c r="E70" s="1291" t="s">
        <v>848</v>
      </c>
      <c r="F70" s="1291" t="s">
        <v>849</v>
      </c>
      <c r="G70" s="1291" t="s">
        <v>848</v>
      </c>
      <c r="H70" s="1291" t="s">
        <v>849</v>
      </c>
      <c r="I70" s="1291" t="s">
        <v>848</v>
      </c>
      <c r="J70" s="1291" t="s">
        <v>849</v>
      </c>
      <c r="P70" s="2"/>
    </row>
    <row r="71" spans="1:18" ht="15" x14ac:dyDescent="0.25">
      <c r="B71" s="1290"/>
      <c r="C71" s="1291" t="s">
        <v>848</v>
      </c>
      <c r="D71" s="1291" t="s">
        <v>849</v>
      </c>
      <c r="E71" s="1291" t="s">
        <v>848</v>
      </c>
      <c r="F71" s="1291" t="s">
        <v>849</v>
      </c>
      <c r="G71" s="1291" t="s">
        <v>848</v>
      </c>
      <c r="H71" s="1291" t="s">
        <v>849</v>
      </c>
      <c r="I71" s="1291" t="s">
        <v>848</v>
      </c>
      <c r="J71" s="1291" t="s">
        <v>849</v>
      </c>
      <c r="P71" s="2"/>
    </row>
    <row r="72" spans="1:18" ht="15" x14ac:dyDescent="0.25">
      <c r="A72" s="1205"/>
      <c r="B72" s="1270" t="s">
        <v>858</v>
      </c>
      <c r="C72" s="1235">
        <v>1</v>
      </c>
      <c r="D72" s="1292">
        <f>C72/$C$75</f>
        <v>0.1111111111111111</v>
      </c>
      <c r="E72" s="1262">
        <v>1</v>
      </c>
      <c r="F72" s="1293">
        <v>11</v>
      </c>
      <c r="G72" s="1263">
        <v>1</v>
      </c>
      <c r="H72" s="1294">
        <v>11</v>
      </c>
      <c r="I72" s="1263">
        <v>1</v>
      </c>
      <c r="J72" s="1294">
        <v>11</v>
      </c>
      <c r="K72" s="1275"/>
      <c r="L72" s="1295"/>
      <c r="M72" s="1275"/>
      <c r="N72" s="1275"/>
      <c r="O72" s="1289"/>
      <c r="Q72" s="61"/>
    </row>
    <row r="73" spans="1:18" ht="15" x14ac:dyDescent="0.25">
      <c r="A73" s="1205"/>
      <c r="B73" s="1270" t="s">
        <v>859</v>
      </c>
      <c r="C73" s="1235">
        <v>2</v>
      </c>
      <c r="D73" s="1292">
        <f t="shared" ref="D73:D74" si="20">C73/$C$75</f>
        <v>0.22222222222222221</v>
      </c>
      <c r="E73" s="1262">
        <v>2</v>
      </c>
      <c r="F73" s="1293">
        <v>22</v>
      </c>
      <c r="G73" s="1263">
        <v>2</v>
      </c>
      <c r="H73" s="1294">
        <v>22</v>
      </c>
      <c r="I73" s="1263">
        <v>2</v>
      </c>
      <c r="J73" s="1294">
        <v>22</v>
      </c>
      <c r="K73" s="1275"/>
      <c r="L73" s="1296"/>
      <c r="M73" s="1275"/>
      <c r="N73" s="1275"/>
      <c r="O73" s="1289"/>
      <c r="Q73" s="61"/>
    </row>
    <row r="74" spans="1:18" ht="15" x14ac:dyDescent="0.25">
      <c r="A74" s="1205"/>
      <c r="B74" s="1297" t="s">
        <v>860</v>
      </c>
      <c r="C74" s="1298">
        <v>6</v>
      </c>
      <c r="D74" s="1292">
        <f t="shared" si="20"/>
        <v>0.66666666666666663</v>
      </c>
      <c r="E74" s="1299">
        <v>6</v>
      </c>
      <c r="F74" s="1300">
        <v>67</v>
      </c>
      <c r="G74" s="1301">
        <v>6</v>
      </c>
      <c r="H74" s="1302">
        <v>67</v>
      </c>
      <c r="I74" s="1301">
        <v>6</v>
      </c>
      <c r="J74" s="1302">
        <v>67</v>
      </c>
      <c r="K74" s="1275"/>
      <c r="L74" s="1296"/>
      <c r="M74" s="1275"/>
      <c r="N74" s="1275"/>
      <c r="O74" s="1289"/>
      <c r="Q74" s="61"/>
    </row>
    <row r="75" spans="1:18" ht="15" x14ac:dyDescent="0.25">
      <c r="A75" s="1205"/>
      <c r="B75" s="1303" t="s">
        <v>708</v>
      </c>
      <c r="C75" s="1243">
        <f t="shared" ref="C75:J75" si="21">SUM(C72:C74)</f>
        <v>9</v>
      </c>
      <c r="D75" s="1304">
        <f>SUM(D72:D74)</f>
        <v>1</v>
      </c>
      <c r="E75" s="1267">
        <f t="shared" si="21"/>
        <v>9</v>
      </c>
      <c r="F75" s="1305">
        <f t="shared" si="21"/>
        <v>100</v>
      </c>
      <c r="G75" s="1245">
        <f t="shared" si="21"/>
        <v>9</v>
      </c>
      <c r="H75" s="1306">
        <f t="shared" si="21"/>
        <v>100</v>
      </c>
      <c r="I75" s="1245">
        <f t="shared" si="21"/>
        <v>9</v>
      </c>
      <c r="J75" s="1306">
        <f t="shared" si="21"/>
        <v>100</v>
      </c>
      <c r="K75" s="1275"/>
      <c r="L75" s="1275"/>
      <c r="M75" s="1275"/>
      <c r="N75" s="1275"/>
      <c r="O75" s="1289"/>
      <c r="Q75" s="61"/>
    </row>
    <row r="76" spans="1:18" ht="15" x14ac:dyDescent="0.25">
      <c r="A76" s="1205"/>
      <c r="B76" s="1290" t="s">
        <v>861</v>
      </c>
      <c r="C76" s="1291" t="s">
        <v>848</v>
      </c>
      <c r="D76" s="1291" t="s">
        <v>849</v>
      </c>
      <c r="E76" s="1291" t="s">
        <v>848</v>
      </c>
      <c r="F76" s="1291" t="s">
        <v>849</v>
      </c>
      <c r="G76" s="1291" t="s">
        <v>848</v>
      </c>
      <c r="H76" s="1291" t="s">
        <v>849</v>
      </c>
      <c r="I76" s="1291" t="s">
        <v>848</v>
      </c>
      <c r="J76" s="1291" t="s">
        <v>849</v>
      </c>
      <c r="K76" s="1275"/>
      <c r="L76" s="1275"/>
      <c r="M76" s="1275"/>
      <c r="N76" s="1275"/>
      <c r="O76" s="1289"/>
      <c r="Q76" s="61"/>
    </row>
    <row r="77" spans="1:18" ht="15" x14ac:dyDescent="0.25">
      <c r="A77" s="1205"/>
      <c r="B77" s="1270" t="s">
        <v>862</v>
      </c>
      <c r="C77" s="1235">
        <v>2</v>
      </c>
      <c r="D77" s="1307">
        <f>C77/$C$80</f>
        <v>0.2857142857142857</v>
      </c>
      <c r="E77" s="1308">
        <v>2</v>
      </c>
      <c r="F77" s="1309">
        <v>28.6</v>
      </c>
      <c r="G77" s="1310">
        <v>1</v>
      </c>
      <c r="H77" s="1311">
        <v>14</v>
      </c>
      <c r="I77" s="1310">
        <v>4</v>
      </c>
      <c r="J77" s="1311">
        <v>57</v>
      </c>
      <c r="K77" s="1275"/>
      <c r="L77" s="1275"/>
      <c r="M77" s="1275"/>
      <c r="N77" s="1275"/>
      <c r="O77" s="1289"/>
      <c r="Q77" s="61"/>
    </row>
    <row r="78" spans="1:18" ht="15" x14ac:dyDescent="0.25">
      <c r="A78" s="1205"/>
      <c r="B78" s="1270" t="s">
        <v>863</v>
      </c>
      <c r="C78" s="1235">
        <v>4</v>
      </c>
      <c r="D78" s="1307">
        <f t="shared" ref="D78:D79" si="22">C78/$C$80</f>
        <v>0.5714285714285714</v>
      </c>
      <c r="E78" s="1308">
        <v>4</v>
      </c>
      <c r="F78" s="1309">
        <v>57.1</v>
      </c>
      <c r="G78" s="1310">
        <v>5</v>
      </c>
      <c r="H78" s="1311">
        <v>72</v>
      </c>
      <c r="I78" s="1310">
        <v>3</v>
      </c>
      <c r="J78" s="1311">
        <v>43</v>
      </c>
      <c r="K78" s="1275"/>
      <c r="L78" s="1275"/>
      <c r="M78" s="1275"/>
      <c r="N78" s="1275"/>
      <c r="O78" s="1289"/>
      <c r="Q78" s="61"/>
    </row>
    <row r="79" spans="1:18" ht="15" x14ac:dyDescent="0.25">
      <c r="A79" s="1205"/>
      <c r="B79" s="1270" t="s">
        <v>864</v>
      </c>
      <c r="C79" s="1235">
        <v>1</v>
      </c>
      <c r="D79" s="1307">
        <f t="shared" si="22"/>
        <v>0.14285714285714285</v>
      </c>
      <c r="E79" s="1236">
        <v>1</v>
      </c>
      <c r="F79" s="1312">
        <v>14.3</v>
      </c>
      <c r="G79" s="1263">
        <v>1</v>
      </c>
      <c r="H79" s="1294">
        <v>14</v>
      </c>
      <c r="I79" s="1313">
        <v>0</v>
      </c>
      <c r="J79" s="1294">
        <v>0</v>
      </c>
      <c r="K79" s="1275"/>
      <c r="L79" s="1275"/>
      <c r="M79" s="1275"/>
      <c r="N79" s="1275"/>
      <c r="O79" s="1289"/>
      <c r="Q79" s="61"/>
    </row>
    <row r="80" spans="1:18" ht="15" x14ac:dyDescent="0.25">
      <c r="A80" s="1205"/>
      <c r="B80" s="1303" t="s">
        <v>708</v>
      </c>
      <c r="C80" s="1243">
        <v>7</v>
      </c>
      <c r="D80" s="1314">
        <f>SUM(D77:D79)</f>
        <v>1</v>
      </c>
      <c r="E80" s="1244">
        <f t="shared" ref="E80:J80" si="23">SUM(E77:E79)</f>
        <v>7</v>
      </c>
      <c r="F80" s="1315">
        <f t="shared" si="23"/>
        <v>100</v>
      </c>
      <c r="G80" s="1245">
        <f t="shared" si="23"/>
        <v>7</v>
      </c>
      <c r="H80" s="1306">
        <f t="shared" si="23"/>
        <v>100</v>
      </c>
      <c r="I80" s="1245">
        <f t="shared" si="23"/>
        <v>7</v>
      </c>
      <c r="J80" s="1306">
        <f t="shared" si="23"/>
        <v>100</v>
      </c>
      <c r="K80" s="1275"/>
      <c r="L80" s="1275"/>
      <c r="M80" s="1275"/>
      <c r="N80" s="1275"/>
      <c r="O80" s="1289"/>
      <c r="Q80" s="61"/>
    </row>
    <row r="81" spans="1:29" ht="15" x14ac:dyDescent="0.25">
      <c r="A81" s="1205"/>
      <c r="B81" s="1290" t="s">
        <v>865</v>
      </c>
      <c r="C81" s="1291" t="s">
        <v>848</v>
      </c>
      <c r="D81" s="1291" t="s">
        <v>849</v>
      </c>
      <c r="E81" s="1291" t="s">
        <v>848</v>
      </c>
      <c r="F81" s="1291" t="s">
        <v>849</v>
      </c>
      <c r="G81" s="1291" t="s">
        <v>848</v>
      </c>
      <c r="H81" s="1291" t="s">
        <v>849</v>
      </c>
      <c r="I81" s="1291" t="s">
        <v>848</v>
      </c>
      <c r="J81" s="1291" t="s">
        <v>849</v>
      </c>
      <c r="K81" s="1275"/>
      <c r="L81" s="1275"/>
      <c r="M81" s="1275"/>
      <c r="N81" s="1275"/>
      <c r="O81" s="1289"/>
      <c r="Q81" s="61"/>
    </row>
    <row r="82" spans="1:29" ht="15" x14ac:dyDescent="0.25">
      <c r="A82" s="1205"/>
      <c r="B82" s="533" t="s">
        <v>866</v>
      </c>
      <c r="C82" s="1235">
        <v>3</v>
      </c>
      <c r="D82" s="1316">
        <f>C82/$C$86</f>
        <v>0.33333333333333331</v>
      </c>
      <c r="E82" s="1308">
        <v>4</v>
      </c>
      <c r="F82" s="1309">
        <v>44.5</v>
      </c>
      <c r="G82" s="1317">
        <v>5</v>
      </c>
      <c r="H82" s="1318">
        <v>56</v>
      </c>
      <c r="I82" s="1317">
        <v>5</v>
      </c>
      <c r="J82" s="1318">
        <v>56</v>
      </c>
      <c r="K82" s="1275"/>
      <c r="L82" s="1275"/>
      <c r="M82" s="1275"/>
      <c r="N82" s="1275"/>
      <c r="O82" s="1289"/>
      <c r="Q82" s="61"/>
    </row>
    <row r="83" spans="1:29" ht="15" x14ac:dyDescent="0.25">
      <c r="A83" s="1205"/>
      <c r="B83" s="533" t="s">
        <v>867</v>
      </c>
      <c r="C83" s="1235">
        <v>3</v>
      </c>
      <c r="D83" s="1316">
        <f t="shared" ref="D83:D85" si="24">C83/$C$86</f>
        <v>0.33333333333333331</v>
      </c>
      <c r="E83" s="1308">
        <v>2</v>
      </c>
      <c r="F83" s="1309">
        <v>22.2</v>
      </c>
      <c r="G83" s="1317">
        <v>2</v>
      </c>
      <c r="H83" s="1318">
        <v>22</v>
      </c>
      <c r="I83" s="1317">
        <v>2</v>
      </c>
      <c r="J83" s="1318">
        <v>22</v>
      </c>
      <c r="K83" s="1275"/>
      <c r="L83" s="1275"/>
      <c r="M83" s="1275"/>
      <c r="N83" s="1275"/>
      <c r="O83" s="1289"/>
      <c r="Q83" s="61"/>
    </row>
    <row r="84" spans="1:29" ht="15" x14ac:dyDescent="0.25">
      <c r="A84" s="1205"/>
      <c r="B84" s="533" t="s">
        <v>868</v>
      </c>
      <c r="C84" s="1235">
        <v>2</v>
      </c>
      <c r="D84" s="1316">
        <f t="shared" si="24"/>
        <v>0.22222222222222221</v>
      </c>
      <c r="E84" s="1308">
        <v>2</v>
      </c>
      <c r="F84" s="1309">
        <v>22.2</v>
      </c>
      <c r="G84" s="1317">
        <v>2</v>
      </c>
      <c r="H84" s="1318">
        <v>22</v>
      </c>
      <c r="I84" s="1317">
        <v>2</v>
      </c>
      <c r="J84" s="1318">
        <v>22</v>
      </c>
      <c r="K84" s="1275"/>
      <c r="L84" s="1275"/>
      <c r="M84" s="1275"/>
      <c r="N84" s="1275"/>
      <c r="O84" s="1289"/>
      <c r="Q84" s="61"/>
    </row>
    <row r="85" spans="1:29" ht="15" x14ac:dyDescent="0.25">
      <c r="A85" s="1205"/>
      <c r="B85" s="533" t="s">
        <v>869</v>
      </c>
      <c r="C85" s="1235">
        <v>1</v>
      </c>
      <c r="D85" s="1316">
        <f t="shared" si="24"/>
        <v>0.1111111111111111</v>
      </c>
      <c r="E85" s="1308">
        <v>1</v>
      </c>
      <c r="F85" s="1309">
        <v>11.1</v>
      </c>
      <c r="G85" s="1317">
        <v>0</v>
      </c>
      <c r="H85" s="1318">
        <v>0</v>
      </c>
      <c r="I85" s="1317">
        <v>0</v>
      </c>
      <c r="J85" s="1318">
        <v>0</v>
      </c>
      <c r="K85" s="1275"/>
      <c r="L85" s="1275"/>
      <c r="M85" s="1275"/>
      <c r="N85" s="1275"/>
      <c r="O85" s="1289"/>
      <c r="Q85" s="61"/>
    </row>
    <row r="86" spans="1:29" ht="15" x14ac:dyDescent="0.25">
      <c r="A86" s="1205"/>
      <c r="B86" s="1303" t="s">
        <v>708</v>
      </c>
      <c r="C86" s="1243">
        <v>9</v>
      </c>
      <c r="D86" s="1314">
        <f>SUM(D82:D85)</f>
        <v>1</v>
      </c>
      <c r="E86" s="1244">
        <f t="shared" ref="E86:J86" si="25">SUM(E82:E85)</f>
        <v>9</v>
      </c>
      <c r="F86" s="1315">
        <f t="shared" si="25"/>
        <v>100</v>
      </c>
      <c r="G86" s="1245">
        <f t="shared" si="25"/>
        <v>9</v>
      </c>
      <c r="H86" s="1306">
        <f t="shared" si="25"/>
        <v>100</v>
      </c>
      <c r="I86" s="1245">
        <f t="shared" si="25"/>
        <v>9</v>
      </c>
      <c r="J86" s="1306">
        <f t="shared" si="25"/>
        <v>100</v>
      </c>
      <c r="K86" s="1275"/>
      <c r="L86" s="1275"/>
      <c r="M86" s="1275"/>
      <c r="N86" s="1275"/>
      <c r="O86" s="1289"/>
      <c r="Q86" s="61"/>
    </row>
    <row r="87" spans="1:29" ht="15" x14ac:dyDescent="0.25">
      <c r="A87" s="1205"/>
      <c r="B87" s="1290" t="s">
        <v>870</v>
      </c>
      <c r="C87" s="1291" t="s">
        <v>848</v>
      </c>
      <c r="D87" s="1291" t="s">
        <v>849</v>
      </c>
      <c r="E87" s="1291" t="s">
        <v>848</v>
      </c>
      <c r="F87" s="1291" t="s">
        <v>849</v>
      </c>
      <c r="G87" s="1291" t="s">
        <v>848</v>
      </c>
      <c r="H87" s="1291" t="s">
        <v>849</v>
      </c>
      <c r="I87" s="1291" t="s">
        <v>848</v>
      </c>
      <c r="J87" s="1291" t="s">
        <v>849</v>
      </c>
      <c r="K87" s="1275"/>
      <c r="L87" s="1275"/>
      <c r="M87" s="1275"/>
      <c r="N87" s="1275"/>
      <c r="O87" s="1289"/>
      <c r="Q87" s="61"/>
    </row>
    <row r="88" spans="1:29" ht="15" x14ac:dyDescent="0.25">
      <c r="A88" s="1205"/>
      <c r="B88" s="533" t="s">
        <v>850</v>
      </c>
      <c r="C88" s="1235">
        <v>8</v>
      </c>
      <c r="D88" s="1307">
        <f>C88/$C$94</f>
        <v>0.88888888888888884</v>
      </c>
      <c r="E88" s="1308">
        <v>8</v>
      </c>
      <c r="F88" s="1309">
        <v>88.9</v>
      </c>
      <c r="G88" s="545">
        <v>8</v>
      </c>
      <c r="H88" s="1319">
        <v>88.9</v>
      </c>
      <c r="I88" s="1117"/>
      <c r="J88" s="1117"/>
      <c r="K88" s="1275"/>
      <c r="L88" s="1275"/>
      <c r="M88" s="1275"/>
      <c r="N88" s="1275"/>
      <c r="O88" s="1289"/>
      <c r="Q88" s="61"/>
    </row>
    <row r="89" spans="1:29" ht="15" x14ac:dyDescent="0.25">
      <c r="A89" s="1205"/>
      <c r="B89" s="533" t="s">
        <v>851</v>
      </c>
      <c r="C89" s="1320">
        <v>0</v>
      </c>
      <c r="D89" s="1307">
        <f t="shared" ref="D89:D93" si="26">C89/$C$94</f>
        <v>0</v>
      </c>
      <c r="E89" s="1308">
        <v>0</v>
      </c>
      <c r="F89" s="1309">
        <v>0</v>
      </c>
      <c r="G89" s="545">
        <v>0</v>
      </c>
      <c r="H89" s="1319">
        <v>0</v>
      </c>
      <c r="I89" s="1117"/>
      <c r="J89" s="1117"/>
      <c r="K89" s="1275"/>
      <c r="L89" s="1275"/>
      <c r="M89" s="1275"/>
      <c r="N89" s="1275"/>
      <c r="O89" s="1289"/>
      <c r="Q89" s="61"/>
    </row>
    <row r="90" spans="1:29" ht="15" x14ac:dyDescent="0.25">
      <c r="A90" s="1205"/>
      <c r="B90" s="533" t="s">
        <v>852</v>
      </c>
      <c r="C90" s="1235">
        <v>1</v>
      </c>
      <c r="D90" s="1307">
        <f t="shared" si="26"/>
        <v>0.1111111111111111</v>
      </c>
      <c r="E90" s="1308">
        <v>1</v>
      </c>
      <c r="F90" s="1309">
        <v>11.1</v>
      </c>
      <c r="G90" s="545">
        <v>1</v>
      </c>
      <c r="H90" s="1319">
        <v>11.1</v>
      </c>
      <c r="I90" s="1117"/>
      <c r="J90" s="1117"/>
      <c r="K90" s="1275"/>
      <c r="L90" s="1275"/>
      <c r="M90" s="1275"/>
      <c r="N90" s="1275"/>
      <c r="O90" s="1289"/>
      <c r="Q90" s="61"/>
    </row>
    <row r="91" spans="1:29" ht="15" x14ac:dyDescent="0.25">
      <c r="A91" s="1205"/>
      <c r="B91" s="533" t="s">
        <v>853</v>
      </c>
      <c r="C91" s="1320">
        <v>0</v>
      </c>
      <c r="D91" s="1307">
        <f t="shared" si="26"/>
        <v>0</v>
      </c>
      <c r="E91" s="1308">
        <v>0</v>
      </c>
      <c r="F91" s="1309">
        <v>0</v>
      </c>
      <c r="G91" s="545">
        <v>0</v>
      </c>
      <c r="H91" s="1319">
        <v>0</v>
      </c>
      <c r="I91" s="1117"/>
      <c r="J91" s="1117"/>
      <c r="K91" s="1275"/>
      <c r="L91" s="1275"/>
      <c r="M91" s="1275"/>
      <c r="N91" s="1275"/>
      <c r="O91" s="1289"/>
      <c r="Q91" s="61"/>
    </row>
    <row r="92" spans="1:29" ht="15" x14ac:dyDescent="0.25">
      <c r="A92" s="1205"/>
      <c r="B92" s="532" t="s">
        <v>854</v>
      </c>
      <c r="C92" s="1320">
        <v>0</v>
      </c>
      <c r="D92" s="1307">
        <f t="shared" si="26"/>
        <v>0</v>
      </c>
      <c r="E92" s="1308">
        <v>0</v>
      </c>
      <c r="F92" s="1309">
        <v>0</v>
      </c>
      <c r="G92" s="545">
        <v>0</v>
      </c>
      <c r="H92" s="1319">
        <v>0</v>
      </c>
      <c r="I92" s="1117"/>
      <c r="J92" s="1117"/>
      <c r="K92" s="1275"/>
      <c r="L92" s="1275"/>
      <c r="M92" s="1275"/>
      <c r="N92" s="1275"/>
      <c r="O92" s="1289"/>
      <c r="Q92" s="61"/>
    </row>
    <row r="93" spans="1:29" ht="15" x14ac:dyDescent="0.25">
      <c r="A93" s="1205"/>
      <c r="B93" s="1270" t="s">
        <v>855</v>
      </c>
      <c r="C93" s="1320">
        <v>0</v>
      </c>
      <c r="D93" s="1307">
        <f t="shared" si="26"/>
        <v>0</v>
      </c>
      <c r="E93" s="1308">
        <v>0</v>
      </c>
      <c r="F93" s="1309">
        <v>0</v>
      </c>
      <c r="G93" s="545">
        <v>0</v>
      </c>
      <c r="H93" s="1319">
        <v>0</v>
      </c>
      <c r="I93" s="1117"/>
      <c r="J93" s="1117"/>
      <c r="K93" s="1275"/>
      <c r="L93" s="1275"/>
      <c r="M93" s="1275"/>
      <c r="N93" s="1275"/>
      <c r="O93" s="1289"/>
      <c r="Q93" s="61"/>
    </row>
    <row r="94" spans="1:29" ht="15" x14ac:dyDescent="0.25">
      <c r="A94" s="1205"/>
      <c r="B94" s="1321" t="s">
        <v>708</v>
      </c>
      <c r="C94" s="1322">
        <f t="shared" ref="C94:H94" si="27">SUM(C88:C93)</f>
        <v>9</v>
      </c>
      <c r="D94" s="1323">
        <f>SUM(D88:D93)</f>
        <v>1</v>
      </c>
      <c r="E94" s="1322">
        <f t="shared" si="27"/>
        <v>9</v>
      </c>
      <c r="F94" s="1324">
        <f t="shared" si="27"/>
        <v>100</v>
      </c>
      <c r="G94" s="1325">
        <f t="shared" si="27"/>
        <v>9</v>
      </c>
      <c r="H94" s="1326">
        <f t="shared" si="27"/>
        <v>100</v>
      </c>
      <c r="I94" s="1117"/>
      <c r="J94" s="1117"/>
      <c r="K94" s="1275"/>
      <c r="L94" s="1275"/>
      <c r="M94" s="1275"/>
      <c r="N94" s="1275"/>
      <c r="O94" s="1289"/>
      <c r="Q94" s="61"/>
    </row>
    <row r="95" spans="1:29" s="1271" customFormat="1" ht="13.5" hidden="1" x14ac:dyDescent="0.25">
      <c r="A95" s="371"/>
      <c r="B95" s="1327"/>
      <c r="C95" s="1327"/>
      <c r="D95" s="1328"/>
      <c r="E95" s="1329"/>
      <c r="F95" s="1329"/>
      <c r="G95" s="1328"/>
      <c r="H95" s="1329"/>
      <c r="I95" s="1329"/>
      <c r="J95" s="1329"/>
      <c r="K95" s="1329"/>
      <c r="L95" s="1329"/>
      <c r="M95" s="1329"/>
      <c r="N95" s="1329"/>
      <c r="O95" s="1329"/>
      <c r="P95" s="1329"/>
      <c r="Q95" s="1254"/>
      <c r="R95" s="72"/>
      <c r="S95" s="73"/>
      <c r="T95" s="72"/>
      <c r="U95" s="72"/>
      <c r="V95" s="72"/>
      <c r="W95" s="72"/>
      <c r="X95" s="72"/>
      <c r="Y95" s="72"/>
      <c r="Z95" s="72"/>
      <c r="AA95" s="72"/>
      <c r="AB95" s="72"/>
      <c r="AC95" s="72"/>
    </row>
    <row r="96" spans="1:29" s="1271" customFormat="1" ht="13.5" x14ac:dyDescent="0.25">
      <c r="A96" s="371"/>
      <c r="B96" s="1327"/>
      <c r="C96" s="1327"/>
      <c r="D96" s="1328"/>
      <c r="E96" s="1329"/>
      <c r="F96" s="1329"/>
      <c r="G96" s="1328"/>
      <c r="H96" s="1329"/>
      <c r="I96" s="1329"/>
      <c r="J96" s="1329"/>
      <c r="K96" s="1329"/>
      <c r="L96" s="1329"/>
      <c r="M96" s="1329"/>
      <c r="N96" s="1329"/>
      <c r="O96" s="1329"/>
      <c r="P96" s="1329"/>
      <c r="Q96" s="1254"/>
      <c r="R96" s="72"/>
      <c r="S96" s="73"/>
      <c r="T96" s="72"/>
      <c r="U96" s="72"/>
      <c r="V96" s="72"/>
      <c r="W96" s="72"/>
      <c r="X96" s="72"/>
      <c r="Y96" s="72"/>
      <c r="Z96" s="72"/>
      <c r="AA96" s="72"/>
      <c r="AB96" s="72"/>
      <c r="AC96" s="72"/>
    </row>
    <row r="97" spans="1:22" ht="17.5" x14ac:dyDescent="0.25">
      <c r="B97" s="1255" t="s">
        <v>871</v>
      </c>
      <c r="C97" s="1621" t="s">
        <v>431</v>
      </c>
      <c r="D97" s="1621"/>
      <c r="E97" s="1621"/>
      <c r="F97" s="1621"/>
      <c r="G97" s="1603" t="s">
        <v>432</v>
      </c>
      <c r="H97" s="1603"/>
      <c r="I97" s="1603"/>
      <c r="J97" s="1603" t="s">
        <v>433</v>
      </c>
      <c r="K97" s="1603"/>
      <c r="L97" s="1603"/>
      <c r="M97" s="1603" t="s">
        <v>434</v>
      </c>
      <c r="N97" s="1603"/>
      <c r="O97" s="1603"/>
      <c r="P97" s="1603" t="s">
        <v>435</v>
      </c>
      <c r="Q97" s="1603"/>
      <c r="R97" s="1603"/>
      <c r="S97" s="1329"/>
      <c r="T97" s="9"/>
      <c r="U97" s="61"/>
      <c r="V97" s="61"/>
    </row>
    <row r="98" spans="1:22" ht="30" x14ac:dyDescent="0.25">
      <c r="A98" s="9"/>
      <c r="B98" s="1213" t="s">
        <v>809</v>
      </c>
      <c r="C98" s="1214" t="s">
        <v>810</v>
      </c>
      <c r="D98" s="1214" t="s">
        <v>811</v>
      </c>
      <c r="E98" s="1214" t="s">
        <v>812</v>
      </c>
      <c r="F98" s="1214" t="s">
        <v>708</v>
      </c>
      <c r="G98" s="1330" t="s">
        <v>810</v>
      </c>
      <c r="H98" s="1330" t="s">
        <v>811</v>
      </c>
      <c r="I98" s="1330" t="s">
        <v>708</v>
      </c>
      <c r="J98" s="1330" t="s">
        <v>810</v>
      </c>
      <c r="K98" s="1330" t="s">
        <v>811</v>
      </c>
      <c r="L98" s="1330" t="s">
        <v>708</v>
      </c>
      <c r="M98" s="1330" t="s">
        <v>810</v>
      </c>
      <c r="N98" s="1330" t="s">
        <v>811</v>
      </c>
      <c r="O98" s="1330" t="s">
        <v>708</v>
      </c>
      <c r="P98" s="1330" t="s">
        <v>810</v>
      </c>
      <c r="Q98" s="1330" t="s">
        <v>811</v>
      </c>
      <c r="R98" s="1330" t="s">
        <v>708</v>
      </c>
      <c r="S98" s="1329"/>
      <c r="T98" s="9"/>
      <c r="U98" s="92" t="s">
        <v>813</v>
      </c>
    </row>
    <row r="99" spans="1:22" ht="15" x14ac:dyDescent="0.25">
      <c r="B99" s="528" t="s">
        <v>832</v>
      </c>
      <c r="C99" s="1235">
        <v>398</v>
      </c>
      <c r="D99" s="1235">
        <v>672</v>
      </c>
      <c r="E99" s="1235">
        <v>26</v>
      </c>
      <c r="F99" s="1243">
        <v>1096</v>
      </c>
      <c r="G99" s="1236">
        <v>765</v>
      </c>
      <c r="H99" s="1236">
        <v>1232</v>
      </c>
      <c r="I99" s="1236">
        <f>SUM(G99:H99)</f>
        <v>1997</v>
      </c>
      <c r="J99" s="1263">
        <v>748</v>
      </c>
      <c r="K99" s="1263">
        <v>1496</v>
      </c>
      <c r="L99" s="1331">
        <f>J99+K99</f>
        <v>2244</v>
      </c>
      <c r="M99" s="1263">
        <v>718</v>
      </c>
      <c r="N99" s="1263">
        <v>1355</v>
      </c>
      <c r="O99" s="1263">
        <f>M99+N99</f>
        <v>2073</v>
      </c>
      <c r="P99" s="1263">
        <v>475</v>
      </c>
      <c r="Q99" s="1263">
        <v>1117</v>
      </c>
      <c r="R99" s="1263">
        <f>P99+Q99</f>
        <v>1592</v>
      </c>
      <c r="S99" s="61"/>
      <c r="T99" s="9"/>
      <c r="U99" s="61"/>
    </row>
    <row r="100" spans="1:22" ht="15" x14ac:dyDescent="0.25">
      <c r="B100" s="528" t="s">
        <v>872</v>
      </c>
      <c r="C100" s="1235">
        <v>217</v>
      </c>
      <c r="D100" s="1235">
        <v>517</v>
      </c>
      <c r="E100" s="1235">
        <v>8</v>
      </c>
      <c r="F100" s="1235">
        <v>739</v>
      </c>
      <c r="G100" s="1236">
        <v>405</v>
      </c>
      <c r="H100" s="1236">
        <v>817</v>
      </c>
      <c r="I100" s="1236">
        <f>SUM(G100:H100)</f>
        <v>1222</v>
      </c>
      <c r="J100" s="1263">
        <v>449</v>
      </c>
      <c r="K100" s="1263">
        <v>1082</v>
      </c>
      <c r="L100" s="1331">
        <f>J100+K100</f>
        <v>1531</v>
      </c>
      <c r="M100" s="1263">
        <v>444</v>
      </c>
      <c r="N100" s="1263">
        <v>1115</v>
      </c>
      <c r="O100" s="1263">
        <f>M100+N100</f>
        <v>1559</v>
      </c>
      <c r="P100" s="1263">
        <v>317</v>
      </c>
      <c r="Q100" s="1263">
        <v>797</v>
      </c>
      <c r="R100" s="1263">
        <f>P100+Q100</f>
        <v>1114</v>
      </c>
      <c r="S100" s="61"/>
      <c r="T100" s="9"/>
      <c r="U100" s="61"/>
    </row>
    <row r="101" spans="1:22" ht="15" hidden="1" x14ac:dyDescent="0.25">
      <c r="B101" s="1087" t="s">
        <v>873</v>
      </c>
      <c r="C101" s="1235"/>
      <c r="D101" s="1235"/>
      <c r="E101" s="1235"/>
      <c r="F101" s="1235"/>
      <c r="G101" s="1236">
        <v>2</v>
      </c>
      <c r="H101" s="1236">
        <v>0</v>
      </c>
      <c r="I101" s="1236">
        <f>SUM(G101:H101)</f>
        <v>2</v>
      </c>
      <c r="J101" s="1263"/>
      <c r="K101" s="1263"/>
      <c r="L101" s="1331"/>
      <c r="M101" s="1263"/>
      <c r="N101" s="1263"/>
      <c r="O101" s="1263"/>
      <c r="P101" s="1263"/>
      <c r="Q101" s="1263"/>
      <c r="R101" s="1263"/>
      <c r="S101" s="61"/>
      <c r="T101" s="9"/>
      <c r="U101" s="61"/>
    </row>
    <row r="102" spans="1:22" ht="15" x14ac:dyDescent="0.25">
      <c r="B102" s="528" t="s">
        <v>874</v>
      </c>
      <c r="C102" s="1235">
        <v>781</v>
      </c>
      <c r="D102" s="1235">
        <v>912</v>
      </c>
      <c r="E102" s="1235">
        <v>17</v>
      </c>
      <c r="F102" s="1235">
        <v>1710</v>
      </c>
      <c r="G102" s="1236">
        <v>442</v>
      </c>
      <c r="H102" s="1236">
        <v>1025</v>
      </c>
      <c r="I102" s="1236">
        <f>SUM(G102:H102)</f>
        <v>1467</v>
      </c>
      <c r="J102" s="1263">
        <v>375</v>
      </c>
      <c r="K102" s="1263">
        <v>996</v>
      </c>
      <c r="L102" s="1331">
        <f>J102+K102</f>
        <v>1371</v>
      </c>
      <c r="M102" s="1263">
        <v>115</v>
      </c>
      <c r="N102" s="1263">
        <v>396</v>
      </c>
      <c r="O102" s="1263">
        <f>M102+N102</f>
        <v>511</v>
      </c>
      <c r="P102" s="1263">
        <v>230</v>
      </c>
      <c r="Q102" s="1263">
        <v>782</v>
      </c>
      <c r="R102" s="1263">
        <f>P102+Q102</f>
        <v>1012</v>
      </c>
      <c r="S102" s="61"/>
      <c r="T102" s="9"/>
      <c r="U102" s="61"/>
    </row>
    <row r="103" spans="1:22" ht="15" hidden="1" x14ac:dyDescent="0.25">
      <c r="B103" s="1087" t="s">
        <v>875</v>
      </c>
      <c r="C103" s="1235"/>
      <c r="D103" s="1235"/>
      <c r="E103" s="1235"/>
      <c r="F103" s="1235"/>
      <c r="G103" s="1236">
        <v>36</v>
      </c>
      <c r="H103" s="1236">
        <v>15</v>
      </c>
      <c r="I103" s="1236">
        <f>SUM(G103:H103)</f>
        <v>51</v>
      </c>
      <c r="J103" s="1263"/>
      <c r="K103" s="1263"/>
      <c r="L103" s="1331"/>
      <c r="M103" s="1263"/>
      <c r="N103" s="1263"/>
      <c r="O103" s="1263"/>
      <c r="P103" s="1263"/>
      <c r="Q103" s="1263"/>
      <c r="R103" s="1263"/>
      <c r="S103" s="61"/>
      <c r="T103" s="9"/>
      <c r="U103" s="61"/>
    </row>
    <row r="104" spans="1:22" ht="15" x14ac:dyDescent="0.25">
      <c r="B104" s="717" t="s">
        <v>876</v>
      </c>
      <c r="C104" s="1307">
        <v>7.0000000000000007E-2</v>
      </c>
      <c r="D104" s="1307">
        <v>7.0000000000000007E-2</v>
      </c>
      <c r="E104" s="1307">
        <v>0.12</v>
      </c>
      <c r="F104" s="1307">
        <v>7.0000000000000007E-2</v>
      </c>
      <c r="G104" s="1332">
        <v>0.114</v>
      </c>
      <c r="H104" s="1332">
        <v>9.7000000000000003E-2</v>
      </c>
      <c r="I104" s="1332">
        <v>0.105</v>
      </c>
      <c r="J104" s="1333">
        <v>0.123</v>
      </c>
      <c r="K104" s="1333">
        <v>0.121</v>
      </c>
      <c r="L104" s="1333">
        <v>0.122</v>
      </c>
      <c r="M104" s="1618">
        <v>0.11550000000000001</v>
      </c>
      <c r="N104" s="1618"/>
      <c r="O104" s="1618"/>
      <c r="P104" s="1618">
        <v>8.2000000000000003E-2</v>
      </c>
      <c r="Q104" s="1618"/>
      <c r="R104" s="1618"/>
      <c r="S104" s="61"/>
      <c r="T104" s="9"/>
      <c r="U104" s="61"/>
    </row>
    <row r="105" spans="1:22" ht="15" x14ac:dyDescent="0.25">
      <c r="B105" s="717" t="s">
        <v>877</v>
      </c>
      <c r="C105" s="1307">
        <v>0.27</v>
      </c>
      <c r="D105" s="1307">
        <v>0.12</v>
      </c>
      <c r="E105" s="1307">
        <v>0.24</v>
      </c>
      <c r="F105" s="1307">
        <v>0.16</v>
      </c>
      <c r="G105" s="1332">
        <v>0.127</v>
      </c>
      <c r="H105" s="1332">
        <v>0.125</v>
      </c>
      <c r="I105" s="1332">
        <v>0.126</v>
      </c>
      <c r="J105" s="1333">
        <v>0.10299999999999999</v>
      </c>
      <c r="K105" s="1333">
        <v>0.111</v>
      </c>
      <c r="L105" s="1333">
        <v>0.109</v>
      </c>
      <c r="M105" s="1618">
        <v>3.7900000000000003E-2</v>
      </c>
      <c r="N105" s="1618"/>
      <c r="O105" s="1618"/>
      <c r="P105" s="1618">
        <v>7.4999999999999997E-2</v>
      </c>
      <c r="Q105" s="1618"/>
      <c r="R105" s="1618"/>
      <c r="S105" s="61"/>
      <c r="T105" s="9"/>
      <c r="U105" s="61"/>
    </row>
    <row r="106" spans="1:22" ht="15" x14ac:dyDescent="0.25">
      <c r="B106" s="718" t="s">
        <v>878</v>
      </c>
      <c r="C106" s="1314">
        <v>0.35</v>
      </c>
      <c r="D106" s="1314">
        <v>0.19</v>
      </c>
      <c r="E106" s="1314">
        <v>0.36</v>
      </c>
      <c r="F106" s="1314">
        <v>0.23</v>
      </c>
      <c r="G106" s="1334">
        <f t="shared" ref="G106:M106" si="28">G104+G105</f>
        <v>0.24099999999999999</v>
      </c>
      <c r="H106" s="1334">
        <f t="shared" si="28"/>
        <v>0.222</v>
      </c>
      <c r="I106" s="1335">
        <f t="shared" si="28"/>
        <v>0.23099999999999998</v>
      </c>
      <c r="J106" s="1336">
        <f t="shared" si="28"/>
        <v>0.22599999999999998</v>
      </c>
      <c r="K106" s="1336">
        <f t="shared" si="28"/>
        <v>0.23199999999999998</v>
      </c>
      <c r="L106" s="1337">
        <f t="shared" si="28"/>
        <v>0.23099999999999998</v>
      </c>
      <c r="M106" s="1617">
        <f t="shared" si="28"/>
        <v>0.15340000000000001</v>
      </c>
      <c r="N106" s="1617"/>
      <c r="O106" s="1617"/>
      <c r="P106" s="1617">
        <f>P104+P105</f>
        <v>0.157</v>
      </c>
      <c r="Q106" s="1617"/>
      <c r="R106" s="1617"/>
      <c r="S106" s="61"/>
      <c r="T106" s="9"/>
      <c r="U106" s="61"/>
    </row>
    <row r="107" spans="1:22" ht="14" x14ac:dyDescent="0.3">
      <c r="B107" s="1338" t="s">
        <v>879</v>
      </c>
      <c r="C107" s="1338"/>
      <c r="D107" s="96"/>
      <c r="E107" s="63"/>
      <c r="F107" s="63"/>
      <c r="G107" s="63"/>
      <c r="H107" s="1339"/>
      <c r="I107" s="63"/>
      <c r="J107" s="63"/>
      <c r="K107" s="63"/>
      <c r="L107" s="63"/>
      <c r="M107" s="63"/>
      <c r="N107" s="63"/>
      <c r="P107" s="61"/>
      <c r="Q107" s="61"/>
    </row>
    <row r="108" spans="1:22" ht="14" hidden="1" x14ac:dyDescent="0.3">
      <c r="B108" s="1338" t="s">
        <v>880</v>
      </c>
      <c r="C108" s="1338"/>
      <c r="D108" s="96"/>
      <c r="E108" s="63"/>
      <c r="F108" s="63"/>
      <c r="G108" s="63"/>
      <c r="H108" s="1339"/>
      <c r="I108" s="63"/>
      <c r="J108" s="63"/>
      <c r="K108" s="63"/>
      <c r="L108" s="63"/>
      <c r="M108" s="63"/>
      <c r="N108" s="63"/>
      <c r="P108" s="61"/>
      <c r="Q108" s="61"/>
    </row>
    <row r="109" spans="1:22" ht="13.5" hidden="1" x14ac:dyDescent="0.25">
      <c r="B109" s="61"/>
      <c r="C109" s="61"/>
      <c r="D109" s="61"/>
      <c r="E109" s="61"/>
      <c r="F109" s="61"/>
      <c r="G109" s="61"/>
      <c r="H109" s="61"/>
      <c r="I109" s="61"/>
      <c r="J109" s="61"/>
      <c r="K109" s="61"/>
      <c r="L109" s="61"/>
      <c r="M109" s="61"/>
      <c r="N109" s="61"/>
      <c r="P109" s="61"/>
      <c r="Q109" s="61"/>
    </row>
    <row r="110" spans="1:22" ht="17.5" hidden="1" x14ac:dyDescent="0.25">
      <c r="B110" s="1615" t="s">
        <v>881</v>
      </c>
      <c r="C110" s="1340"/>
      <c r="D110" s="1616" t="s">
        <v>432</v>
      </c>
      <c r="E110" s="1616"/>
      <c r="F110" s="1616"/>
      <c r="G110" s="1616" t="s">
        <v>433</v>
      </c>
      <c r="H110" s="1616"/>
      <c r="I110" s="1616"/>
      <c r="J110" s="63"/>
      <c r="K110" s="63"/>
      <c r="L110" s="63"/>
      <c r="N110" s="63"/>
      <c r="O110" s="2"/>
      <c r="P110" s="2"/>
    </row>
    <row r="111" spans="1:22" ht="54" hidden="1" x14ac:dyDescent="0.25">
      <c r="B111" s="1615"/>
      <c r="C111" s="1340"/>
      <c r="D111" s="1341" t="s">
        <v>882</v>
      </c>
      <c r="E111" s="707" t="s">
        <v>883</v>
      </c>
      <c r="F111" s="707" t="s">
        <v>884</v>
      </c>
      <c r="G111" s="1341" t="s">
        <v>882</v>
      </c>
      <c r="H111" s="707" t="s">
        <v>883</v>
      </c>
      <c r="I111" s="707" t="s">
        <v>884</v>
      </c>
      <c r="J111" s="63"/>
      <c r="K111" s="63"/>
      <c r="N111" s="63"/>
      <c r="O111" s="2"/>
      <c r="P111" s="2"/>
    </row>
    <row r="112" spans="1:22" ht="15" hidden="1" x14ac:dyDescent="0.3">
      <c r="B112" s="962" t="s">
        <v>815</v>
      </c>
      <c r="C112" s="962"/>
      <c r="D112" s="1342">
        <v>4035</v>
      </c>
      <c r="E112" s="1343">
        <v>810</v>
      </c>
      <c r="F112" s="1344">
        <f t="shared" ref="F112:F117" si="29">E112/D112</f>
        <v>0.20074349442379183</v>
      </c>
      <c r="G112" s="1345">
        <v>4162</v>
      </c>
      <c r="H112" s="1085">
        <v>893</v>
      </c>
      <c r="I112" s="1346">
        <f t="shared" ref="I112:I117" si="30">H112/(G112)</f>
        <v>0.2145603075444498</v>
      </c>
      <c r="J112" s="63"/>
      <c r="K112" s="63"/>
      <c r="L112" s="63"/>
      <c r="M112" s="63"/>
      <c r="N112" s="63"/>
      <c r="O112" s="2"/>
      <c r="P112" s="2"/>
    </row>
    <row r="113" spans="2:18" ht="15" hidden="1" x14ac:dyDescent="0.3">
      <c r="B113" s="962" t="s">
        <v>816</v>
      </c>
      <c r="C113" s="962"/>
      <c r="D113" s="1342">
        <v>2840</v>
      </c>
      <c r="E113" s="1343">
        <v>709</v>
      </c>
      <c r="F113" s="1344">
        <f t="shared" si="29"/>
        <v>0.24964788732394366</v>
      </c>
      <c r="G113" s="1345">
        <v>2734</v>
      </c>
      <c r="H113" s="1085">
        <v>668</v>
      </c>
      <c r="I113" s="1346">
        <f t="shared" si="30"/>
        <v>0.24433065106071689</v>
      </c>
      <c r="J113" s="1347"/>
      <c r="K113" s="63"/>
      <c r="L113" s="63"/>
      <c r="M113" s="63"/>
      <c r="N113" s="63"/>
      <c r="O113" s="2"/>
      <c r="P113" s="2"/>
    </row>
    <row r="114" spans="2:18" ht="15" hidden="1" x14ac:dyDescent="0.3">
      <c r="B114" s="962" t="s">
        <v>817</v>
      </c>
      <c r="C114" s="962"/>
      <c r="D114" s="1342">
        <v>2025</v>
      </c>
      <c r="E114" s="1343">
        <v>407</v>
      </c>
      <c r="F114" s="1344">
        <f t="shared" si="29"/>
        <v>0.20098765432098764</v>
      </c>
      <c r="G114" s="1345">
        <v>2271</v>
      </c>
      <c r="H114" s="1085">
        <v>397</v>
      </c>
      <c r="I114" s="1346">
        <f t="shared" si="30"/>
        <v>0.17481285777190664</v>
      </c>
      <c r="J114" s="1347"/>
      <c r="K114" s="63"/>
      <c r="L114" s="63"/>
      <c r="M114" s="63"/>
      <c r="N114" s="63"/>
      <c r="O114" s="2"/>
      <c r="P114" s="2"/>
    </row>
    <row r="115" spans="2:18" ht="15" hidden="1" x14ac:dyDescent="0.3">
      <c r="B115" s="962" t="s">
        <v>818</v>
      </c>
      <c r="C115" s="962"/>
      <c r="D115" s="1342">
        <v>2384</v>
      </c>
      <c r="E115" s="1343">
        <v>677</v>
      </c>
      <c r="F115" s="1344">
        <f t="shared" si="29"/>
        <v>0.28397651006711411</v>
      </c>
      <c r="G115" s="1345">
        <v>2442</v>
      </c>
      <c r="H115" s="1085">
        <v>660</v>
      </c>
      <c r="I115" s="1346">
        <f t="shared" si="30"/>
        <v>0.27027027027027029</v>
      </c>
      <c r="J115" s="1347"/>
      <c r="K115" s="63"/>
      <c r="L115" s="63"/>
      <c r="M115" s="63"/>
      <c r="N115" s="63"/>
      <c r="O115" s="2"/>
      <c r="P115" s="2"/>
    </row>
    <row r="116" spans="2:18" ht="15" hidden="1" x14ac:dyDescent="0.3">
      <c r="B116" s="962" t="s">
        <v>819</v>
      </c>
      <c r="C116" s="962"/>
      <c r="D116" s="1342">
        <v>824</v>
      </c>
      <c r="E116" s="1343">
        <v>411</v>
      </c>
      <c r="F116" s="1344">
        <f t="shared" si="29"/>
        <v>0.49878640776699029</v>
      </c>
      <c r="G116" s="1345">
        <v>1057</v>
      </c>
      <c r="H116" s="1085">
        <v>545</v>
      </c>
      <c r="I116" s="1346">
        <f t="shared" si="30"/>
        <v>0.51561021759697256</v>
      </c>
      <c r="J116" s="1347"/>
      <c r="K116" s="63"/>
      <c r="L116" s="63"/>
      <c r="M116" s="63"/>
      <c r="N116" s="63"/>
      <c r="O116" s="2"/>
      <c r="P116" s="2"/>
    </row>
    <row r="117" spans="2:18" ht="15" hidden="1" x14ac:dyDescent="0.3">
      <c r="B117" s="1348" t="s">
        <v>885</v>
      </c>
      <c r="C117" s="1348"/>
      <c r="D117" s="1343">
        <v>12206</v>
      </c>
      <c r="E117" s="1343">
        <f>SUM(E112:E116)</f>
        <v>3014</v>
      </c>
      <c r="F117" s="1344">
        <f t="shared" si="29"/>
        <v>0.24692774045551369</v>
      </c>
      <c r="G117" s="1085">
        <f>SUM(G112:G116)</f>
        <v>12666</v>
      </c>
      <c r="H117" s="1085">
        <f>SUM(H112:H116)</f>
        <v>3163</v>
      </c>
      <c r="I117" s="1346">
        <f t="shared" si="30"/>
        <v>0.24972366966682458</v>
      </c>
      <c r="J117" s="1347"/>
      <c r="K117" s="63"/>
      <c r="L117" s="63"/>
      <c r="M117" s="63"/>
      <c r="N117" s="63"/>
      <c r="O117" s="2"/>
      <c r="P117" s="2"/>
    </row>
    <row r="118" spans="2:18" ht="13.5" x14ac:dyDescent="0.25">
      <c r="D118" s="91"/>
    </row>
    <row r="119" spans="2:18" ht="13.5" x14ac:dyDescent="0.25">
      <c r="B119" s="1635" t="s">
        <v>881</v>
      </c>
      <c r="C119" s="1634" t="s">
        <v>431</v>
      </c>
      <c r="D119" s="1634"/>
      <c r="E119" s="1634"/>
      <c r="F119" s="1626" t="s">
        <v>432</v>
      </c>
      <c r="G119" s="1626"/>
      <c r="H119" s="1626"/>
      <c r="I119" s="1626" t="s">
        <v>433</v>
      </c>
      <c r="J119" s="1626"/>
      <c r="K119" s="1626"/>
      <c r="Q119" s="9"/>
      <c r="R119" s="9"/>
    </row>
    <row r="120" spans="2:18" ht="40.5" x14ac:dyDescent="0.25">
      <c r="B120" s="1635"/>
      <c r="C120" s="1350" t="s">
        <v>825</v>
      </c>
      <c r="D120" s="1349" t="s">
        <v>886</v>
      </c>
      <c r="E120" s="1349" t="s">
        <v>884</v>
      </c>
      <c r="F120" s="1350" t="s">
        <v>825</v>
      </c>
      <c r="G120" s="1349" t="s">
        <v>886</v>
      </c>
      <c r="H120" s="1349" t="s">
        <v>884</v>
      </c>
      <c r="I120" s="1350" t="s">
        <v>825</v>
      </c>
      <c r="J120" s="1349" t="s">
        <v>886</v>
      </c>
      <c r="K120" s="1349" t="s">
        <v>884</v>
      </c>
      <c r="Q120" s="9"/>
      <c r="R120" s="9"/>
    </row>
    <row r="121" spans="2:18" ht="15" x14ac:dyDescent="0.3">
      <c r="B121" s="962" t="s">
        <v>815</v>
      </c>
      <c r="C121" s="1342">
        <v>3485</v>
      </c>
      <c r="D121" s="1343">
        <v>687</v>
      </c>
      <c r="E121" s="1344">
        <v>0.2</v>
      </c>
      <c r="F121" s="1351">
        <v>3879</v>
      </c>
      <c r="G121" s="1352">
        <v>775</v>
      </c>
      <c r="H121" s="1353">
        <f>G121/F121</f>
        <v>0.19979376127868007</v>
      </c>
      <c r="I121" s="1345">
        <v>4079</v>
      </c>
      <c r="J121" s="1085">
        <v>835</v>
      </c>
      <c r="K121" s="1346">
        <f>J121/(I121)</f>
        <v>0.20470703603824467</v>
      </c>
      <c r="Q121" s="9"/>
      <c r="R121" s="9"/>
    </row>
    <row r="122" spans="2:18" ht="15" x14ac:dyDescent="0.3">
      <c r="B122" s="962" t="s">
        <v>816</v>
      </c>
      <c r="C122" s="1342">
        <v>2350</v>
      </c>
      <c r="D122" s="1343">
        <v>706</v>
      </c>
      <c r="E122" s="1344">
        <v>0.3</v>
      </c>
      <c r="F122" s="1351">
        <v>2876</v>
      </c>
      <c r="G122" s="1352">
        <v>722</v>
      </c>
      <c r="H122" s="1353">
        <f t="shared" ref="H122:H127" si="31">G122/F122</f>
        <v>0.25104311543810848</v>
      </c>
      <c r="I122" s="1345">
        <v>2858</v>
      </c>
      <c r="J122" s="1085">
        <v>688</v>
      </c>
      <c r="K122" s="1346">
        <f t="shared" ref="K122:K127" si="32">J122/(I122)</f>
        <v>0.24072778166550035</v>
      </c>
      <c r="Q122" s="9"/>
      <c r="R122" s="9"/>
    </row>
    <row r="123" spans="2:18" ht="15" x14ac:dyDescent="0.3">
      <c r="B123" s="962" t="s">
        <v>817</v>
      </c>
      <c r="C123" s="1342">
        <v>1975</v>
      </c>
      <c r="D123" s="1343">
        <v>481</v>
      </c>
      <c r="E123" s="1344">
        <v>0.24</v>
      </c>
      <c r="F123" s="1351">
        <v>2014</v>
      </c>
      <c r="G123" s="1352">
        <v>400</v>
      </c>
      <c r="H123" s="1353">
        <f t="shared" si="31"/>
        <v>0.19860973187686196</v>
      </c>
      <c r="I123" s="1345">
        <v>2186</v>
      </c>
      <c r="J123" s="1085">
        <v>419</v>
      </c>
      <c r="K123" s="1346">
        <f t="shared" si="32"/>
        <v>0.19167429094236046</v>
      </c>
      <c r="Q123" s="9"/>
      <c r="R123" s="9"/>
    </row>
    <row r="124" spans="2:18" ht="15" x14ac:dyDescent="0.3">
      <c r="B124" s="962" t="s">
        <v>818</v>
      </c>
      <c r="C124" s="1342">
        <v>2172</v>
      </c>
      <c r="D124" s="1343">
        <v>743</v>
      </c>
      <c r="E124" s="1344">
        <v>0.34</v>
      </c>
      <c r="F124" s="1351">
        <f>1361+936</f>
        <v>2297</v>
      </c>
      <c r="G124" s="1352">
        <v>689</v>
      </c>
      <c r="H124" s="1353">
        <f t="shared" si="31"/>
        <v>0.29995646495428818</v>
      </c>
      <c r="I124" s="1345">
        <f>1404+1055</f>
        <v>2459</v>
      </c>
      <c r="J124" s="1085">
        <v>664</v>
      </c>
      <c r="K124" s="1346">
        <f t="shared" si="32"/>
        <v>0.27002846685644571</v>
      </c>
      <c r="Q124" s="9"/>
      <c r="R124" s="9"/>
    </row>
    <row r="125" spans="2:18" ht="15" hidden="1" x14ac:dyDescent="0.3">
      <c r="B125" s="962" t="s">
        <v>823</v>
      </c>
      <c r="C125" s="1342"/>
      <c r="D125" s="1343"/>
      <c r="E125" s="1344"/>
      <c r="F125" s="1351">
        <v>936</v>
      </c>
      <c r="G125" s="1352">
        <v>0</v>
      </c>
      <c r="H125" s="1353">
        <f t="shared" si="31"/>
        <v>0</v>
      </c>
      <c r="I125" s="1345">
        <v>1055</v>
      </c>
      <c r="J125" s="1085">
        <v>0</v>
      </c>
      <c r="K125" s="1346">
        <f t="shared" si="32"/>
        <v>0</v>
      </c>
      <c r="Q125" s="9"/>
      <c r="R125" s="9"/>
    </row>
    <row r="126" spans="2:18" ht="15" x14ac:dyDescent="0.3">
      <c r="B126" s="962" t="s">
        <v>819</v>
      </c>
      <c r="C126" s="1342">
        <v>173</v>
      </c>
      <c r="D126" s="1343">
        <v>81</v>
      </c>
      <c r="E126" s="1344">
        <v>0.47</v>
      </c>
      <c r="F126" s="1351">
        <v>619</v>
      </c>
      <c r="G126" s="1352">
        <v>278</v>
      </c>
      <c r="H126" s="1353">
        <f t="shared" si="31"/>
        <v>0.44911147011308561</v>
      </c>
      <c r="I126" s="1345">
        <v>1056</v>
      </c>
      <c r="J126" s="1085">
        <v>538</v>
      </c>
      <c r="K126" s="1346">
        <f t="shared" si="32"/>
        <v>0.50946969696969702</v>
      </c>
      <c r="Q126" s="9"/>
      <c r="R126" s="9"/>
    </row>
    <row r="127" spans="2:18" ht="15" x14ac:dyDescent="0.3">
      <c r="B127" s="1348" t="s">
        <v>885</v>
      </c>
      <c r="C127" s="1343">
        <v>10156</v>
      </c>
      <c r="D127" s="1343">
        <v>2698</v>
      </c>
      <c r="E127" s="1344">
        <v>0.27</v>
      </c>
      <c r="F127" s="1352">
        <v>11685</v>
      </c>
      <c r="G127" s="1352">
        <v>2864</v>
      </c>
      <c r="H127" s="1353">
        <f t="shared" si="31"/>
        <v>0.24510055626872057</v>
      </c>
      <c r="I127" s="1085">
        <v>12638</v>
      </c>
      <c r="J127" s="1085">
        <f>SUM(J121:J126)</f>
        <v>3144</v>
      </c>
      <c r="K127" s="1346">
        <f t="shared" si="32"/>
        <v>0.24877354011710714</v>
      </c>
      <c r="Q127" s="9"/>
      <c r="R127" s="9"/>
    </row>
    <row r="128" spans="2:18" ht="15" x14ac:dyDescent="0.3">
      <c r="B128" s="661"/>
      <c r="C128" s="661"/>
      <c r="D128" s="661"/>
      <c r="E128" s="661"/>
      <c r="F128" s="661"/>
      <c r="G128" s="661"/>
      <c r="H128" s="661"/>
      <c r="I128" s="661"/>
      <c r="J128" s="661"/>
      <c r="K128" s="661"/>
    </row>
    <row r="129" spans="1:23" ht="17.5" x14ac:dyDescent="0.25">
      <c r="B129" s="1193" t="s">
        <v>887</v>
      </c>
      <c r="C129" s="1621" t="s">
        <v>431</v>
      </c>
      <c r="D129" s="1621"/>
      <c r="E129" s="1621"/>
      <c r="F129" s="1621"/>
      <c r="G129" s="1621"/>
      <c r="H129" s="1613" t="s">
        <v>432</v>
      </c>
      <c r="I129" s="1613"/>
      <c r="J129" s="1613"/>
      <c r="K129" s="1603" t="s">
        <v>433</v>
      </c>
      <c r="L129" s="1603"/>
      <c r="M129" s="1603"/>
      <c r="N129" s="1603"/>
      <c r="Q129" s="9"/>
      <c r="R129" s="9"/>
      <c r="S129" s="9"/>
      <c r="T129" s="9"/>
      <c r="U129" s="9"/>
      <c r="V129" s="9"/>
    </row>
    <row r="130" spans="1:23" ht="30" x14ac:dyDescent="0.25">
      <c r="B130" s="1213" t="s">
        <v>809</v>
      </c>
      <c r="C130" s="1214" t="s">
        <v>810</v>
      </c>
      <c r="D130" s="1214" t="s">
        <v>811</v>
      </c>
      <c r="E130" s="1214" t="s">
        <v>812</v>
      </c>
      <c r="F130" s="1214" t="s">
        <v>708</v>
      </c>
      <c r="G130" s="1330" t="s">
        <v>888</v>
      </c>
      <c r="H130" s="1330" t="s">
        <v>810</v>
      </c>
      <c r="I130" s="1330" t="s">
        <v>811</v>
      </c>
      <c r="J130" s="1330" t="s">
        <v>708</v>
      </c>
      <c r="K130" s="1330" t="s">
        <v>888</v>
      </c>
      <c r="L130" s="1330" t="s">
        <v>810</v>
      </c>
      <c r="M130" s="1330" t="s">
        <v>811</v>
      </c>
      <c r="N130" s="1330" t="s">
        <v>708</v>
      </c>
      <c r="O130" s="1330" t="s">
        <v>888</v>
      </c>
      <c r="Q130" s="9"/>
      <c r="R130" s="9"/>
      <c r="S130" s="9"/>
      <c r="T130" s="9"/>
      <c r="U130" s="9"/>
      <c r="V130" s="9"/>
      <c r="W130" s="9"/>
    </row>
    <row r="131" spans="1:23" ht="15" x14ac:dyDescent="0.3">
      <c r="B131" s="962" t="s">
        <v>815</v>
      </c>
      <c r="C131" s="1235">
        <v>123</v>
      </c>
      <c r="D131" s="1235">
        <v>290</v>
      </c>
      <c r="E131" s="1235">
        <v>0</v>
      </c>
      <c r="F131" s="1235">
        <v>413</v>
      </c>
      <c r="G131" s="1304">
        <f>F131/F31</f>
        <v>0.11847389558232932</v>
      </c>
      <c r="H131" s="1236">
        <v>135</v>
      </c>
      <c r="I131" s="1236">
        <v>271</v>
      </c>
      <c r="J131" s="1236">
        <f t="shared" ref="J131:J136" si="33">SUM(H131:I131)</f>
        <v>406</v>
      </c>
      <c r="K131" s="1354">
        <f>J131/I31</f>
        <v>0.10466615106986336</v>
      </c>
      <c r="L131" s="1263">
        <v>215</v>
      </c>
      <c r="M131" s="1263">
        <v>370</v>
      </c>
      <c r="N131" s="1263">
        <v>585</v>
      </c>
      <c r="O131" s="1355">
        <f>N131/L31</f>
        <v>0.14341750429026723</v>
      </c>
      <c r="Q131" s="9"/>
      <c r="R131" s="9"/>
      <c r="S131" s="9"/>
      <c r="T131" s="9"/>
      <c r="U131" s="9"/>
      <c r="V131" s="9"/>
      <c r="W131" s="9"/>
    </row>
    <row r="132" spans="1:23" ht="15" x14ac:dyDescent="0.3">
      <c r="B132" s="962" t="s">
        <v>816</v>
      </c>
      <c r="C132" s="1235">
        <v>78</v>
      </c>
      <c r="D132" s="1235">
        <v>111</v>
      </c>
      <c r="E132" s="1235">
        <v>1</v>
      </c>
      <c r="F132" s="1235">
        <v>190</v>
      </c>
      <c r="G132" s="1304">
        <f t="shared" ref="G132:G136" si="34">F132/F32</f>
        <v>8.085106382978724E-2</v>
      </c>
      <c r="H132" s="1236">
        <v>76</v>
      </c>
      <c r="I132" s="1236">
        <v>113</v>
      </c>
      <c r="J132" s="1236">
        <f t="shared" si="33"/>
        <v>189</v>
      </c>
      <c r="K132" s="1354">
        <f>J132/I32</f>
        <v>6.5716272600834486E-2</v>
      </c>
      <c r="L132" s="1263">
        <v>83</v>
      </c>
      <c r="M132" s="1263">
        <v>102</v>
      </c>
      <c r="N132" s="1263">
        <v>185</v>
      </c>
      <c r="O132" s="1355">
        <f t="shared" ref="O132:O136" si="35">N132/L32</f>
        <v>6.4730580825752268E-2</v>
      </c>
      <c r="Q132" s="9"/>
      <c r="R132" s="9"/>
      <c r="S132" s="9"/>
      <c r="T132" s="9"/>
      <c r="U132" s="9"/>
      <c r="V132" s="9"/>
      <c r="W132" s="9"/>
    </row>
    <row r="133" spans="1:23" ht="15" x14ac:dyDescent="0.3">
      <c r="B133" s="962" t="s">
        <v>817</v>
      </c>
      <c r="C133" s="1235">
        <v>77</v>
      </c>
      <c r="D133" s="1235">
        <v>129</v>
      </c>
      <c r="E133" s="1235">
        <v>8</v>
      </c>
      <c r="F133" s="1235">
        <v>214</v>
      </c>
      <c r="G133" s="1304">
        <f t="shared" si="34"/>
        <v>0.10835443037974683</v>
      </c>
      <c r="H133" s="1236">
        <v>77</v>
      </c>
      <c r="I133" s="1236">
        <v>252</v>
      </c>
      <c r="J133" s="1236">
        <f t="shared" si="33"/>
        <v>329</v>
      </c>
      <c r="K133" s="1354">
        <f t="shared" ref="K133:K136" si="36">J133/I33</f>
        <v>0.16335650446871897</v>
      </c>
      <c r="L133" s="1263">
        <v>99</v>
      </c>
      <c r="M133" s="1263">
        <v>205</v>
      </c>
      <c r="N133" s="1263">
        <v>304</v>
      </c>
      <c r="O133" s="1355">
        <f t="shared" si="35"/>
        <v>0.13906678865507777</v>
      </c>
      <c r="Q133" s="9"/>
      <c r="R133" s="9"/>
      <c r="S133" s="9"/>
      <c r="T133" s="9"/>
      <c r="U133" s="9"/>
      <c r="V133" s="9"/>
      <c r="W133" s="9"/>
    </row>
    <row r="134" spans="1:23" ht="15" x14ac:dyDescent="0.3">
      <c r="B134" s="962" t="s">
        <v>818</v>
      </c>
      <c r="C134" s="1235">
        <v>27</v>
      </c>
      <c r="D134" s="1235">
        <v>90</v>
      </c>
      <c r="E134" s="1235">
        <v>0</v>
      </c>
      <c r="F134" s="1235">
        <v>117</v>
      </c>
      <c r="G134" s="1304">
        <f t="shared" si="34"/>
        <v>5.3867403314917128E-2</v>
      </c>
      <c r="H134" s="1236">
        <v>43</v>
      </c>
      <c r="I134" s="1236">
        <v>133</v>
      </c>
      <c r="J134" s="1236">
        <f t="shared" si="33"/>
        <v>176</v>
      </c>
      <c r="K134" s="1354">
        <f t="shared" si="36"/>
        <v>7.6621680452764476E-2</v>
      </c>
      <c r="L134" s="1263">
        <v>42</v>
      </c>
      <c r="M134" s="1263">
        <v>111</v>
      </c>
      <c r="N134" s="1263">
        <v>153</v>
      </c>
      <c r="O134" s="1355">
        <f t="shared" si="35"/>
        <v>6.2220414802765349E-2</v>
      </c>
      <c r="Q134" s="9"/>
      <c r="R134" s="9"/>
      <c r="S134" s="9"/>
      <c r="T134" s="9"/>
      <c r="U134" s="9"/>
      <c r="V134" s="9"/>
      <c r="W134" s="9"/>
    </row>
    <row r="135" spans="1:23" ht="15" x14ac:dyDescent="0.3">
      <c r="B135" s="962" t="s">
        <v>819</v>
      </c>
      <c r="C135" s="1235">
        <v>2</v>
      </c>
      <c r="D135" s="1235">
        <v>7</v>
      </c>
      <c r="E135" s="1235">
        <v>1</v>
      </c>
      <c r="F135" s="1235">
        <v>10</v>
      </c>
      <c r="G135" s="1304">
        <f t="shared" si="34"/>
        <v>5.7803468208092484E-2</v>
      </c>
      <c r="H135" s="1236">
        <v>10</v>
      </c>
      <c r="I135" s="1236">
        <v>71</v>
      </c>
      <c r="J135" s="1236">
        <f t="shared" si="33"/>
        <v>81</v>
      </c>
      <c r="K135" s="1354">
        <f t="shared" si="36"/>
        <v>0.13085621970920841</v>
      </c>
      <c r="L135" s="1263">
        <v>13</v>
      </c>
      <c r="M135" s="1263">
        <v>38</v>
      </c>
      <c r="N135" s="1263">
        <v>51</v>
      </c>
      <c r="O135" s="1355">
        <f t="shared" si="35"/>
        <v>4.8295454545454544E-2</v>
      </c>
      <c r="Q135" s="9"/>
      <c r="R135" s="9"/>
      <c r="S135" s="9"/>
      <c r="T135" s="9"/>
      <c r="U135" s="9"/>
      <c r="V135" s="9"/>
      <c r="W135" s="9"/>
    </row>
    <row r="136" spans="1:23" ht="15" x14ac:dyDescent="0.3">
      <c r="B136" s="1348" t="s">
        <v>885</v>
      </c>
      <c r="C136" s="1356">
        <v>303</v>
      </c>
      <c r="D136" s="1356">
        <v>626</v>
      </c>
      <c r="E136" s="1235">
        <v>10</v>
      </c>
      <c r="F136" s="1356">
        <v>939</v>
      </c>
      <c r="G136" s="1304">
        <f t="shared" si="34"/>
        <v>9.2457660496258365E-2</v>
      </c>
      <c r="H136" s="1357">
        <v>341</v>
      </c>
      <c r="I136" s="1357">
        <v>840</v>
      </c>
      <c r="J136" s="1236">
        <f t="shared" si="33"/>
        <v>1181</v>
      </c>
      <c r="K136" s="1354">
        <f t="shared" si="36"/>
        <v>0.10106974753958066</v>
      </c>
      <c r="L136" s="1358">
        <f>SUM(L131:L135)</f>
        <v>452</v>
      </c>
      <c r="M136" s="1358">
        <f>SUM(M131:M135)</f>
        <v>826</v>
      </c>
      <c r="N136" s="1331">
        <f>SUM(N131:N135)</f>
        <v>1278</v>
      </c>
      <c r="O136" s="1355">
        <f t="shared" si="35"/>
        <v>0.10112359550561797</v>
      </c>
      <c r="Q136" s="9"/>
      <c r="R136" s="9"/>
      <c r="S136" s="9"/>
      <c r="T136" s="9"/>
      <c r="U136" s="9"/>
      <c r="V136" s="9"/>
      <c r="W136" s="9"/>
    </row>
    <row r="137" spans="1:23" ht="13.5" x14ac:dyDescent="0.25">
      <c r="D137" s="91"/>
    </row>
    <row r="138" spans="1:23" ht="17.5" x14ac:dyDescent="0.25">
      <c r="B138" s="1193" t="s">
        <v>889</v>
      </c>
      <c r="C138" s="1621" t="s">
        <v>431</v>
      </c>
      <c r="D138" s="1621"/>
      <c r="E138" s="1621"/>
      <c r="F138" s="1621"/>
      <c r="G138" s="1603" t="s">
        <v>432</v>
      </c>
      <c r="H138" s="1603"/>
      <c r="I138" s="1603"/>
      <c r="J138" s="1603" t="s">
        <v>433</v>
      </c>
      <c r="K138" s="1603"/>
      <c r="L138" s="1603"/>
      <c r="Q138" s="9"/>
      <c r="R138" s="9"/>
      <c r="S138" s="9"/>
    </row>
    <row r="139" spans="1:23" ht="30" x14ac:dyDescent="0.25">
      <c r="A139" s="9"/>
      <c r="B139" s="1213" t="s">
        <v>809</v>
      </c>
      <c r="C139" s="1214" t="s">
        <v>810</v>
      </c>
      <c r="D139" s="1214" t="s">
        <v>811</v>
      </c>
      <c r="E139" s="1214" t="s">
        <v>812</v>
      </c>
      <c r="F139" s="1214" t="s">
        <v>708</v>
      </c>
      <c r="G139" s="1330" t="s">
        <v>810</v>
      </c>
      <c r="H139" s="1330" t="s">
        <v>811</v>
      </c>
      <c r="I139" s="1330" t="s">
        <v>708</v>
      </c>
      <c r="J139" s="1330" t="s">
        <v>810</v>
      </c>
      <c r="K139" s="1330" t="s">
        <v>811</v>
      </c>
      <c r="L139" s="1330" t="s">
        <v>708</v>
      </c>
      <c r="Q139" s="9"/>
      <c r="R139" s="9"/>
      <c r="S139" s="9"/>
    </row>
    <row r="140" spans="1:23" ht="15" x14ac:dyDescent="0.25">
      <c r="B140" s="543" t="s">
        <v>890</v>
      </c>
      <c r="C140" s="1235">
        <v>109</v>
      </c>
      <c r="D140" s="1235">
        <v>177</v>
      </c>
      <c r="E140" s="1235">
        <v>0</v>
      </c>
      <c r="F140" s="1235">
        <v>286</v>
      </c>
      <c r="G140" s="1236">
        <v>37</v>
      </c>
      <c r="H140" s="1236">
        <v>118</v>
      </c>
      <c r="I140" s="1236">
        <f>SUM(G140:H140)</f>
        <v>155</v>
      </c>
      <c r="J140" s="1263">
        <v>14</v>
      </c>
      <c r="K140" s="1263">
        <v>85</v>
      </c>
      <c r="L140" s="1263">
        <f>SUM(J140:K140)</f>
        <v>99</v>
      </c>
      <c r="Q140" s="9"/>
      <c r="R140" s="9"/>
      <c r="S140" s="9"/>
    </row>
    <row r="141" spans="1:23" ht="30" x14ac:dyDescent="0.25">
      <c r="B141" s="529" t="s">
        <v>891</v>
      </c>
      <c r="C141" s="1235">
        <v>44</v>
      </c>
      <c r="D141" s="1235">
        <v>159</v>
      </c>
      <c r="E141" s="1235">
        <v>0</v>
      </c>
      <c r="F141" s="1235">
        <v>203</v>
      </c>
      <c r="G141" s="1236">
        <v>20</v>
      </c>
      <c r="H141" s="1236">
        <v>114</v>
      </c>
      <c r="I141" s="1236">
        <f>SUM(G141:H141)</f>
        <v>134</v>
      </c>
      <c r="J141" s="1263">
        <v>14</v>
      </c>
      <c r="K141" s="1263">
        <v>85</v>
      </c>
      <c r="L141" s="1263">
        <f>SUM(J141:K141)</f>
        <v>99</v>
      </c>
      <c r="Q141" s="9"/>
      <c r="R141" s="9"/>
      <c r="S141" s="9"/>
    </row>
    <row r="142" spans="1:23" ht="30" hidden="1" x14ac:dyDescent="0.25">
      <c r="B142" s="529" t="s">
        <v>892</v>
      </c>
      <c r="C142" s="1359"/>
      <c r="D142" s="1359"/>
      <c r="E142" s="1359"/>
      <c r="F142" s="1359"/>
      <c r="G142" s="1359"/>
      <c r="H142" s="1359"/>
      <c r="I142" s="1359"/>
    </row>
    <row r="143" spans="1:23" ht="15" hidden="1" x14ac:dyDescent="0.25">
      <c r="B143" s="543" t="s">
        <v>893</v>
      </c>
      <c r="C143" s="1360"/>
      <c r="D143" s="1360"/>
      <c r="E143" s="1360"/>
      <c r="F143" s="1359"/>
      <c r="G143" s="1360"/>
      <c r="H143" s="1360"/>
      <c r="I143" s="1359"/>
    </row>
    <row r="144" spans="1:23" ht="15" x14ac:dyDescent="0.25">
      <c r="B144" s="1272"/>
      <c r="C144" s="1272"/>
      <c r="D144" s="1361"/>
      <c r="E144" s="1361"/>
      <c r="F144" s="1362"/>
      <c r="G144" s="1361"/>
      <c r="H144" s="1361"/>
      <c r="I144" s="1362"/>
    </row>
    <row r="145" spans="1:28" ht="17.5" x14ac:dyDescent="0.25">
      <c r="B145" s="1193" t="s">
        <v>894</v>
      </c>
      <c r="C145" s="1621" t="s">
        <v>431</v>
      </c>
      <c r="D145" s="1621"/>
      <c r="E145" s="1621"/>
      <c r="F145" s="1621"/>
      <c r="G145" s="1603" t="s">
        <v>432</v>
      </c>
      <c r="H145" s="1603"/>
      <c r="I145" s="1603"/>
      <c r="J145" s="1361"/>
      <c r="K145" s="1361"/>
      <c r="L145" s="1362"/>
      <c r="Q145" s="9"/>
      <c r="R145" s="9"/>
      <c r="S145" s="9"/>
    </row>
    <row r="146" spans="1:28" ht="30" x14ac:dyDescent="0.25">
      <c r="B146" s="1213" t="s">
        <v>809</v>
      </c>
      <c r="C146" s="1214" t="s">
        <v>810</v>
      </c>
      <c r="D146" s="1214" t="s">
        <v>811</v>
      </c>
      <c r="E146" s="1214" t="s">
        <v>812</v>
      </c>
      <c r="F146" s="1214" t="s">
        <v>708</v>
      </c>
      <c r="G146" s="1330" t="s">
        <v>810</v>
      </c>
      <c r="H146" s="1330" t="s">
        <v>811</v>
      </c>
      <c r="I146" s="1330" t="s">
        <v>708</v>
      </c>
      <c r="J146" s="1361"/>
      <c r="K146" s="1361"/>
      <c r="L146" s="1362"/>
      <c r="Q146" s="9"/>
      <c r="R146" s="9"/>
      <c r="S146" s="9"/>
    </row>
    <row r="147" spans="1:28" ht="15" x14ac:dyDescent="0.25">
      <c r="B147" s="543" t="s">
        <v>895</v>
      </c>
      <c r="C147" s="1307">
        <f>C31/F36</f>
        <v>0.10023631350925562</v>
      </c>
      <c r="D147" s="1307">
        <f>D31/F36</f>
        <v>0.24300905868452147</v>
      </c>
      <c r="E147" s="1307">
        <f>E31/F36</f>
        <v>0</v>
      </c>
      <c r="F147" s="1307">
        <f>F31/F36</f>
        <v>0.3432453721937771</v>
      </c>
      <c r="G147" s="1332">
        <f>G31/I36</f>
        <v>9.9786050492083875E-2</v>
      </c>
      <c r="H147" s="1332">
        <f>H31/I36</f>
        <v>0.23217800599058622</v>
      </c>
      <c r="I147" s="1332">
        <f>I31/I36</f>
        <v>0.33196405648267008</v>
      </c>
      <c r="J147" s="1361"/>
      <c r="K147" s="1361"/>
      <c r="L147" s="1362"/>
      <c r="Q147" s="9"/>
      <c r="R147" s="9"/>
      <c r="S147" s="9"/>
    </row>
    <row r="148" spans="1:28" ht="13.5" x14ac:dyDescent="0.25">
      <c r="Q148" s="9"/>
      <c r="R148" s="9"/>
      <c r="S148" s="9"/>
    </row>
    <row r="149" spans="1:28" ht="17.5" x14ac:dyDescent="0.25">
      <c r="B149" s="1193" t="s">
        <v>896</v>
      </c>
      <c r="C149" s="1621" t="s">
        <v>431</v>
      </c>
      <c r="D149" s="1622"/>
      <c r="E149" s="1622"/>
      <c r="F149" s="1623"/>
      <c r="G149" s="1621" t="s">
        <v>431</v>
      </c>
      <c r="H149" s="1622"/>
      <c r="I149" s="1622"/>
      <c r="J149" s="1623"/>
      <c r="K149" s="1603" t="s">
        <v>432</v>
      </c>
      <c r="L149" s="1603"/>
      <c r="M149" s="1603"/>
      <c r="N149" s="1603" t="s">
        <v>432</v>
      </c>
      <c r="O149" s="1603"/>
      <c r="P149" s="1603"/>
      <c r="Q149" s="1603" t="s">
        <v>433</v>
      </c>
      <c r="R149" s="1603"/>
      <c r="S149" s="1603"/>
      <c r="T149" s="1603" t="s">
        <v>433</v>
      </c>
      <c r="U149" s="1603"/>
      <c r="V149" s="1603"/>
      <c r="W149" s="9"/>
      <c r="X149" s="9"/>
      <c r="Y149" s="9"/>
      <c r="Z149" s="9"/>
      <c r="AA149" s="9"/>
      <c r="AB149" s="9"/>
    </row>
    <row r="150" spans="1:28" ht="30" x14ac:dyDescent="0.25">
      <c r="A150" s="1627"/>
      <c r="B150" s="1213" t="s">
        <v>809</v>
      </c>
      <c r="C150" s="1214" t="s">
        <v>810</v>
      </c>
      <c r="D150" s="1214" t="s">
        <v>811</v>
      </c>
      <c r="E150" s="1214" t="s">
        <v>812</v>
      </c>
      <c r="F150" s="1214" t="s">
        <v>708</v>
      </c>
      <c r="G150" s="1214" t="s">
        <v>810</v>
      </c>
      <c r="H150" s="1214" t="s">
        <v>811</v>
      </c>
      <c r="I150" s="1214" t="s">
        <v>812</v>
      </c>
      <c r="J150" s="1214" t="s">
        <v>708</v>
      </c>
      <c r="K150" s="1330" t="s">
        <v>810</v>
      </c>
      <c r="L150" s="1330" t="s">
        <v>811</v>
      </c>
      <c r="M150" s="1330" t="s">
        <v>708</v>
      </c>
      <c r="N150" s="1330" t="s">
        <v>810</v>
      </c>
      <c r="O150" s="1330" t="s">
        <v>811</v>
      </c>
      <c r="P150" s="1330" t="s">
        <v>708</v>
      </c>
      <c r="Q150" s="1330" t="s">
        <v>810</v>
      </c>
      <c r="R150" s="1330" t="s">
        <v>811</v>
      </c>
      <c r="S150" s="1330" t="s">
        <v>708</v>
      </c>
      <c r="T150" s="1330" t="s">
        <v>810</v>
      </c>
      <c r="U150" s="1330" t="s">
        <v>811</v>
      </c>
      <c r="V150" s="1330" t="s">
        <v>708</v>
      </c>
      <c r="W150" s="9"/>
      <c r="X150" s="9"/>
      <c r="Y150" s="9"/>
      <c r="Z150" s="9"/>
      <c r="AA150" s="9"/>
      <c r="AB150" s="9"/>
    </row>
    <row r="151" spans="1:28" ht="15" x14ac:dyDescent="0.25">
      <c r="A151" s="1627"/>
      <c r="B151" s="543" t="s">
        <v>897</v>
      </c>
      <c r="C151" s="1363">
        <v>2450</v>
      </c>
      <c r="D151" s="1363">
        <v>5680</v>
      </c>
      <c r="E151" s="1364">
        <v>27</v>
      </c>
      <c r="F151" s="1364">
        <v>8140</v>
      </c>
      <c r="G151" s="1365">
        <v>0.92</v>
      </c>
      <c r="H151" s="1365">
        <v>0.81</v>
      </c>
      <c r="I151" s="1365">
        <v>0.45</v>
      </c>
      <c r="J151" s="1365">
        <v>0.84</v>
      </c>
      <c r="K151" s="1236">
        <v>3181</v>
      </c>
      <c r="L151" s="1236">
        <v>6748</v>
      </c>
      <c r="M151" s="1236">
        <f>SUM(K151:L151)</f>
        <v>9929</v>
      </c>
      <c r="N151" s="1332">
        <v>0.94799999999999995</v>
      </c>
      <c r="O151" s="1332">
        <v>0.92500000000000004</v>
      </c>
      <c r="P151" s="1332">
        <v>0.93300000000000005</v>
      </c>
      <c r="Q151" s="1263">
        <v>3509</v>
      </c>
      <c r="R151" s="1263">
        <v>7737</v>
      </c>
      <c r="S151" s="1263">
        <v>11246</v>
      </c>
      <c r="T151" s="1366">
        <v>0.98199999999999998</v>
      </c>
      <c r="U151" s="1366">
        <v>0.89900000000000002</v>
      </c>
      <c r="V151" s="1366">
        <v>0.92300000000000004</v>
      </c>
      <c r="W151" s="9"/>
      <c r="X151" s="9"/>
      <c r="Y151" s="9"/>
      <c r="Z151" s="9"/>
      <c r="AA151" s="9"/>
      <c r="AB151" s="9"/>
    </row>
    <row r="152" spans="1:28" ht="15" x14ac:dyDescent="0.25">
      <c r="B152" s="529" t="s">
        <v>898</v>
      </c>
      <c r="C152" s="1363">
        <v>113</v>
      </c>
      <c r="D152" s="1363">
        <v>122</v>
      </c>
      <c r="E152" s="1367">
        <v>0</v>
      </c>
      <c r="F152" s="1364">
        <v>235</v>
      </c>
      <c r="G152" s="1365">
        <v>0.63</v>
      </c>
      <c r="H152" s="1365">
        <v>0.54</v>
      </c>
      <c r="I152" s="1367">
        <v>0</v>
      </c>
      <c r="J152" s="1365">
        <v>0.55000000000000004</v>
      </c>
      <c r="K152" s="1236">
        <v>188</v>
      </c>
      <c r="L152" s="1236">
        <v>212</v>
      </c>
      <c r="M152" s="1236">
        <f>SUM(K152:L152)</f>
        <v>400</v>
      </c>
      <c r="N152" s="1332">
        <v>0.70699999999999996</v>
      </c>
      <c r="O152" s="1332">
        <v>0.75900000000000001</v>
      </c>
      <c r="P152" s="1332">
        <v>0.73499999999999999</v>
      </c>
      <c r="Q152" s="1263">
        <v>182</v>
      </c>
      <c r="R152" s="1263">
        <v>230</v>
      </c>
      <c r="S152" s="1263">
        <v>412</v>
      </c>
      <c r="T152" s="1366">
        <v>0.91900000000000004</v>
      </c>
      <c r="U152" s="1366">
        <v>0.89800000000000002</v>
      </c>
      <c r="V152" s="1366">
        <v>0.90700000000000003</v>
      </c>
      <c r="W152" s="9"/>
      <c r="X152" s="9"/>
      <c r="Y152" s="9"/>
      <c r="Z152" s="9"/>
      <c r="AA152" s="9"/>
      <c r="AB152" s="9"/>
    </row>
    <row r="153" spans="1:28" ht="15" x14ac:dyDescent="0.25">
      <c r="B153" s="529" t="s">
        <v>899</v>
      </c>
      <c r="C153" s="1368">
        <v>2563</v>
      </c>
      <c r="D153" s="1368">
        <v>2802</v>
      </c>
      <c r="E153" s="642">
        <v>27</v>
      </c>
      <c r="F153" s="642">
        <v>2392</v>
      </c>
      <c r="G153" s="1369">
        <v>0.9</v>
      </c>
      <c r="H153" s="1369">
        <v>0.8</v>
      </c>
      <c r="I153" s="1369">
        <v>0.34</v>
      </c>
      <c r="J153" s="1369">
        <v>0.83</v>
      </c>
      <c r="K153" s="1244">
        <f>SUM(K151:K152)</f>
        <v>3369</v>
      </c>
      <c r="L153" s="1244">
        <f>SUM(L151:L152)</f>
        <v>6960</v>
      </c>
      <c r="M153" s="1244">
        <f>SUM(M151:M152)</f>
        <v>10329</v>
      </c>
      <c r="N153" s="1334">
        <v>0.93500000000000005</v>
      </c>
      <c r="O153" s="1334">
        <v>0.84699999999999998</v>
      </c>
      <c r="P153" s="1334">
        <v>0.92500000000000004</v>
      </c>
      <c r="Q153" s="1268">
        <v>3691</v>
      </c>
      <c r="R153" s="1268">
        <v>7967</v>
      </c>
      <c r="S153" s="1268">
        <v>11658</v>
      </c>
      <c r="T153" s="1355">
        <v>0.97799999999999998</v>
      </c>
      <c r="U153" s="1355">
        <v>0.89900000000000002</v>
      </c>
      <c r="V153" s="1355">
        <v>0.92200000000000004</v>
      </c>
      <c r="W153" s="1370"/>
      <c r="X153" s="9"/>
      <c r="Y153" s="9"/>
      <c r="Z153" s="9"/>
      <c r="AA153" s="9"/>
      <c r="AB153" s="9"/>
    </row>
    <row r="154" spans="1:28" ht="13.5" x14ac:dyDescent="0.25">
      <c r="D154" s="91"/>
    </row>
    <row r="155" spans="1:28" ht="17.5" x14ac:dyDescent="0.25">
      <c r="B155" s="1255" t="s">
        <v>900</v>
      </c>
      <c r="C155" s="1410" t="s">
        <v>431</v>
      </c>
      <c r="D155" s="1411" t="s">
        <v>432</v>
      </c>
      <c r="E155" s="1411" t="s">
        <v>433</v>
      </c>
    </row>
    <row r="156" spans="1:28" ht="15" x14ac:dyDescent="0.3">
      <c r="A156" s="1371"/>
      <c r="B156" s="1372" t="s">
        <v>901</v>
      </c>
      <c r="C156" s="1373">
        <v>12.7</v>
      </c>
      <c r="D156" s="1374">
        <v>20.5</v>
      </c>
      <c r="E156" s="1628">
        <v>25.52</v>
      </c>
      <c r="O156" s="61"/>
      <c r="P156" s="61"/>
    </row>
    <row r="157" spans="1:28" ht="15" x14ac:dyDescent="0.3">
      <c r="A157" s="1371"/>
      <c r="B157" s="1372" t="s">
        <v>902</v>
      </c>
      <c r="C157" s="1373">
        <v>5.1100000000000003</v>
      </c>
      <c r="D157" s="1374">
        <v>6.3</v>
      </c>
      <c r="E157" s="1628"/>
      <c r="O157" s="61"/>
      <c r="P157" s="61"/>
    </row>
    <row r="158" spans="1:28" ht="15" x14ac:dyDescent="0.3">
      <c r="A158" s="1371"/>
      <c r="B158" s="716" t="s">
        <v>903</v>
      </c>
      <c r="C158" s="1364">
        <v>43</v>
      </c>
      <c r="D158" s="1375">
        <v>51</v>
      </c>
      <c r="E158" s="1376">
        <v>52</v>
      </c>
      <c r="O158" s="61"/>
      <c r="P158" s="61"/>
    </row>
    <row r="159" spans="1:28" ht="15" x14ac:dyDescent="0.3">
      <c r="A159" s="1371"/>
      <c r="B159" s="716" t="s">
        <v>904</v>
      </c>
      <c r="C159" s="1363">
        <v>1342</v>
      </c>
      <c r="D159" s="1375">
        <v>5405</v>
      </c>
      <c r="E159" s="1376">
        <v>3059</v>
      </c>
      <c r="O159" s="61"/>
      <c r="P159" s="61"/>
    </row>
    <row r="160" spans="1:28" ht="15" x14ac:dyDescent="0.3">
      <c r="A160" s="1371"/>
      <c r="B160" s="716" t="s">
        <v>905</v>
      </c>
      <c r="C160" s="1363">
        <v>6000</v>
      </c>
      <c r="D160" s="1375">
        <v>3544</v>
      </c>
      <c r="E160" s="1376">
        <v>134</v>
      </c>
      <c r="O160" s="61"/>
      <c r="P160" s="61"/>
    </row>
    <row r="161" spans="1:19" ht="15" x14ac:dyDescent="0.3">
      <c r="A161" s="1371"/>
      <c r="B161" s="754"/>
      <c r="C161" s="754"/>
      <c r="D161" s="1377"/>
      <c r="E161" s="1378"/>
      <c r="O161" s="61"/>
      <c r="P161" s="61"/>
    </row>
    <row r="162" spans="1:19" ht="14" x14ac:dyDescent="0.3">
      <c r="A162" s="1371"/>
      <c r="B162" s="1619" t="s">
        <v>906</v>
      </c>
      <c r="C162" s="1624" t="s">
        <v>431</v>
      </c>
      <c r="D162" s="1625"/>
      <c r="E162" s="1620" t="s">
        <v>432</v>
      </c>
      <c r="F162" s="1620"/>
      <c r="G162" s="1620" t="s">
        <v>433</v>
      </c>
      <c r="H162" s="1620"/>
      <c r="Q162" s="9"/>
      <c r="R162" s="61"/>
      <c r="S162" s="61"/>
    </row>
    <row r="163" spans="1:19" ht="27" x14ac:dyDescent="0.3">
      <c r="A163" s="1371"/>
      <c r="B163" s="1619"/>
      <c r="C163" s="1349" t="s">
        <v>907</v>
      </c>
      <c r="D163" s="1349" t="s">
        <v>908</v>
      </c>
      <c r="E163" s="1349" t="s">
        <v>907</v>
      </c>
      <c r="F163" s="1349" t="s">
        <v>908</v>
      </c>
      <c r="G163" s="1349" t="s">
        <v>907</v>
      </c>
      <c r="H163" s="1349" t="s">
        <v>908</v>
      </c>
      <c r="Q163" s="9"/>
      <c r="R163" s="61"/>
      <c r="S163" s="61"/>
    </row>
    <row r="164" spans="1:19" ht="15" x14ac:dyDescent="0.3">
      <c r="A164" s="1371"/>
      <c r="B164" s="716" t="s">
        <v>1408</v>
      </c>
      <c r="C164" s="1363">
        <v>10388</v>
      </c>
      <c r="D164" s="1365">
        <v>0.95</v>
      </c>
      <c r="E164" s="1379">
        <v>11719</v>
      </c>
      <c r="F164" s="1380">
        <v>0.873</v>
      </c>
      <c r="G164" s="1376">
        <v>11701</v>
      </c>
      <c r="H164" s="1366">
        <v>0.84</v>
      </c>
      <c r="I164" s="1381"/>
      <c r="J164" s="1382"/>
      <c r="K164" s="1382"/>
      <c r="Q164" s="9"/>
      <c r="R164" s="61"/>
      <c r="S164" s="61"/>
    </row>
    <row r="165" spans="1:19" ht="15" x14ac:dyDescent="0.3">
      <c r="A165" s="1371"/>
      <c r="B165" s="716" t="s">
        <v>909</v>
      </c>
      <c r="C165" s="1363">
        <v>380</v>
      </c>
      <c r="D165" s="1365">
        <v>0.96</v>
      </c>
      <c r="E165" s="1379">
        <v>2780</v>
      </c>
      <c r="F165" s="1380">
        <v>0.8</v>
      </c>
      <c r="G165" s="1376">
        <v>6123</v>
      </c>
      <c r="H165" s="1366">
        <v>0.64</v>
      </c>
      <c r="I165" s="1381"/>
      <c r="J165" s="1382"/>
      <c r="K165" s="1382"/>
      <c r="Q165" s="9"/>
      <c r="R165" s="61"/>
      <c r="S165" s="61"/>
    </row>
    <row r="166" spans="1:19" ht="15" x14ac:dyDescent="0.3">
      <c r="A166" s="1371"/>
      <c r="B166" s="716" t="s">
        <v>910</v>
      </c>
      <c r="C166" s="1235">
        <v>0</v>
      </c>
      <c r="D166" s="1235">
        <v>0</v>
      </c>
      <c r="E166" s="1379">
        <v>611</v>
      </c>
      <c r="F166" s="1380">
        <v>0.9</v>
      </c>
      <c r="G166" s="1376">
        <v>3240</v>
      </c>
      <c r="H166" s="1366">
        <v>0.72</v>
      </c>
      <c r="I166" s="1381"/>
      <c r="J166" s="1382"/>
      <c r="K166" s="1382"/>
      <c r="Q166" s="9"/>
      <c r="R166" s="61"/>
      <c r="S166" s="61"/>
    </row>
    <row r="167" spans="1:19" ht="15" x14ac:dyDescent="0.25">
      <c r="B167" s="716" t="s">
        <v>911</v>
      </c>
      <c r="C167" s="1363">
        <v>228</v>
      </c>
      <c r="D167" s="1365">
        <v>0.91</v>
      </c>
      <c r="E167" s="1379">
        <v>3122</v>
      </c>
      <c r="F167" s="1380">
        <v>0.35</v>
      </c>
      <c r="G167" s="1383"/>
      <c r="H167" s="1384"/>
      <c r="I167" s="1381"/>
      <c r="J167" s="1381"/>
      <c r="K167" s="1381"/>
      <c r="Q167" s="9"/>
    </row>
    <row r="168" spans="1:19" ht="15" x14ac:dyDescent="0.25">
      <c r="B168" s="716" t="s">
        <v>912</v>
      </c>
      <c r="C168" s="1363">
        <v>1162</v>
      </c>
      <c r="D168" s="1365">
        <v>0.73</v>
      </c>
      <c r="E168" s="1385"/>
      <c r="F168" s="1386"/>
      <c r="G168" s="1383"/>
      <c r="H168" s="1384"/>
      <c r="I168" s="1381"/>
      <c r="J168" s="1381"/>
      <c r="K168" s="1381"/>
      <c r="Q168" s="9"/>
    </row>
    <row r="169" spans="1:19" ht="15" x14ac:dyDescent="0.25">
      <c r="B169" s="716" t="s">
        <v>913</v>
      </c>
      <c r="C169" s="1363">
        <v>5456</v>
      </c>
      <c r="D169" s="1365">
        <v>0.96</v>
      </c>
      <c r="E169" s="1379">
        <v>2258</v>
      </c>
      <c r="F169" s="1380">
        <v>0.83</v>
      </c>
      <c r="G169" s="1383"/>
      <c r="H169" s="1384"/>
      <c r="I169" s="1381"/>
      <c r="J169" s="1387"/>
      <c r="K169" s="1382"/>
      <c r="Q169" s="9"/>
    </row>
    <row r="170" spans="1:19" ht="15" x14ac:dyDescent="0.25">
      <c r="B170" s="716" t="s">
        <v>914</v>
      </c>
      <c r="C170" s="1363">
        <v>9586</v>
      </c>
      <c r="D170" s="1365">
        <v>0.81</v>
      </c>
      <c r="E170" s="1379">
        <v>11004</v>
      </c>
      <c r="F170" s="1380">
        <v>0.82</v>
      </c>
      <c r="G170" s="1383"/>
      <c r="H170" s="1384"/>
      <c r="I170" s="1381"/>
      <c r="J170" s="1382"/>
      <c r="K170" s="1382"/>
      <c r="Q170" s="9"/>
    </row>
    <row r="171" spans="1:19" ht="33" customHeight="1" x14ac:dyDescent="0.25">
      <c r="B171" s="1632" t="s">
        <v>1409</v>
      </c>
      <c r="C171" s="1632"/>
      <c r="D171" s="1632"/>
      <c r="E171" s="1632"/>
      <c r="F171" s="1632"/>
      <c r="G171" s="1632"/>
      <c r="H171" s="1381"/>
      <c r="I171" s="1382"/>
      <c r="J171" s="1382"/>
    </row>
    <row r="172" spans="1:19" ht="8" customHeight="1" x14ac:dyDescent="0.25">
      <c r="B172" s="2"/>
      <c r="C172" s="2"/>
      <c r="D172" s="2"/>
      <c r="E172" s="2"/>
      <c r="F172" s="2"/>
      <c r="G172" s="2"/>
      <c r="H172" s="1381"/>
      <c r="I172" s="1382"/>
      <c r="J172" s="1382"/>
    </row>
    <row r="173" spans="1:19" ht="17.5" x14ac:dyDescent="0.25">
      <c r="B173" s="1255" t="s">
        <v>915</v>
      </c>
      <c r="C173" s="1412" t="s">
        <v>431</v>
      </c>
      <c r="D173" s="1410" t="s">
        <v>432</v>
      </c>
      <c r="E173" s="1411" t="s">
        <v>433</v>
      </c>
      <c r="F173" s="1413" t="s">
        <v>434</v>
      </c>
      <c r="G173" s="1411" t="s">
        <v>435</v>
      </c>
      <c r="H173" s="1411" t="s">
        <v>436</v>
      </c>
    </row>
    <row r="174" spans="1:19" ht="15" x14ac:dyDescent="0.3">
      <c r="B174" s="1348" t="s">
        <v>916</v>
      </c>
      <c r="C174" s="1365">
        <v>0.86</v>
      </c>
      <c r="D174" s="1365">
        <v>0.73</v>
      </c>
      <c r="E174" s="1388">
        <v>0.75</v>
      </c>
      <c r="F174" s="1633" t="s">
        <v>917</v>
      </c>
      <c r="G174" s="1389">
        <v>0.74</v>
      </c>
      <c r="H174" s="1390">
        <v>0.64</v>
      </c>
    </row>
    <row r="175" spans="1:19" ht="15" x14ac:dyDescent="0.3">
      <c r="B175" s="962" t="s">
        <v>918</v>
      </c>
      <c r="C175" s="1117"/>
      <c r="D175" s="1117"/>
      <c r="E175" s="1391"/>
      <c r="F175" s="1633"/>
      <c r="G175" s="1389">
        <v>0.65</v>
      </c>
      <c r="H175" s="1390">
        <v>0.63</v>
      </c>
    </row>
    <row r="176" spans="1:19" ht="15" x14ac:dyDescent="0.3">
      <c r="B176" s="962" t="s">
        <v>919</v>
      </c>
      <c r="C176" s="1392">
        <v>7.2</v>
      </c>
      <c r="D176" s="1117"/>
      <c r="E176" s="1393">
        <v>6.9</v>
      </c>
      <c r="F176" s="1633"/>
      <c r="G176" s="1394"/>
      <c r="H176" s="1117"/>
    </row>
    <row r="177" spans="2:8" ht="15" x14ac:dyDescent="0.3">
      <c r="B177" s="962" t="s">
        <v>920</v>
      </c>
      <c r="C177" s="1395" t="s">
        <v>917</v>
      </c>
      <c r="D177" s="1364">
        <v>7.2</v>
      </c>
      <c r="E177" s="1396" t="s">
        <v>917</v>
      </c>
      <c r="F177" s="1633"/>
      <c r="G177" s="1397" t="s">
        <v>917</v>
      </c>
      <c r="H177" s="1398" t="s">
        <v>917</v>
      </c>
    </row>
    <row r="179" spans="2:8" ht="35" x14ac:dyDescent="0.25">
      <c r="B179" s="1212" t="s">
        <v>1310</v>
      </c>
      <c r="C179" s="1412" t="s">
        <v>431</v>
      </c>
      <c r="D179" s="1411" t="s">
        <v>432</v>
      </c>
      <c r="E179" s="1411" t="s">
        <v>433</v>
      </c>
      <c r="F179" s="1411" t="s">
        <v>434</v>
      </c>
      <c r="G179" s="1411" t="s">
        <v>435</v>
      </c>
      <c r="H179" s="1411" t="s">
        <v>436</v>
      </c>
    </row>
    <row r="180" spans="2:8" ht="15" x14ac:dyDescent="0.3">
      <c r="B180" s="1348" t="s">
        <v>921</v>
      </c>
      <c r="C180" s="1399" t="s">
        <v>922</v>
      </c>
      <c r="D180" s="1400" t="s">
        <v>923</v>
      </c>
      <c r="E180" s="1400" t="s">
        <v>924</v>
      </c>
      <c r="F180" s="1400" t="s">
        <v>925</v>
      </c>
      <c r="G180" s="1400" t="s">
        <v>926</v>
      </c>
      <c r="H180" s="1400" t="s">
        <v>927</v>
      </c>
    </row>
    <row r="181" spans="2:8" ht="15" x14ac:dyDescent="0.3">
      <c r="B181" s="962" t="s">
        <v>928</v>
      </c>
      <c r="C181" s="1629"/>
      <c r="D181" s="1401" t="s">
        <v>929</v>
      </c>
      <c r="E181" s="1401" t="s">
        <v>930</v>
      </c>
      <c r="F181" s="1402" t="s">
        <v>931</v>
      </c>
      <c r="G181" s="1402" t="s">
        <v>932</v>
      </c>
      <c r="H181" s="1402" t="s">
        <v>933</v>
      </c>
    </row>
    <row r="182" spans="2:8" ht="15" x14ac:dyDescent="0.3">
      <c r="B182" s="962" t="s">
        <v>934</v>
      </c>
      <c r="C182" s="1630"/>
      <c r="D182" s="1401" t="s">
        <v>935</v>
      </c>
      <c r="E182" s="1401" t="s">
        <v>936</v>
      </c>
      <c r="F182" s="1402" t="s">
        <v>937</v>
      </c>
      <c r="G182" s="1402" t="s">
        <v>938</v>
      </c>
      <c r="H182" s="1402" t="s">
        <v>937</v>
      </c>
    </row>
    <row r="183" spans="2:8" ht="15" x14ac:dyDescent="0.3">
      <c r="B183" s="962" t="s">
        <v>939</v>
      </c>
      <c r="C183" s="1631"/>
      <c r="D183" s="1401" t="s">
        <v>940</v>
      </c>
      <c r="E183" s="1401" t="s">
        <v>941</v>
      </c>
      <c r="F183" s="1402" t="s">
        <v>932</v>
      </c>
      <c r="G183" s="1402" t="s">
        <v>942</v>
      </c>
      <c r="H183" s="1402" t="s">
        <v>943</v>
      </c>
    </row>
    <row r="185" spans="2:8" ht="35" x14ac:dyDescent="0.25">
      <c r="B185" s="1212" t="s">
        <v>1311</v>
      </c>
      <c r="C185" s="1412" t="s">
        <v>431</v>
      </c>
      <c r="D185" s="1411" t="s">
        <v>432</v>
      </c>
      <c r="E185" s="1411" t="s">
        <v>433</v>
      </c>
      <c r="F185" s="1411" t="s">
        <v>434</v>
      </c>
      <c r="G185" s="1411" t="s">
        <v>435</v>
      </c>
      <c r="H185" s="1411" t="s">
        <v>436</v>
      </c>
    </row>
    <row r="186" spans="2:8" ht="15" x14ac:dyDescent="0.3">
      <c r="B186" s="962" t="s">
        <v>928</v>
      </c>
      <c r="C186" s="1403" t="s">
        <v>944</v>
      </c>
      <c r="D186" s="1404" t="s">
        <v>945</v>
      </c>
      <c r="E186" s="1404" t="s">
        <v>946</v>
      </c>
      <c r="F186" s="1404" t="s">
        <v>947</v>
      </c>
      <c r="G186" s="1404" t="s">
        <v>948</v>
      </c>
      <c r="H186" s="1404" t="s">
        <v>933</v>
      </c>
    </row>
    <row r="187" spans="2:8" ht="15" x14ac:dyDescent="0.3">
      <c r="B187" s="962" t="s">
        <v>934</v>
      </c>
      <c r="C187" s="1403" t="s">
        <v>949</v>
      </c>
      <c r="D187" s="1404" t="s">
        <v>936</v>
      </c>
      <c r="E187" s="1404" t="s">
        <v>940</v>
      </c>
      <c r="F187" s="1404" t="s">
        <v>944</v>
      </c>
      <c r="G187" s="1404" t="s">
        <v>950</v>
      </c>
      <c r="H187" s="1404" t="s">
        <v>951</v>
      </c>
    </row>
    <row r="188" spans="2:8" ht="15" x14ac:dyDescent="0.3">
      <c r="B188" s="962" t="s">
        <v>939</v>
      </c>
      <c r="C188" s="1403" t="s">
        <v>952</v>
      </c>
      <c r="D188" s="1405" t="s">
        <v>941</v>
      </c>
      <c r="E188" s="1405" t="s">
        <v>953</v>
      </c>
      <c r="F188" s="1405" t="s">
        <v>954</v>
      </c>
      <c r="G188" s="1404" t="s">
        <v>955</v>
      </c>
      <c r="H188" s="1404" t="s">
        <v>946</v>
      </c>
    </row>
    <row r="190" spans="2:8" ht="17.5" x14ac:dyDescent="0.25">
      <c r="B190" s="1255" t="s">
        <v>956</v>
      </c>
      <c r="C190" s="1412" t="s">
        <v>431</v>
      </c>
      <c r="D190" s="1411" t="s">
        <v>432</v>
      </c>
      <c r="E190" s="1411" t="s">
        <v>433</v>
      </c>
      <c r="F190" s="1411" t="s">
        <v>434</v>
      </c>
      <c r="G190" s="1411" t="s">
        <v>435</v>
      </c>
      <c r="H190" s="1411" t="s">
        <v>436</v>
      </c>
    </row>
    <row r="191" spans="2:8" ht="15" x14ac:dyDescent="0.3">
      <c r="B191" s="962" t="s">
        <v>928</v>
      </c>
      <c r="C191" s="1406" t="s">
        <v>957</v>
      </c>
      <c r="D191" s="1407" t="s">
        <v>958</v>
      </c>
      <c r="E191" s="1407" t="s">
        <v>959</v>
      </c>
      <c r="F191" s="1407" t="s">
        <v>960</v>
      </c>
      <c r="G191" s="1407" t="s">
        <v>961</v>
      </c>
      <c r="H191" s="1407" t="s">
        <v>962</v>
      </c>
    </row>
    <row r="192" spans="2:8" ht="15" x14ac:dyDescent="0.3">
      <c r="B192" s="962" t="s">
        <v>934</v>
      </c>
      <c r="C192" s="1406" t="s">
        <v>963</v>
      </c>
      <c r="D192" s="1407" t="s">
        <v>964</v>
      </c>
      <c r="E192" s="1407" t="s">
        <v>965</v>
      </c>
      <c r="F192" s="1407" t="s">
        <v>966</v>
      </c>
      <c r="G192" s="1407" t="s">
        <v>967</v>
      </c>
      <c r="H192" s="1407" t="s">
        <v>968</v>
      </c>
    </row>
    <row r="193" spans="2:8" ht="15" x14ac:dyDescent="0.3">
      <c r="B193" s="962" t="s">
        <v>939</v>
      </c>
      <c r="C193" s="1406" t="s">
        <v>969</v>
      </c>
      <c r="D193" s="1408" t="s">
        <v>970</v>
      </c>
      <c r="E193" s="1408" t="s">
        <v>971</v>
      </c>
      <c r="F193" s="1408" t="s">
        <v>972</v>
      </c>
      <c r="G193" s="1407" t="s">
        <v>973</v>
      </c>
      <c r="H193" s="1407" t="s">
        <v>974</v>
      </c>
    </row>
  </sheetData>
  <sheetProtection algorithmName="SHA-512" hashValue="JNFx5O9+hvY66JfVwKdmbV9HusaDRj0ECSbzueitEmJKQLNFy4knh/3H5li3u1f+GfEdbxRYpMQkbkhss2n/RA==" saltValue="9uHzOAG7ILiDfhTilIxzZg==" spinCount="100000" sheet="1" objects="1" scenarios="1"/>
  <mergeCells count="99">
    <mergeCell ref="C181:C183"/>
    <mergeCell ref="B171:G171"/>
    <mergeCell ref="F174:F177"/>
    <mergeCell ref="C14:F14"/>
    <mergeCell ref="C44:F44"/>
    <mergeCell ref="C69:D69"/>
    <mergeCell ref="C97:F97"/>
    <mergeCell ref="C119:E119"/>
    <mergeCell ref="C129:G129"/>
    <mergeCell ref="C138:F138"/>
    <mergeCell ref="C145:F145"/>
    <mergeCell ref="G149:J149"/>
    <mergeCell ref="G138:I138"/>
    <mergeCell ref="J138:L138"/>
    <mergeCell ref="G145:I145"/>
    <mergeCell ref="B119:B120"/>
    <mergeCell ref="F119:H119"/>
    <mergeCell ref="Q149:S149"/>
    <mergeCell ref="T149:V149"/>
    <mergeCell ref="A150:A151"/>
    <mergeCell ref="E156:E157"/>
    <mergeCell ref="K149:M149"/>
    <mergeCell ref="N149:P149"/>
    <mergeCell ref="I119:K119"/>
    <mergeCell ref="K129:N129"/>
    <mergeCell ref="H129:J129"/>
    <mergeCell ref="B162:B163"/>
    <mergeCell ref="E162:F162"/>
    <mergeCell ref="G162:H162"/>
    <mergeCell ref="C149:F149"/>
    <mergeCell ref="C162:D162"/>
    <mergeCell ref="M106:O106"/>
    <mergeCell ref="P106:R106"/>
    <mergeCell ref="M97:O97"/>
    <mergeCell ref="P97:R97"/>
    <mergeCell ref="M104:O104"/>
    <mergeCell ref="P104:R104"/>
    <mergeCell ref="M105:O105"/>
    <mergeCell ref="P105:R105"/>
    <mergeCell ref="G97:I97"/>
    <mergeCell ref="J97:L97"/>
    <mergeCell ref="B110:B111"/>
    <mergeCell ref="D110:F110"/>
    <mergeCell ref="G110:I110"/>
    <mergeCell ref="Q53:Q54"/>
    <mergeCell ref="R53:R54"/>
    <mergeCell ref="E69:F69"/>
    <mergeCell ref="G69:H69"/>
    <mergeCell ref="I69:J69"/>
    <mergeCell ref="L53:L54"/>
    <mergeCell ref="M53:M54"/>
    <mergeCell ref="N53:N54"/>
    <mergeCell ref="O53:O54"/>
    <mergeCell ref="P53:P54"/>
    <mergeCell ref="U17:U18"/>
    <mergeCell ref="G44:I44"/>
    <mergeCell ref="J44:L44"/>
    <mergeCell ref="M44:O44"/>
    <mergeCell ref="P44:R44"/>
    <mergeCell ref="S44:S45"/>
    <mergeCell ref="J31:J32"/>
    <mergeCell ref="K31:K32"/>
    <mergeCell ref="L31:L32"/>
    <mergeCell ref="P17:P18"/>
    <mergeCell ref="T17:T18"/>
    <mergeCell ref="Q17:Q18"/>
    <mergeCell ref="R31:R32"/>
    <mergeCell ref="B4:M4"/>
    <mergeCell ref="J14:L14"/>
    <mergeCell ref="G14:I14"/>
    <mergeCell ref="M14:O14"/>
    <mergeCell ref="O24:O25"/>
    <mergeCell ref="M17:M18"/>
    <mergeCell ref="N17:N18"/>
    <mergeCell ref="O17:O18"/>
    <mergeCell ref="J17:J18"/>
    <mergeCell ref="K17:K18"/>
    <mergeCell ref="L17:L18"/>
    <mergeCell ref="J24:J25"/>
    <mergeCell ref="K24:K25"/>
    <mergeCell ref="L24:L25"/>
    <mergeCell ref="M24:M25"/>
    <mergeCell ref="N24:N25"/>
    <mergeCell ref="C59:D59"/>
    <mergeCell ref="P14:R14"/>
    <mergeCell ref="S14:S15"/>
    <mergeCell ref="M31:M32"/>
    <mergeCell ref="N31:N32"/>
    <mergeCell ref="O31:O32"/>
    <mergeCell ref="P31:P32"/>
    <mergeCell ref="Q31:Q32"/>
    <mergeCell ref="P24:P25"/>
    <mergeCell ref="Q24:Q25"/>
    <mergeCell ref="R24:R25"/>
    <mergeCell ref="R17:R18"/>
    <mergeCell ref="S46:S47"/>
    <mergeCell ref="S48:S49"/>
    <mergeCell ref="J53:J54"/>
    <mergeCell ref="K53:K54"/>
  </mergeCells>
  <phoneticPr fontId="3" type="noConversion"/>
  <conditionalFormatting sqref="C181">
    <cfRule type="dataBar" priority="1">
      <dataBar>
        <cfvo type="num" val="-0.2"/>
        <cfvo type="num" val="1"/>
        <color theme="3"/>
      </dataBar>
      <extLst>
        <ext xmlns:x14="http://schemas.microsoft.com/office/spreadsheetml/2009/9/main" uri="{B025F937-C7B1-47D3-B67F-A62EFF666E3E}">
          <x14:id>{E60C67F6-B976-45C7-B67A-B6588562D8A0}</x14:id>
        </ext>
      </extLst>
    </cfRule>
  </conditionalFormatting>
  <conditionalFormatting sqref="C175:E175">
    <cfRule type="dataBar" priority="4">
      <dataBar>
        <cfvo type="num" val="-0.2"/>
        <cfvo type="num" val="1"/>
        <color theme="3"/>
      </dataBar>
      <extLst>
        <ext xmlns:x14="http://schemas.microsoft.com/office/spreadsheetml/2009/9/main" uri="{B025F937-C7B1-47D3-B67F-A62EFF666E3E}">
          <x14:id>{6F2C36B5-5DB6-495E-BB63-45ADEFDE71DE}</x14:id>
        </ext>
      </extLst>
    </cfRule>
  </conditionalFormatting>
  <conditionalFormatting sqref="D176">
    <cfRule type="dataBar" priority="3">
      <dataBar>
        <cfvo type="num" val="-0.2"/>
        <cfvo type="num" val="1"/>
        <color theme="3"/>
      </dataBar>
      <extLst>
        <ext xmlns:x14="http://schemas.microsoft.com/office/spreadsheetml/2009/9/main" uri="{B025F937-C7B1-47D3-B67F-A62EFF666E3E}">
          <x14:id>{452BD6A1-A368-4B69-AF3E-97536DA06BCF}</x14:id>
        </ext>
      </extLst>
    </cfRule>
  </conditionalFormatting>
  <conditionalFormatting sqref="F9:G11">
    <cfRule type="dataBar" priority="8">
      <dataBar>
        <cfvo type="num" val="-0.2"/>
        <cfvo type="num" val="1"/>
        <color theme="3"/>
      </dataBar>
      <extLst>
        <ext xmlns:x14="http://schemas.microsoft.com/office/spreadsheetml/2009/9/main" uri="{B025F937-C7B1-47D3-B67F-A62EFF666E3E}">
          <x14:id>{F34D1FB6-1BC4-4CEF-A3FA-C8D325420558}</x14:id>
        </ext>
      </extLst>
    </cfRule>
  </conditionalFormatting>
  <conditionalFormatting sqref="G176:H176">
    <cfRule type="dataBar" priority="2">
      <dataBar>
        <cfvo type="num" val="-0.2"/>
        <cfvo type="num" val="1"/>
        <color theme="3"/>
      </dataBar>
      <extLst>
        <ext xmlns:x14="http://schemas.microsoft.com/office/spreadsheetml/2009/9/main" uri="{B025F937-C7B1-47D3-B67F-A62EFF666E3E}">
          <x14:id>{62512A10-811A-4E72-8DF1-A8744635FB1A}</x14:id>
        </ext>
      </extLst>
    </cfRule>
  </conditionalFormatting>
  <conditionalFormatting sqref="I88:J94">
    <cfRule type="dataBar" priority="5">
      <dataBar>
        <cfvo type="num" val="-0.2"/>
        <cfvo type="num" val="1"/>
        <color theme="3"/>
      </dataBar>
      <extLst>
        <ext xmlns:x14="http://schemas.microsoft.com/office/spreadsheetml/2009/9/main" uri="{B025F937-C7B1-47D3-B67F-A62EFF666E3E}">
          <x14:id>{2622A520-B806-4350-B8D3-658C3F980E43}</x14:id>
        </ext>
      </extLst>
    </cfRule>
  </conditionalFormatting>
  <conditionalFormatting sqref="M57:R57">
    <cfRule type="dataBar" priority="6">
      <dataBar>
        <cfvo type="num" val="-0.2"/>
        <cfvo type="num" val="1"/>
        <color theme="3"/>
      </dataBar>
      <extLst>
        <ext xmlns:x14="http://schemas.microsoft.com/office/spreadsheetml/2009/9/main" uri="{B025F937-C7B1-47D3-B67F-A62EFF666E3E}">
          <x14:id>{5B2E4C1D-FB0E-43E0-9D9F-8884C3412D3E}</x14:id>
        </ext>
      </extLst>
    </cfRule>
  </conditionalFormatting>
  <conditionalFormatting sqref="P41:R41">
    <cfRule type="dataBar" priority="7">
      <dataBar>
        <cfvo type="num" val="-0.2"/>
        <cfvo type="num" val="1"/>
        <color theme="3"/>
      </dataBar>
      <extLst>
        <ext xmlns:x14="http://schemas.microsoft.com/office/spreadsheetml/2009/9/main" uri="{B025F937-C7B1-47D3-B67F-A62EFF666E3E}">
          <x14:id>{2F40AAC9-FB51-4B46-9A4B-270B0FBD3233}</x14:id>
        </ext>
      </extLst>
    </cfRule>
  </conditionalFormatting>
  <hyperlinks>
    <hyperlink ref="B4:M4" location="'Basis of Reporting'!A1" display="The data below represents Johnson Matthey's People information as at 31st March 2025 (for 2024/25), unless otherwise stated, and is reported on the basis of our Basis of Reporting on page 191-195 of our Annual Report and Accounts 2025 and on the Basis of Reporting tab." xr:uid="{59FA46D3-50EF-408E-93AE-7245D72E8786}"/>
  </hyperlink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dataBar" id="{E60C67F6-B976-45C7-B67A-B6588562D8A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C181</xm:sqref>
        </x14:conditionalFormatting>
        <x14:conditionalFormatting xmlns:xm="http://schemas.microsoft.com/office/excel/2006/main">
          <x14:cfRule type="dataBar" id="{6F2C36B5-5DB6-495E-BB63-45ADEFDE71D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C175:E175</xm:sqref>
        </x14:conditionalFormatting>
        <x14:conditionalFormatting xmlns:xm="http://schemas.microsoft.com/office/excel/2006/main">
          <x14:cfRule type="dataBar" id="{452BD6A1-A368-4B69-AF3E-97536DA06BC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D176</xm:sqref>
        </x14:conditionalFormatting>
        <x14:conditionalFormatting xmlns:xm="http://schemas.microsoft.com/office/excel/2006/main">
          <x14:cfRule type="dataBar" id="{F34D1FB6-1BC4-4CEF-A3FA-C8D32542055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F9:G11</xm:sqref>
        </x14:conditionalFormatting>
        <x14:conditionalFormatting xmlns:xm="http://schemas.microsoft.com/office/excel/2006/main">
          <x14:cfRule type="dataBar" id="{62512A10-811A-4E72-8DF1-A8744635FB1A}">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G176:H176</xm:sqref>
        </x14:conditionalFormatting>
        <x14:conditionalFormatting xmlns:xm="http://schemas.microsoft.com/office/excel/2006/main">
          <x14:cfRule type="dataBar" id="{2622A520-B806-4350-B8D3-658C3F980E4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I88:J94</xm:sqref>
        </x14:conditionalFormatting>
        <x14:conditionalFormatting xmlns:xm="http://schemas.microsoft.com/office/excel/2006/main">
          <x14:cfRule type="dataBar" id="{5B2E4C1D-FB0E-43E0-9D9F-8884C3412D3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M57:R57</xm:sqref>
        </x14:conditionalFormatting>
        <x14:conditionalFormatting xmlns:xm="http://schemas.microsoft.com/office/excel/2006/main">
          <x14:cfRule type="dataBar" id="{2F40AAC9-FB51-4B46-9A4B-270B0FBD323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P41:R41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A01F-2334-4F3B-8E31-6E9D6B2032E3}">
  <sheetPr codeName="Sheet6">
    <tabColor theme="7"/>
    <pageSetUpPr fitToPage="1"/>
  </sheetPr>
  <dimension ref="B2:W43"/>
  <sheetViews>
    <sheetView zoomScale="80" zoomScaleNormal="80" workbookViewId="0"/>
  </sheetViews>
  <sheetFormatPr defaultColWidth="8.81640625" defaultRowHeight="13.5" x14ac:dyDescent="0.3"/>
  <cols>
    <col min="1" max="1" width="2.453125" style="3" customWidth="1"/>
    <col min="2" max="2" width="79.54296875" style="3" customWidth="1"/>
    <col min="3" max="3" width="32.54296875" style="3" customWidth="1"/>
    <col min="4" max="13" width="16.1796875" style="3" customWidth="1"/>
    <col min="14" max="15" width="15.54296875" style="3" customWidth="1"/>
    <col min="16" max="21" width="11.81640625" style="3" customWidth="1"/>
    <col min="22" max="16384" width="8.81640625" style="3"/>
  </cols>
  <sheetData>
    <row r="2" spans="2:15" ht="61" customHeight="1" x14ac:dyDescent="0.3">
      <c r="B2" s="1639" t="s">
        <v>975</v>
      </c>
      <c r="C2" s="1587"/>
      <c r="D2" s="1587"/>
      <c r="E2" s="1587"/>
      <c r="F2" s="1587"/>
      <c r="G2" s="1587"/>
      <c r="H2" s="1587"/>
      <c r="I2" s="1587"/>
      <c r="J2" s="1587"/>
    </row>
    <row r="3" spans="2:15" x14ac:dyDescent="0.3">
      <c r="B3" s="487"/>
    </row>
    <row r="5" spans="2:15" ht="29.15" customHeight="1" x14ac:dyDescent="0.3">
      <c r="B5" s="1637" t="s">
        <v>976</v>
      </c>
      <c r="C5" s="1637" t="s">
        <v>430</v>
      </c>
      <c r="D5" s="1640" t="s">
        <v>431</v>
      </c>
      <c r="E5" s="1641"/>
      <c r="F5" s="1636" t="s">
        <v>432</v>
      </c>
      <c r="G5" s="1636"/>
      <c r="H5" s="1636" t="s">
        <v>433</v>
      </c>
      <c r="I5" s="1636"/>
      <c r="J5" s="1636" t="s">
        <v>434</v>
      </c>
      <c r="K5" s="1636"/>
      <c r="L5" s="1636" t="s">
        <v>435</v>
      </c>
      <c r="M5" s="1636"/>
      <c r="N5" s="1636" t="s">
        <v>436</v>
      </c>
      <c r="O5" s="1636"/>
    </row>
    <row r="6" spans="2:15" x14ac:dyDescent="0.3">
      <c r="B6" s="1637"/>
      <c r="C6" s="1637"/>
      <c r="D6" s="634" t="s">
        <v>802</v>
      </c>
      <c r="E6" s="635" t="s">
        <v>805</v>
      </c>
      <c r="F6" s="636" t="s">
        <v>802</v>
      </c>
      <c r="G6" s="637" t="s">
        <v>805</v>
      </c>
      <c r="H6" s="636" t="s">
        <v>802</v>
      </c>
      <c r="I6" s="637" t="s">
        <v>805</v>
      </c>
      <c r="J6" s="636" t="s">
        <v>802</v>
      </c>
      <c r="K6" s="637" t="s">
        <v>805</v>
      </c>
      <c r="L6" s="636" t="s">
        <v>802</v>
      </c>
      <c r="M6" s="637" t="s">
        <v>805</v>
      </c>
      <c r="N6" s="636" t="s">
        <v>802</v>
      </c>
      <c r="O6" s="637" t="s">
        <v>805</v>
      </c>
    </row>
    <row r="7" spans="2:15" ht="30" x14ac:dyDescent="0.3">
      <c r="B7" s="533" t="s">
        <v>977</v>
      </c>
      <c r="C7" s="529" t="s">
        <v>978</v>
      </c>
      <c r="D7" s="676">
        <v>10.248264026783202</v>
      </c>
      <c r="E7" s="638" t="s">
        <v>979</v>
      </c>
      <c r="F7" s="639">
        <v>17.11</v>
      </c>
      <c r="G7" s="639" t="s">
        <v>979</v>
      </c>
      <c r="H7" s="639">
        <v>11.11</v>
      </c>
      <c r="I7" s="639" t="s">
        <v>980</v>
      </c>
      <c r="J7" s="640">
        <v>11.8</v>
      </c>
      <c r="K7" s="641" t="s">
        <v>980</v>
      </c>
      <c r="L7" s="640">
        <v>16.12</v>
      </c>
      <c r="M7" s="641" t="s">
        <v>980</v>
      </c>
      <c r="N7" s="640">
        <v>18.443351047652378</v>
      </c>
      <c r="O7" s="641" t="s">
        <v>980</v>
      </c>
    </row>
    <row r="8" spans="2:15" ht="15" x14ac:dyDescent="0.3">
      <c r="B8" s="533" t="s">
        <v>981</v>
      </c>
      <c r="C8" s="533" t="s">
        <v>509</v>
      </c>
      <c r="D8" s="676">
        <v>0.35717850817456592</v>
      </c>
      <c r="E8" s="676">
        <v>0.49730614606716483</v>
      </c>
      <c r="F8" s="639">
        <v>0.36</v>
      </c>
      <c r="G8" s="639">
        <v>0.48</v>
      </c>
      <c r="H8" s="639">
        <f>F25</f>
        <v>0.48</v>
      </c>
      <c r="I8" s="639">
        <f>F26</f>
        <v>0.41</v>
      </c>
      <c r="J8" s="641">
        <v>0.59</v>
      </c>
      <c r="K8" s="641" t="s">
        <v>836</v>
      </c>
      <c r="L8" s="640">
        <v>0.56999999999999995</v>
      </c>
      <c r="M8" s="641" t="s">
        <v>836</v>
      </c>
      <c r="N8" s="640">
        <v>0.78427488081668739</v>
      </c>
      <c r="O8" s="641" t="s">
        <v>836</v>
      </c>
    </row>
    <row r="9" spans="2:15" ht="15" x14ac:dyDescent="0.3">
      <c r="B9" s="533" t="s">
        <v>982</v>
      </c>
      <c r="C9" s="533" t="s">
        <v>983</v>
      </c>
      <c r="D9" s="677">
        <v>18</v>
      </c>
      <c r="E9" s="638">
        <v>2</v>
      </c>
      <c r="F9" s="639">
        <v>20</v>
      </c>
      <c r="G9" s="639">
        <v>4</v>
      </c>
      <c r="H9" s="639">
        <v>28</v>
      </c>
      <c r="I9" s="639">
        <v>9</v>
      </c>
      <c r="J9" s="641">
        <v>40</v>
      </c>
      <c r="K9" s="641">
        <v>8</v>
      </c>
      <c r="L9" s="641">
        <v>39</v>
      </c>
      <c r="M9" s="641">
        <v>6</v>
      </c>
      <c r="N9" s="641">
        <v>49</v>
      </c>
      <c r="O9" s="641">
        <v>12</v>
      </c>
    </row>
    <row r="10" spans="2:15" ht="15" x14ac:dyDescent="0.3">
      <c r="B10" s="533" t="s">
        <v>984</v>
      </c>
      <c r="C10" s="533" t="s">
        <v>503</v>
      </c>
      <c r="D10" s="676">
        <v>0.92326702943992811</v>
      </c>
      <c r="E10" s="676">
        <v>0.49730614606716483</v>
      </c>
      <c r="F10" s="675">
        <v>0.84</v>
      </c>
      <c r="G10" s="639">
        <v>0.95</v>
      </c>
      <c r="H10" s="675">
        <v>1.196</v>
      </c>
      <c r="I10" s="639">
        <v>1.37</v>
      </c>
      <c r="J10" s="641">
        <v>1.45</v>
      </c>
      <c r="K10" s="641">
        <v>1.33</v>
      </c>
      <c r="L10" s="640">
        <v>1.29</v>
      </c>
      <c r="M10" s="640">
        <v>1.1299999999999999</v>
      </c>
      <c r="N10" s="640">
        <v>1.4464112881567741</v>
      </c>
      <c r="O10" s="640">
        <v>1.33</v>
      </c>
    </row>
    <row r="11" spans="2:15" ht="15" x14ac:dyDescent="0.3">
      <c r="B11" s="533" t="s">
        <v>985</v>
      </c>
      <c r="C11" s="533" t="s">
        <v>509</v>
      </c>
      <c r="D11" s="676">
        <v>0.17008500389265047</v>
      </c>
      <c r="E11" s="676">
        <v>9.9461229213432964E-2</v>
      </c>
      <c r="F11" s="639">
        <v>0.17</v>
      </c>
      <c r="G11" s="639">
        <v>0.19</v>
      </c>
      <c r="H11" s="639">
        <v>0.23</v>
      </c>
      <c r="I11" s="639">
        <f>F22</f>
        <v>0.27</v>
      </c>
      <c r="J11" s="640">
        <v>0.3</v>
      </c>
      <c r="K11" s="641" t="s">
        <v>836</v>
      </c>
      <c r="L11" s="640">
        <v>0.28999999999999998</v>
      </c>
      <c r="M11" s="641" t="s">
        <v>836</v>
      </c>
      <c r="N11" s="640">
        <v>0.34713806200082886</v>
      </c>
      <c r="O11" s="641" t="s">
        <v>836</v>
      </c>
    </row>
    <row r="12" spans="2:15" ht="30" x14ac:dyDescent="0.3">
      <c r="B12" s="533" t="s">
        <v>986</v>
      </c>
      <c r="C12" s="533" t="s">
        <v>503</v>
      </c>
      <c r="D12" s="676">
        <v>0</v>
      </c>
      <c r="E12" s="638" t="s">
        <v>979</v>
      </c>
      <c r="F12" s="639">
        <v>0</v>
      </c>
      <c r="G12" s="639" t="s">
        <v>979</v>
      </c>
      <c r="H12" s="639">
        <v>0.08</v>
      </c>
      <c r="I12" s="639" t="s">
        <v>980</v>
      </c>
      <c r="J12" s="641">
        <v>0.16</v>
      </c>
      <c r="K12" s="641" t="s">
        <v>980</v>
      </c>
      <c r="L12" s="640">
        <v>0.11</v>
      </c>
      <c r="M12" s="641" t="s">
        <v>980</v>
      </c>
      <c r="N12" s="640">
        <v>0.44999462298210752</v>
      </c>
      <c r="O12" s="641" t="s">
        <v>980</v>
      </c>
    </row>
    <row r="13" spans="2:15" ht="25" hidden="1" customHeight="1" x14ac:dyDescent="0.3">
      <c r="B13" s="488" t="s">
        <v>987</v>
      </c>
      <c r="C13" s="488"/>
      <c r="F13" s="489"/>
      <c r="G13" s="482"/>
      <c r="H13" s="490"/>
      <c r="I13" s="489"/>
      <c r="J13" s="482"/>
      <c r="K13" s="490"/>
    </row>
    <row r="14" spans="2:15" ht="11.5" hidden="1" customHeight="1" x14ac:dyDescent="0.3">
      <c r="B14" s="491" t="s">
        <v>988</v>
      </c>
      <c r="C14" s="659" t="s">
        <v>989</v>
      </c>
      <c r="D14" s="659"/>
      <c r="E14" s="659"/>
      <c r="G14" s="492"/>
    </row>
    <row r="15" spans="2:15" ht="11.5" hidden="1" customHeight="1" x14ac:dyDescent="0.3">
      <c r="B15" s="491" t="s">
        <v>990</v>
      </c>
      <c r="C15" s="1638" t="s">
        <v>991</v>
      </c>
      <c r="D15" s="1638"/>
      <c r="E15" s="1638"/>
      <c r="F15" s="1638"/>
      <c r="G15" s="492"/>
    </row>
    <row r="16" spans="2:15" ht="11.5" hidden="1" customHeight="1" x14ac:dyDescent="0.3">
      <c r="B16" s="493" t="s">
        <v>992</v>
      </c>
      <c r="C16" s="1638" t="s">
        <v>993</v>
      </c>
      <c r="D16" s="1638"/>
      <c r="E16" s="1638"/>
      <c r="F16" s="1638"/>
      <c r="G16" s="492"/>
    </row>
    <row r="17" spans="2:23" ht="11.5" hidden="1" customHeight="1" x14ac:dyDescent="0.3">
      <c r="B17" s="493" t="s">
        <v>994</v>
      </c>
      <c r="C17" s="1638" t="s">
        <v>995</v>
      </c>
      <c r="D17" s="1638"/>
      <c r="E17" s="1638"/>
      <c r="F17" s="1638"/>
      <c r="G17" s="492"/>
    </row>
    <row r="18" spans="2:23" ht="26.5" customHeight="1" x14ac:dyDescent="0.3">
      <c r="G18" s="492"/>
    </row>
    <row r="19" spans="2:23" ht="40.75" customHeight="1" x14ac:dyDescent="0.3">
      <c r="B19" s="597" t="s">
        <v>976</v>
      </c>
      <c r="C19" s="600" t="s">
        <v>430</v>
      </c>
      <c r="D19" s="598" t="s">
        <v>431</v>
      </c>
      <c r="E19" s="599" t="s">
        <v>432</v>
      </c>
      <c r="F19" s="599" t="s">
        <v>433</v>
      </c>
      <c r="G19" s="599" t="s">
        <v>434</v>
      </c>
      <c r="H19" s="599" t="s">
        <v>435</v>
      </c>
      <c r="I19" s="599" t="s">
        <v>436</v>
      </c>
      <c r="J19" s="599" t="s">
        <v>996</v>
      </c>
      <c r="K19" s="598" t="s">
        <v>557</v>
      </c>
      <c r="L19" s="601" t="s">
        <v>997</v>
      </c>
      <c r="P19" s="504" t="str">
        <f>J19</f>
        <v>2018/19</v>
      </c>
      <c r="Q19" s="504" t="str">
        <f>I19</f>
        <v>2019/20</v>
      </c>
      <c r="R19" s="504" t="str">
        <f>H19</f>
        <v>2020/21</v>
      </c>
      <c r="S19" s="504" t="str">
        <f>G19</f>
        <v>2021/22</v>
      </c>
      <c r="T19" s="504" t="str">
        <f>F19</f>
        <v>2022/23</v>
      </c>
      <c r="U19" s="504" t="str">
        <f>E19</f>
        <v>2023/24</v>
      </c>
      <c r="V19" s="504" t="str">
        <f>D19</f>
        <v>2024/25</v>
      </c>
    </row>
    <row r="20" spans="2:23" ht="30" x14ac:dyDescent="0.3">
      <c r="B20" s="529" t="s">
        <v>998</v>
      </c>
      <c r="C20" s="533" t="s">
        <v>509</v>
      </c>
      <c r="D20" s="699">
        <v>0.17008500389265047</v>
      </c>
      <c r="E20" s="545">
        <v>0.17</v>
      </c>
      <c r="F20" s="545">
        <v>0.24</v>
      </c>
      <c r="G20" s="546">
        <v>0.3</v>
      </c>
      <c r="H20" s="545">
        <v>0.28000000000000003</v>
      </c>
      <c r="I20" s="545">
        <v>0.34</v>
      </c>
      <c r="J20" s="545">
        <v>0.56000000000000005</v>
      </c>
      <c r="K20" s="647">
        <f>(D20-E20)/E20</f>
        <v>5.000228979438454E-4</v>
      </c>
      <c r="L20" s="645"/>
      <c r="N20" s="504"/>
      <c r="O20" s="504" t="str">
        <f>B20</f>
        <v>Lost Time Injury and Illness Rate (LTIIR) 
employees + contractors</v>
      </c>
      <c r="P20" s="504">
        <f>J20</f>
        <v>0.56000000000000005</v>
      </c>
      <c r="Q20" s="504">
        <f>I20</f>
        <v>0.34</v>
      </c>
      <c r="R20" s="504">
        <f>H20</f>
        <v>0.28000000000000003</v>
      </c>
      <c r="S20" s="715">
        <f>G20</f>
        <v>0.3</v>
      </c>
      <c r="T20" s="504">
        <f>F20</f>
        <v>0.24</v>
      </c>
      <c r="U20" s="504">
        <f>E20</f>
        <v>0.17</v>
      </c>
      <c r="V20" s="715">
        <f>D20</f>
        <v>0.17008500389265047</v>
      </c>
      <c r="W20" s="504"/>
    </row>
    <row r="21" spans="2:23" ht="15" x14ac:dyDescent="0.3">
      <c r="B21" s="543" t="s">
        <v>999</v>
      </c>
      <c r="C21" s="533" t="s">
        <v>509</v>
      </c>
      <c r="D21" s="699">
        <v>0.18465340588798562</v>
      </c>
      <c r="E21" s="545">
        <v>0.17</v>
      </c>
      <c r="F21" s="545">
        <v>0.23</v>
      </c>
      <c r="G21" s="546">
        <v>0.3</v>
      </c>
      <c r="H21" s="545">
        <v>0.28999999999999998</v>
      </c>
      <c r="I21" s="545">
        <v>0.35</v>
      </c>
      <c r="J21" s="545">
        <v>0.56999999999999995</v>
      </c>
      <c r="K21" s="647">
        <f t="shared" ref="K21:K29" si="0">(D21-E21)/E21</f>
        <v>8.6196505223444755E-2</v>
      </c>
      <c r="L21" s="646"/>
      <c r="N21" s="504"/>
      <c r="O21" s="504"/>
      <c r="P21" s="504"/>
      <c r="Q21" s="504"/>
      <c r="R21" s="504"/>
      <c r="S21" s="504"/>
      <c r="T21" s="504"/>
      <c r="U21" s="504"/>
      <c r="V21" s="504"/>
      <c r="W21" s="504"/>
    </row>
    <row r="22" spans="2:23" ht="15" x14ac:dyDescent="0.3">
      <c r="B22" s="543" t="s">
        <v>1000</v>
      </c>
      <c r="C22" s="533" t="s">
        <v>509</v>
      </c>
      <c r="D22" s="699">
        <v>9.9461229213432964E-2</v>
      </c>
      <c r="E22" s="545">
        <v>0.19</v>
      </c>
      <c r="F22" s="545">
        <v>0.27</v>
      </c>
      <c r="G22" s="545">
        <v>0.27</v>
      </c>
      <c r="H22" s="545">
        <v>0.23</v>
      </c>
      <c r="I22" s="545">
        <v>0.27</v>
      </c>
      <c r="J22" s="545">
        <v>0.4</v>
      </c>
      <c r="K22" s="647">
        <f t="shared" si="0"/>
        <v>-0.4765198462450897</v>
      </c>
      <c r="L22" s="646"/>
      <c r="N22" s="504"/>
      <c r="O22" s="504"/>
      <c r="P22" s="504"/>
      <c r="Q22" s="504"/>
      <c r="R22" s="504"/>
      <c r="S22" s="504"/>
      <c r="T22" s="504"/>
      <c r="U22" s="504"/>
      <c r="V22" s="504"/>
      <c r="W22" s="504"/>
    </row>
    <row r="23" spans="2:23" ht="30" x14ac:dyDescent="0.3">
      <c r="B23" s="529" t="s">
        <v>1001</v>
      </c>
      <c r="C23" s="533" t="s">
        <v>509</v>
      </c>
      <c r="D23" s="699">
        <v>0.35717850817456592</v>
      </c>
      <c r="E23" s="545">
        <v>0.36</v>
      </c>
      <c r="F23" s="545">
        <v>0.47</v>
      </c>
      <c r="G23" s="545">
        <v>0.59</v>
      </c>
      <c r="H23" s="545">
        <v>0.55000000000000004</v>
      </c>
      <c r="I23" s="545">
        <v>0.79</v>
      </c>
      <c r="J23" s="545">
        <v>0.97</v>
      </c>
      <c r="K23" s="647">
        <f t="shared" si="0"/>
        <v>-7.8374772928723989E-3</v>
      </c>
      <c r="L23" s="647">
        <f>(D23-I23)/(0.25-I23)</f>
        <v>0.80152128115821131</v>
      </c>
      <c r="O23" s="504" t="str">
        <f>B23</f>
        <v>Total Recordable Injury and Illness Rate (TRIIR)
employees + contractors</v>
      </c>
      <c r="P23" s="504">
        <f>J23</f>
        <v>0.97</v>
      </c>
      <c r="Q23" s="504">
        <f>I23</f>
        <v>0.79</v>
      </c>
      <c r="R23" s="504">
        <f>H23</f>
        <v>0.55000000000000004</v>
      </c>
      <c r="S23" s="504">
        <f>G23</f>
        <v>0.59</v>
      </c>
      <c r="T23" s="504">
        <f>F23</f>
        <v>0.47</v>
      </c>
      <c r="U23" s="504">
        <f>E23</f>
        <v>0.36</v>
      </c>
      <c r="V23" s="715">
        <f>D23</f>
        <v>0.35717850817456592</v>
      </c>
      <c r="W23" s="504"/>
    </row>
    <row r="24" spans="2:23" ht="30" x14ac:dyDescent="0.3">
      <c r="B24" s="529" t="s">
        <v>1002</v>
      </c>
      <c r="C24" s="533" t="s">
        <v>668</v>
      </c>
      <c r="D24" s="642">
        <v>42</v>
      </c>
      <c r="E24" s="545">
        <v>50</v>
      </c>
      <c r="F24" s="545">
        <v>71</v>
      </c>
      <c r="G24" s="545">
        <v>98</v>
      </c>
      <c r="H24" s="545">
        <v>89</v>
      </c>
      <c r="I24" s="545">
        <v>144</v>
      </c>
      <c r="J24" s="545">
        <v>160</v>
      </c>
      <c r="K24" s="647">
        <f t="shared" si="0"/>
        <v>-0.16</v>
      </c>
      <c r="L24" s="647"/>
      <c r="N24" s="504"/>
      <c r="O24" s="504"/>
      <c r="P24" s="504"/>
      <c r="Q24" s="504"/>
      <c r="R24" s="504"/>
      <c r="S24" s="504"/>
      <c r="T24" s="504"/>
      <c r="U24" s="504"/>
      <c r="V24" s="504"/>
      <c r="W24" s="504"/>
    </row>
    <row r="25" spans="2:23" ht="15" x14ac:dyDescent="0.3">
      <c r="B25" s="543" t="s">
        <v>1003</v>
      </c>
      <c r="C25" s="533" t="s">
        <v>509</v>
      </c>
      <c r="D25" s="699">
        <v>0.32827272157864112</v>
      </c>
      <c r="E25" s="545">
        <v>0.34</v>
      </c>
      <c r="F25" s="545">
        <v>0.48</v>
      </c>
      <c r="G25" s="545">
        <v>0.61</v>
      </c>
      <c r="H25" s="545">
        <v>0.56999999999999995</v>
      </c>
      <c r="I25" s="545">
        <v>0.79</v>
      </c>
      <c r="J25" s="545">
        <v>1.01</v>
      </c>
      <c r="K25" s="647">
        <f t="shared" si="0"/>
        <v>-3.4491995356937935E-2</v>
      </c>
      <c r="L25" s="646"/>
      <c r="N25" s="504"/>
      <c r="O25" s="504"/>
      <c r="P25" s="504"/>
      <c r="Q25" s="504"/>
      <c r="R25" s="504"/>
      <c r="S25" s="504"/>
      <c r="T25" s="504"/>
      <c r="U25" s="504"/>
      <c r="V25" s="504"/>
      <c r="W25" s="504"/>
    </row>
    <row r="26" spans="2:23" ht="15" x14ac:dyDescent="0.3">
      <c r="B26" s="543" t="s">
        <v>1004</v>
      </c>
      <c r="C26" s="533" t="s">
        <v>509</v>
      </c>
      <c r="D26" s="699">
        <v>0.49730614606716483</v>
      </c>
      <c r="E26" s="545">
        <v>0.48</v>
      </c>
      <c r="F26" s="545">
        <v>0.41</v>
      </c>
      <c r="G26" s="545">
        <v>0.49</v>
      </c>
      <c r="H26" s="545">
        <v>0.45</v>
      </c>
      <c r="I26" s="545">
        <v>0.8</v>
      </c>
      <c r="J26" s="545">
        <v>0.53</v>
      </c>
      <c r="K26" s="647">
        <f t="shared" si="0"/>
        <v>3.605447097326011E-2</v>
      </c>
      <c r="L26" s="646"/>
      <c r="N26" s="504"/>
      <c r="O26" s="504"/>
      <c r="P26" s="504"/>
      <c r="Q26" s="504"/>
      <c r="R26" s="504"/>
      <c r="S26" s="504"/>
      <c r="T26" s="504"/>
      <c r="U26" s="504"/>
      <c r="V26" s="504"/>
      <c r="W26" s="504"/>
    </row>
    <row r="27" spans="2:23" ht="15" x14ac:dyDescent="0.3">
      <c r="B27" s="529" t="s">
        <v>1005</v>
      </c>
      <c r="C27" s="529" t="s">
        <v>511</v>
      </c>
      <c r="D27" s="699">
        <v>0.82</v>
      </c>
      <c r="E27" s="546">
        <v>0.88</v>
      </c>
      <c r="F27" s="546">
        <v>1.0149999999999999</v>
      </c>
      <c r="G27" s="546">
        <v>1.3220000000000001</v>
      </c>
      <c r="H27" s="546">
        <v>0.77</v>
      </c>
      <c r="I27" s="546">
        <v>1.1819999999999999</v>
      </c>
      <c r="J27" s="546">
        <v>1.5349999999999999</v>
      </c>
      <c r="K27" s="647">
        <f>(D27-E27)/E27</f>
        <v>-6.8181818181818246E-2</v>
      </c>
      <c r="L27" s="647">
        <f>(D27-I27)/(0.4-I27)</f>
        <v>0.46291560102301793</v>
      </c>
      <c r="N27" s="504"/>
      <c r="O27" s="504" t="str">
        <f>B27</f>
        <v>ICCA - Process Safety Event Severity Rate (PSESR)</v>
      </c>
      <c r="P27" s="715">
        <f>J27</f>
        <v>1.5349999999999999</v>
      </c>
      <c r="Q27" s="715">
        <f>I27</f>
        <v>1.1819999999999999</v>
      </c>
      <c r="R27" s="715">
        <f>H27</f>
        <v>0.77</v>
      </c>
      <c r="S27" s="715">
        <f>G27</f>
        <v>1.3220000000000001</v>
      </c>
      <c r="T27" s="715">
        <f>F27</f>
        <v>1.0149999999999999</v>
      </c>
      <c r="U27" s="715">
        <f>E27</f>
        <v>0.88</v>
      </c>
      <c r="V27" s="715">
        <f>D27</f>
        <v>0.82</v>
      </c>
      <c r="W27" s="504"/>
    </row>
    <row r="28" spans="2:23" ht="15" x14ac:dyDescent="0.3">
      <c r="B28" s="533" t="s">
        <v>1006</v>
      </c>
      <c r="C28" s="533" t="s">
        <v>1007</v>
      </c>
      <c r="D28" s="644">
        <v>2</v>
      </c>
      <c r="E28" s="547">
        <v>3</v>
      </c>
      <c r="F28" s="547">
        <f>F29*F30</f>
        <v>8.9727776479999992</v>
      </c>
      <c r="G28" s="547">
        <f>G29*G30</f>
        <v>11.004886842000001</v>
      </c>
      <c r="H28" s="547">
        <f>H29*H30</f>
        <v>5.0102105450000005</v>
      </c>
      <c r="I28" s="547">
        <f>I29*I30</f>
        <v>3.9997423400000001</v>
      </c>
      <c r="J28" s="547">
        <f>J29*J30</f>
        <v>3.0076201609999997</v>
      </c>
      <c r="K28" s="647">
        <f t="shared" si="0"/>
        <v>-0.33333333333333331</v>
      </c>
      <c r="L28" s="647"/>
      <c r="N28" s="504"/>
      <c r="O28" s="504"/>
      <c r="P28" s="504"/>
      <c r="Q28" s="504"/>
      <c r="R28" s="504"/>
      <c r="S28" s="504"/>
      <c r="T28" s="504"/>
      <c r="U28" s="504"/>
      <c r="V28" s="504"/>
      <c r="W28" s="504"/>
    </row>
    <row r="29" spans="2:23" ht="15" x14ac:dyDescent="0.3">
      <c r="B29" s="533" t="s">
        <v>506</v>
      </c>
      <c r="C29" s="528" t="s">
        <v>507</v>
      </c>
      <c r="D29" s="699">
        <v>8.5042501946325233E-2</v>
      </c>
      <c r="E29" s="548">
        <v>0.108</v>
      </c>
      <c r="F29" s="548">
        <v>0.29599999999999999</v>
      </c>
      <c r="G29" s="548">
        <v>0.33400000000000002</v>
      </c>
      <c r="H29" s="548">
        <v>0.155</v>
      </c>
      <c r="I29" s="548">
        <v>0.11</v>
      </c>
      <c r="J29" s="548">
        <v>9.0999999999999998E-2</v>
      </c>
      <c r="K29" s="647">
        <f t="shared" si="0"/>
        <v>-0.21256942642291449</v>
      </c>
      <c r="L29" s="645"/>
      <c r="N29" s="504"/>
      <c r="O29" s="504"/>
    </row>
    <row r="30" spans="2:23" ht="15" x14ac:dyDescent="0.3">
      <c r="B30" s="532" t="s">
        <v>1008</v>
      </c>
      <c r="C30" s="544" t="s">
        <v>1009</v>
      </c>
      <c r="D30" s="643">
        <v>23.517652399999999</v>
      </c>
      <c r="E30" s="549">
        <v>27.458358</v>
      </c>
      <c r="F30" s="549">
        <v>30.313438000000001</v>
      </c>
      <c r="G30" s="549">
        <v>32.948763</v>
      </c>
      <c r="H30" s="549">
        <v>32.323939000000003</v>
      </c>
      <c r="I30" s="549">
        <v>36.361294000000001</v>
      </c>
      <c r="J30" s="549">
        <v>33.050770999999997</v>
      </c>
      <c r="K30" s="647">
        <f>(D30-E30)/E30</f>
        <v>-0.14351570476282671</v>
      </c>
      <c r="L30" s="645"/>
      <c r="N30" s="504"/>
      <c r="O30" s="504"/>
    </row>
    <row r="31" spans="2:23" ht="15" x14ac:dyDescent="0.3">
      <c r="B31" s="532" t="s">
        <v>1010</v>
      </c>
      <c r="C31" s="544" t="s">
        <v>668</v>
      </c>
      <c r="D31" s="644">
        <v>0</v>
      </c>
      <c r="E31" s="550">
        <v>0</v>
      </c>
      <c r="F31" s="550">
        <v>0</v>
      </c>
      <c r="G31" s="550">
        <v>0</v>
      </c>
      <c r="H31" s="550">
        <v>0</v>
      </c>
      <c r="I31" s="550">
        <v>0</v>
      </c>
      <c r="J31" s="550">
        <v>0</v>
      </c>
      <c r="K31" s="647"/>
      <c r="L31" s="645"/>
    </row>
    <row r="32" spans="2:23" ht="15" x14ac:dyDescent="0.3">
      <c r="B32" s="532" t="s">
        <v>1011</v>
      </c>
      <c r="C32" s="544" t="s">
        <v>668</v>
      </c>
      <c r="D32" s="644">
        <v>0</v>
      </c>
      <c r="E32" s="550">
        <v>0</v>
      </c>
      <c r="F32" s="550">
        <v>0</v>
      </c>
      <c r="G32" s="550">
        <v>0</v>
      </c>
      <c r="H32" s="550">
        <v>0</v>
      </c>
      <c r="I32" s="550">
        <v>0</v>
      </c>
      <c r="J32" s="550">
        <v>0</v>
      </c>
      <c r="K32" s="647"/>
      <c r="L32" s="645"/>
    </row>
    <row r="33" spans="2:12" ht="15" x14ac:dyDescent="0.3">
      <c r="B33" s="543" t="s">
        <v>1012</v>
      </c>
      <c r="C33" s="544" t="s">
        <v>668</v>
      </c>
      <c r="D33" s="644">
        <v>0</v>
      </c>
      <c r="E33" s="550">
        <v>0</v>
      </c>
      <c r="F33" s="550">
        <v>0</v>
      </c>
      <c r="G33" s="550">
        <v>0</v>
      </c>
      <c r="H33" s="550">
        <v>0</v>
      </c>
      <c r="I33" s="550">
        <v>0</v>
      </c>
      <c r="J33" s="551">
        <v>0</v>
      </c>
      <c r="K33" s="647"/>
      <c r="L33" s="645"/>
    </row>
    <row r="34" spans="2:12" ht="15" x14ac:dyDescent="0.3">
      <c r="B34" s="532" t="s">
        <v>1013</v>
      </c>
      <c r="C34" s="544" t="s">
        <v>668</v>
      </c>
      <c r="D34" s="644">
        <v>0</v>
      </c>
      <c r="E34" s="550">
        <v>0</v>
      </c>
      <c r="F34" s="550">
        <v>0</v>
      </c>
      <c r="G34" s="550" t="s">
        <v>836</v>
      </c>
      <c r="H34" s="550" t="s">
        <v>836</v>
      </c>
      <c r="I34" s="550" t="s">
        <v>836</v>
      </c>
      <c r="J34" s="550" t="s">
        <v>836</v>
      </c>
      <c r="K34" s="647"/>
      <c r="L34" s="645"/>
    </row>
    <row r="35" spans="2:12" x14ac:dyDescent="0.3">
      <c r="E35" s="705"/>
      <c r="F35" s="494"/>
      <c r="G35" s="494"/>
      <c r="H35" s="494"/>
      <c r="I35" s="494"/>
      <c r="J35" s="494"/>
      <c r="K35" s="494"/>
    </row>
    <row r="36" spans="2:12" x14ac:dyDescent="0.3">
      <c r="E36" s="486"/>
    </row>
    <row r="37" spans="2:12" ht="15" x14ac:dyDescent="0.3">
      <c r="C37" s="555"/>
      <c r="E37" s="706"/>
      <c r="G37" s="555"/>
      <c r="I37" s="555"/>
      <c r="K37" s="555"/>
    </row>
    <row r="38" spans="2:12" x14ac:dyDescent="0.3">
      <c r="E38" s="670"/>
    </row>
    <row r="43" spans="2:12" ht="15" x14ac:dyDescent="0.3">
      <c r="B43" s="661"/>
    </row>
  </sheetData>
  <sheetProtection algorithmName="SHA-512" hashValue="P0LzAQxHgLms9MG1KV28bVSEU8jrCOqoOsvcBQEzwID0USv1f02Y2ssXDRrc1WZav+FY8l+wja2RhhU6lMTNTQ==" saltValue="9oE/c42+O8euwe/keqsloA==" spinCount="100000" sheet="1" objects="1" scenarios="1"/>
  <mergeCells count="12">
    <mergeCell ref="C15:F15"/>
    <mergeCell ref="C16:F16"/>
    <mergeCell ref="C17:F17"/>
    <mergeCell ref="B2:J2"/>
    <mergeCell ref="H5:I5"/>
    <mergeCell ref="D5:E5"/>
    <mergeCell ref="N5:O5"/>
    <mergeCell ref="J5:K5"/>
    <mergeCell ref="L5:M5"/>
    <mergeCell ref="B5:B6"/>
    <mergeCell ref="C5:C6"/>
    <mergeCell ref="F5:G5"/>
  </mergeCells>
  <pageMargins left="0.70866141732283472" right="0.70866141732283472" top="0.74803149606299213" bottom="0.74803149606299213" header="0.31496062992125984" footer="0.31496062992125984"/>
  <pageSetup paperSize="9" scale="37"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DC94-2ACC-4A81-A254-C7521705475F}">
  <sheetPr codeName="Sheet9">
    <tabColor theme="7"/>
    <pageSetUpPr fitToPage="1"/>
  </sheetPr>
  <dimension ref="B2:Z38"/>
  <sheetViews>
    <sheetView zoomScale="80" zoomScaleNormal="80" workbookViewId="0"/>
  </sheetViews>
  <sheetFormatPr defaultColWidth="8.81640625" defaultRowHeight="13.5" x14ac:dyDescent="0.25"/>
  <cols>
    <col min="1" max="1" width="4.81640625" style="2" customWidth="1"/>
    <col min="2" max="2" width="68.1796875" style="2" customWidth="1"/>
    <col min="3" max="3" width="25.1796875" style="2" customWidth="1"/>
    <col min="4" max="4" width="3.54296875" style="2" customWidth="1"/>
    <col min="5" max="5" width="67.1796875" style="2" customWidth="1"/>
    <col min="6" max="6" width="25.1796875" style="2" customWidth="1"/>
    <col min="7" max="7" width="4.36328125" style="2" customWidth="1"/>
    <col min="8" max="8" width="67.6328125" style="2" customWidth="1"/>
    <col min="9" max="9" width="23.1796875" style="2" bestFit="1" customWidth="1"/>
    <col min="10" max="10" width="4.08984375" style="2" customWidth="1"/>
    <col min="11" max="11" width="59.54296875" style="2" bestFit="1" customWidth="1"/>
    <col min="12" max="12" width="23.1796875" style="2" bestFit="1" customWidth="1"/>
    <col min="13" max="13" width="4.81640625" style="2" customWidth="1"/>
    <col min="14" max="14" width="59.54296875" style="2" bestFit="1" customWidth="1"/>
    <col min="15" max="15" width="23.1796875" style="2" bestFit="1" customWidth="1"/>
    <col min="16" max="16" width="5" style="2" customWidth="1"/>
    <col min="17" max="17" width="63.81640625" style="2" bestFit="1" customWidth="1"/>
    <col min="18" max="18" width="23.1796875" style="2" customWidth="1"/>
    <col min="19" max="16384" width="8.81640625" style="2"/>
  </cols>
  <sheetData>
    <row r="2" spans="2:26" ht="49" customHeight="1" x14ac:dyDescent="0.25">
      <c r="B2" s="1639" t="s">
        <v>1014</v>
      </c>
      <c r="C2" s="1639"/>
      <c r="D2" s="1587"/>
      <c r="E2" s="1587"/>
      <c r="F2" s="1587"/>
      <c r="G2" s="1587"/>
      <c r="H2" s="4"/>
    </row>
    <row r="3" spans="2:26" ht="28.25" customHeight="1" x14ac:dyDescent="0.25"/>
    <row r="4" spans="2:26" ht="160.75" customHeight="1" x14ac:dyDescent="0.25">
      <c r="B4" s="1645" t="s">
        <v>1435</v>
      </c>
      <c r="C4" s="1645"/>
      <c r="D4" s="1645"/>
      <c r="E4" s="1645"/>
      <c r="F4" s="1645"/>
      <c r="G4" s="1645"/>
      <c r="H4" s="1645"/>
      <c r="I4" s="1645"/>
      <c r="J4" s="1645"/>
    </row>
    <row r="6" spans="2:26" ht="23" x14ac:dyDescent="0.25">
      <c r="B6" s="1642" t="s">
        <v>1015</v>
      </c>
      <c r="C6" s="1642"/>
      <c r="E6" s="1642" t="s">
        <v>1016</v>
      </c>
      <c r="F6" s="1642"/>
      <c r="H6" s="1642" t="s">
        <v>1017</v>
      </c>
      <c r="I6" s="1642"/>
      <c r="J6" s="7"/>
      <c r="K6" s="1642" t="s">
        <v>1018</v>
      </c>
      <c r="L6" s="1642"/>
      <c r="N6" s="1642" t="s">
        <v>1019</v>
      </c>
      <c r="O6" s="1642"/>
      <c r="Q6" s="1642" t="s">
        <v>1020</v>
      </c>
      <c r="R6" s="1642"/>
    </row>
    <row r="7" spans="2:26" s="58" customFormat="1" ht="24" customHeight="1" x14ac:dyDescent="0.35">
      <c r="B7" s="755" t="s">
        <v>1023</v>
      </c>
      <c r="C7" s="752" t="s">
        <v>1022</v>
      </c>
      <c r="E7" s="751" t="s">
        <v>1023</v>
      </c>
      <c r="F7" s="752" t="s">
        <v>1022</v>
      </c>
      <c r="H7" s="751" t="s">
        <v>1021</v>
      </c>
      <c r="I7" s="752" t="s">
        <v>1022</v>
      </c>
      <c r="K7" s="751" t="s">
        <v>1023</v>
      </c>
      <c r="L7" s="752" t="s">
        <v>1022</v>
      </c>
      <c r="N7" s="751" t="s">
        <v>1023</v>
      </c>
      <c r="O7" s="752" t="s">
        <v>1022</v>
      </c>
      <c r="Q7" s="751" t="s">
        <v>1023</v>
      </c>
      <c r="R7" s="752" t="s">
        <v>1022</v>
      </c>
    </row>
    <row r="8" spans="2:26" ht="21" customHeight="1" x14ac:dyDescent="0.25">
      <c r="B8" s="716" t="s">
        <v>1024</v>
      </c>
      <c r="C8" s="756">
        <v>4</v>
      </c>
      <c r="E8" s="717" t="s">
        <v>1024</v>
      </c>
      <c r="F8" s="639">
        <v>2</v>
      </c>
      <c r="H8" s="717" t="s">
        <v>1024</v>
      </c>
      <c r="I8" s="639">
        <v>14</v>
      </c>
      <c r="K8" s="716" t="s">
        <v>1024</v>
      </c>
      <c r="L8" s="758">
        <v>12</v>
      </c>
      <c r="N8" s="716" t="s">
        <v>1024</v>
      </c>
      <c r="O8" s="758">
        <v>18</v>
      </c>
      <c r="Q8" s="716" t="s">
        <v>1024</v>
      </c>
      <c r="R8" s="758">
        <v>13</v>
      </c>
    </row>
    <row r="9" spans="2:26" ht="19.5" customHeight="1" x14ac:dyDescent="0.25">
      <c r="B9" s="541" t="s">
        <v>1025</v>
      </c>
      <c r="C9" s="756">
        <v>14</v>
      </c>
      <c r="E9" s="717" t="s">
        <v>1026</v>
      </c>
      <c r="F9" s="639">
        <v>10</v>
      </c>
      <c r="H9" s="717" t="s">
        <v>1026</v>
      </c>
      <c r="I9" s="639">
        <v>6</v>
      </c>
      <c r="K9" s="716" t="s">
        <v>1027</v>
      </c>
      <c r="L9" s="758">
        <v>0</v>
      </c>
      <c r="N9" s="716" t="s">
        <v>1027</v>
      </c>
      <c r="O9" s="758">
        <v>4</v>
      </c>
      <c r="Q9" s="716" t="s">
        <v>1027</v>
      </c>
      <c r="R9" s="758">
        <v>2</v>
      </c>
    </row>
    <row r="10" spans="2:26" ht="24" customHeight="1" x14ac:dyDescent="0.25">
      <c r="B10" s="541" t="s">
        <v>1028</v>
      </c>
      <c r="C10" s="756">
        <v>53</v>
      </c>
      <c r="E10" s="717" t="s">
        <v>1029</v>
      </c>
      <c r="F10" s="639">
        <v>44</v>
      </c>
      <c r="H10" s="717" t="s">
        <v>1029</v>
      </c>
      <c r="I10" s="639">
        <v>47</v>
      </c>
      <c r="K10" s="716" t="s">
        <v>1030</v>
      </c>
      <c r="L10" s="758">
        <v>0</v>
      </c>
      <c r="N10" s="716" t="s">
        <v>1030</v>
      </c>
      <c r="O10" s="758">
        <v>1</v>
      </c>
      <c r="Q10" s="716" t="s">
        <v>1031</v>
      </c>
      <c r="R10" s="758">
        <v>1</v>
      </c>
      <c r="T10" s="664"/>
      <c r="U10" s="664"/>
      <c r="V10" s="664"/>
      <c r="W10" s="664"/>
      <c r="X10" s="664"/>
      <c r="Y10" s="664"/>
    </row>
    <row r="11" spans="2:26" ht="18" customHeight="1" x14ac:dyDescent="0.25">
      <c r="B11" s="541" t="s">
        <v>1032</v>
      </c>
      <c r="C11" s="756">
        <v>36</v>
      </c>
      <c r="E11" s="717" t="s">
        <v>1033</v>
      </c>
      <c r="F11" s="639">
        <v>51</v>
      </c>
      <c r="H11" s="717" t="s">
        <v>1033</v>
      </c>
      <c r="I11" s="639">
        <v>56</v>
      </c>
      <c r="K11" s="716" t="s">
        <v>1034</v>
      </c>
      <c r="L11" s="758">
        <v>0</v>
      </c>
      <c r="N11" s="716" t="s">
        <v>1034</v>
      </c>
      <c r="O11" s="758">
        <v>1</v>
      </c>
      <c r="Q11" s="716" t="s">
        <v>1034</v>
      </c>
      <c r="R11" s="758">
        <v>1</v>
      </c>
      <c r="T11" s="664"/>
      <c r="U11" s="664"/>
      <c r="V11" s="664"/>
      <c r="W11" s="664"/>
      <c r="X11" s="664"/>
      <c r="Y11" s="664"/>
    </row>
    <row r="12" spans="2:26" ht="24.75" customHeight="1" x14ac:dyDescent="0.25">
      <c r="B12" s="541" t="s">
        <v>1035</v>
      </c>
      <c r="C12" s="756">
        <v>1</v>
      </c>
      <c r="E12" s="717" t="s">
        <v>1036</v>
      </c>
      <c r="F12" s="639">
        <v>1</v>
      </c>
      <c r="H12" s="717" t="s">
        <v>1036</v>
      </c>
      <c r="I12" s="639">
        <v>5</v>
      </c>
      <c r="K12" s="716" t="s">
        <v>1026</v>
      </c>
      <c r="L12" s="758">
        <v>10</v>
      </c>
      <c r="N12" s="716" t="s">
        <v>1026</v>
      </c>
      <c r="O12" s="758">
        <v>15</v>
      </c>
      <c r="Q12" s="716" t="s">
        <v>1026</v>
      </c>
      <c r="R12" s="758">
        <v>11</v>
      </c>
      <c r="T12" s="52"/>
      <c r="U12" s="52"/>
      <c r="V12" s="52"/>
      <c r="W12" s="52"/>
      <c r="X12" s="52"/>
      <c r="Y12" s="52"/>
      <c r="Z12" s="52"/>
    </row>
    <row r="13" spans="2:26" ht="32.25" customHeight="1" x14ac:dyDescent="0.25">
      <c r="B13" s="542" t="s">
        <v>1037</v>
      </c>
      <c r="C13" s="756">
        <v>12</v>
      </c>
      <c r="E13" s="717" t="s">
        <v>1038</v>
      </c>
      <c r="F13" s="639">
        <v>14</v>
      </c>
      <c r="H13" s="717" t="s">
        <v>1038</v>
      </c>
      <c r="I13" s="639">
        <v>11</v>
      </c>
      <c r="K13" s="716" t="s">
        <v>1029</v>
      </c>
      <c r="L13" s="758">
        <v>51</v>
      </c>
      <c r="N13" s="716" t="s">
        <v>1029</v>
      </c>
      <c r="O13" s="758">
        <v>44</v>
      </c>
      <c r="Q13" s="716" t="s">
        <v>1039</v>
      </c>
      <c r="R13" s="758">
        <v>58</v>
      </c>
      <c r="Z13" s="52"/>
    </row>
    <row r="14" spans="2:26" ht="20.25" customHeight="1" x14ac:dyDescent="0.25">
      <c r="B14" s="541" t="s">
        <v>1040</v>
      </c>
      <c r="C14" s="756">
        <v>1</v>
      </c>
      <c r="E14" s="717" t="s">
        <v>1041</v>
      </c>
      <c r="F14" s="639">
        <v>2</v>
      </c>
      <c r="H14" s="717" t="s">
        <v>1041</v>
      </c>
      <c r="I14" s="639">
        <v>2</v>
      </c>
      <c r="K14" s="716" t="s">
        <v>1033</v>
      </c>
      <c r="L14" s="758">
        <v>56</v>
      </c>
      <c r="N14" s="716" t="s">
        <v>1033</v>
      </c>
      <c r="O14" s="758">
        <v>18</v>
      </c>
      <c r="Q14" s="716" t="s">
        <v>1033</v>
      </c>
      <c r="R14" s="758">
        <v>7</v>
      </c>
      <c r="T14" s="664"/>
      <c r="U14" s="664"/>
      <c r="V14" s="664"/>
      <c r="W14" s="664"/>
      <c r="X14" s="664"/>
      <c r="Y14" s="664"/>
      <c r="Z14" s="52"/>
    </row>
    <row r="15" spans="2:26" ht="30" x14ac:dyDescent="0.25">
      <c r="B15" s="541" t="s">
        <v>1042</v>
      </c>
      <c r="C15" s="756">
        <v>2</v>
      </c>
      <c r="E15" s="717" t="s">
        <v>1043</v>
      </c>
      <c r="F15" s="639">
        <v>0</v>
      </c>
      <c r="H15" s="717" t="s">
        <v>1043</v>
      </c>
      <c r="I15" s="639">
        <v>1</v>
      </c>
      <c r="K15" s="716" t="s">
        <v>1036</v>
      </c>
      <c r="L15" s="758">
        <v>7</v>
      </c>
      <c r="N15" s="716" t="s">
        <v>1036</v>
      </c>
      <c r="O15" s="758">
        <v>3</v>
      </c>
      <c r="Q15" s="716" t="s">
        <v>1044</v>
      </c>
      <c r="R15" s="758">
        <v>6</v>
      </c>
      <c r="T15" s="664" t="s">
        <v>436</v>
      </c>
      <c r="U15" s="664" t="s">
        <v>435</v>
      </c>
      <c r="V15" s="664" t="s">
        <v>434</v>
      </c>
      <c r="W15" s="664" t="s">
        <v>433</v>
      </c>
      <c r="X15" s="664" t="s">
        <v>432</v>
      </c>
      <c r="Y15" s="664" t="s">
        <v>431</v>
      </c>
    </row>
    <row r="16" spans="2:26" ht="34" customHeight="1" x14ac:dyDescent="0.25">
      <c r="B16" s="541" t="s">
        <v>1045</v>
      </c>
      <c r="C16" s="756">
        <v>4</v>
      </c>
      <c r="E16" s="717" t="s">
        <v>1045</v>
      </c>
      <c r="F16" s="639">
        <v>3</v>
      </c>
      <c r="H16" s="717" t="s">
        <v>1045</v>
      </c>
      <c r="I16" s="639">
        <v>4</v>
      </c>
      <c r="K16" s="716" t="s">
        <v>1038</v>
      </c>
      <c r="L16" s="758">
        <v>17</v>
      </c>
      <c r="N16" s="716" t="s">
        <v>1038</v>
      </c>
      <c r="O16" s="758">
        <v>12</v>
      </c>
      <c r="Q16" s="716" t="s">
        <v>1038</v>
      </c>
      <c r="R16" s="758">
        <v>7</v>
      </c>
      <c r="T16" s="664">
        <f>R22</f>
        <v>123</v>
      </c>
      <c r="U16" s="664">
        <f>O22</f>
        <v>129</v>
      </c>
      <c r="V16" s="664">
        <f>L24</f>
        <v>158</v>
      </c>
      <c r="W16" s="664">
        <f>I19</f>
        <v>153</v>
      </c>
      <c r="X16" s="664">
        <f>F21</f>
        <v>138</v>
      </c>
      <c r="Y16" s="664">
        <f>C21</f>
        <v>147</v>
      </c>
    </row>
    <row r="17" spans="2:25" ht="22.5" customHeight="1" x14ac:dyDescent="0.25">
      <c r="B17" s="541" t="s">
        <v>1046</v>
      </c>
      <c r="C17" s="756">
        <v>6</v>
      </c>
      <c r="E17" s="717" t="s">
        <v>1047</v>
      </c>
      <c r="F17" s="639">
        <v>3</v>
      </c>
      <c r="H17" s="717" t="s">
        <v>1047</v>
      </c>
      <c r="I17" s="639">
        <v>6</v>
      </c>
      <c r="K17" s="716" t="s">
        <v>1048</v>
      </c>
      <c r="L17" s="758">
        <v>0</v>
      </c>
      <c r="N17" s="716" t="s">
        <v>1048</v>
      </c>
      <c r="O17" s="758">
        <v>1</v>
      </c>
      <c r="Q17" s="716" t="s">
        <v>1049</v>
      </c>
      <c r="R17" s="758">
        <v>5</v>
      </c>
      <c r="T17" s="664"/>
      <c r="U17" s="664"/>
      <c r="V17" s="664"/>
      <c r="W17" s="664"/>
      <c r="X17" s="664"/>
      <c r="Y17" s="664"/>
    </row>
    <row r="18" spans="2:25" ht="20.25" customHeight="1" x14ac:dyDescent="0.25">
      <c r="B18" s="541" t="s">
        <v>1050</v>
      </c>
      <c r="C18" s="756">
        <v>5</v>
      </c>
      <c r="E18" s="716" t="s">
        <v>1051</v>
      </c>
      <c r="F18" s="639">
        <v>1</v>
      </c>
      <c r="H18" s="716" t="s">
        <v>1051</v>
      </c>
      <c r="I18" s="639">
        <v>1</v>
      </c>
      <c r="K18" s="716" t="s">
        <v>1052</v>
      </c>
      <c r="L18" s="758">
        <v>2</v>
      </c>
      <c r="N18" s="716" t="s">
        <v>1052</v>
      </c>
      <c r="O18" s="758">
        <v>5</v>
      </c>
      <c r="Q18" s="716" t="s">
        <v>1052</v>
      </c>
      <c r="R18" s="758">
        <v>8</v>
      </c>
    </row>
    <row r="19" spans="2:25" ht="32.25" customHeight="1" x14ac:dyDescent="0.25">
      <c r="B19" s="542" t="s">
        <v>1053</v>
      </c>
      <c r="C19" s="756">
        <v>1</v>
      </c>
      <c r="E19" s="716" t="s">
        <v>1054</v>
      </c>
      <c r="F19" s="639">
        <v>5</v>
      </c>
      <c r="H19" s="718" t="s">
        <v>708</v>
      </c>
      <c r="I19" s="757">
        <f>SUM(I8:I18)</f>
        <v>153</v>
      </c>
      <c r="K19" s="716" t="s">
        <v>1057</v>
      </c>
      <c r="L19" s="758">
        <v>1</v>
      </c>
      <c r="N19" s="716" t="s">
        <v>1057</v>
      </c>
      <c r="O19" s="758">
        <v>1</v>
      </c>
      <c r="Q19" s="716" t="s">
        <v>1058</v>
      </c>
      <c r="R19" s="758">
        <v>1</v>
      </c>
    </row>
    <row r="20" spans="2:25" ht="33.5" customHeight="1" x14ac:dyDescent="0.25">
      <c r="B20" s="541" t="s">
        <v>1055</v>
      </c>
      <c r="C20" s="756">
        <v>8</v>
      </c>
      <c r="E20" s="716" t="s">
        <v>1056</v>
      </c>
      <c r="F20" s="639">
        <v>2</v>
      </c>
      <c r="H20" s="1507" t="s">
        <v>1450</v>
      </c>
      <c r="I20" s="1507"/>
      <c r="K20" s="716" t="s">
        <v>1059</v>
      </c>
      <c r="L20" s="758">
        <v>0</v>
      </c>
      <c r="N20" s="716" t="s">
        <v>1059</v>
      </c>
      <c r="O20" s="758">
        <v>1</v>
      </c>
      <c r="Q20" s="716" t="s">
        <v>1051</v>
      </c>
      <c r="R20" s="758">
        <v>1</v>
      </c>
    </row>
    <row r="21" spans="2:25" ht="22.5" customHeight="1" x14ac:dyDescent="0.25">
      <c r="B21" s="718" t="s">
        <v>708</v>
      </c>
      <c r="C21" s="638">
        <f>SUM(C8:C20)</f>
        <v>147</v>
      </c>
      <c r="E21" s="718" t="s">
        <v>708</v>
      </c>
      <c r="F21" s="757">
        <f>SUM(F8:F20)</f>
        <v>138</v>
      </c>
      <c r="K21" s="716" t="s">
        <v>1060</v>
      </c>
      <c r="L21" s="758">
        <v>0</v>
      </c>
      <c r="N21" s="716" t="s">
        <v>1060</v>
      </c>
      <c r="O21" s="758">
        <v>5</v>
      </c>
      <c r="Q21" s="716" t="s">
        <v>1060</v>
      </c>
      <c r="R21" s="758">
        <v>2</v>
      </c>
    </row>
    <row r="22" spans="2:25" ht="38.25" customHeight="1" x14ac:dyDescent="0.25">
      <c r="B22" s="1507"/>
      <c r="C22" s="1507"/>
      <c r="E22" s="1507"/>
      <c r="F22" s="1507"/>
      <c r="K22" s="716" t="s">
        <v>1031</v>
      </c>
      <c r="L22" s="758">
        <v>1</v>
      </c>
      <c r="N22" s="718" t="s">
        <v>708</v>
      </c>
      <c r="O22" s="759">
        <f>SUM(O8:O21)</f>
        <v>129</v>
      </c>
      <c r="Q22" s="718" t="s">
        <v>708</v>
      </c>
      <c r="R22" s="759">
        <f>SUM(R8:R21)</f>
        <v>123</v>
      </c>
    </row>
    <row r="23" spans="2:25" ht="15" x14ac:dyDescent="0.25">
      <c r="K23" s="716" t="s">
        <v>1058</v>
      </c>
      <c r="L23" s="758">
        <v>1</v>
      </c>
    </row>
    <row r="24" spans="2:25" ht="15" x14ac:dyDescent="0.25">
      <c r="K24" s="718" t="s">
        <v>708</v>
      </c>
      <c r="L24" s="759">
        <f>SUM(L8:L23)</f>
        <v>158</v>
      </c>
    </row>
    <row r="27" spans="2:25" s="58" customFormat="1" ht="21" customHeight="1" x14ac:dyDescent="0.35">
      <c r="B27" s="1644" t="s">
        <v>1061</v>
      </c>
      <c r="C27" s="1644"/>
      <c r="E27" s="1644" t="s">
        <v>1062</v>
      </c>
      <c r="F27" s="1644"/>
      <c r="H27" s="1643" t="s">
        <v>1063</v>
      </c>
      <c r="I27" s="1643"/>
      <c r="J27" s="66"/>
      <c r="L27" s="66"/>
      <c r="M27" s="66"/>
    </row>
    <row r="28" spans="2:25" s="58" customFormat="1" ht="45" customHeight="1" x14ac:dyDescent="0.35">
      <c r="B28" s="747" t="s">
        <v>1064</v>
      </c>
      <c r="C28" s="748" t="s">
        <v>1022</v>
      </c>
      <c r="D28" s="505"/>
      <c r="E28" s="747" t="s">
        <v>1064</v>
      </c>
      <c r="F28" s="748" t="s">
        <v>1022</v>
      </c>
      <c r="H28" s="751" t="s">
        <v>1064</v>
      </c>
      <c r="I28" s="752" t="s">
        <v>1022</v>
      </c>
    </row>
    <row r="29" spans="2:25" ht="15" x14ac:dyDescent="0.3">
      <c r="B29" s="749" t="s">
        <v>1065</v>
      </c>
      <c r="C29" s="750">
        <v>5</v>
      </c>
      <c r="E29" s="749" t="s">
        <v>1065</v>
      </c>
      <c r="F29" s="750">
        <v>14</v>
      </c>
      <c r="H29" s="717" t="s">
        <v>1065</v>
      </c>
      <c r="I29" s="753">
        <v>4</v>
      </c>
    </row>
    <row r="30" spans="2:25" ht="15" x14ac:dyDescent="0.3">
      <c r="B30" s="749" t="s">
        <v>1066</v>
      </c>
      <c r="C30" s="750">
        <v>15</v>
      </c>
      <c r="E30" s="749" t="s">
        <v>1066</v>
      </c>
      <c r="F30" s="750">
        <v>7</v>
      </c>
      <c r="H30" s="717" t="s">
        <v>1066</v>
      </c>
      <c r="I30" s="753">
        <v>3</v>
      </c>
    </row>
    <row r="31" spans="2:25" ht="15" x14ac:dyDescent="0.3">
      <c r="B31" s="749" t="s">
        <v>1067</v>
      </c>
      <c r="C31" s="750">
        <v>26</v>
      </c>
      <c r="E31" s="749" t="s">
        <v>1067</v>
      </c>
      <c r="F31" s="750">
        <v>39</v>
      </c>
      <c r="H31" s="717" t="s">
        <v>1068</v>
      </c>
      <c r="I31" s="753">
        <v>21</v>
      </c>
    </row>
    <row r="32" spans="2:25" ht="15" x14ac:dyDescent="0.3">
      <c r="B32" s="749" t="s">
        <v>1069</v>
      </c>
      <c r="C32" s="750">
        <v>65</v>
      </c>
      <c r="E32" s="749" t="s">
        <v>1069</v>
      </c>
      <c r="F32" s="750">
        <v>46</v>
      </c>
      <c r="H32" s="717" t="s">
        <v>1070</v>
      </c>
      <c r="I32" s="753">
        <v>34</v>
      </c>
    </row>
    <row r="33" spans="2:9" ht="15" x14ac:dyDescent="0.3">
      <c r="B33" s="749" t="s">
        <v>1071</v>
      </c>
      <c r="C33" s="750">
        <v>17</v>
      </c>
      <c r="E33" s="749" t="s">
        <v>1071</v>
      </c>
      <c r="F33" s="750">
        <v>11</v>
      </c>
      <c r="G33" s="6"/>
      <c r="H33" s="717" t="s">
        <v>1071</v>
      </c>
      <c r="I33" s="753">
        <v>28</v>
      </c>
    </row>
    <row r="34" spans="2:9" ht="15" x14ac:dyDescent="0.3">
      <c r="B34" s="749" t="s">
        <v>1072</v>
      </c>
      <c r="C34" s="750">
        <v>14</v>
      </c>
      <c r="E34" s="749" t="s">
        <v>1072</v>
      </c>
      <c r="F34" s="750">
        <v>4</v>
      </c>
      <c r="H34" s="717" t="s">
        <v>1073</v>
      </c>
      <c r="I34" s="753">
        <v>16</v>
      </c>
    </row>
    <row r="35" spans="2:9" ht="15" x14ac:dyDescent="0.3">
      <c r="B35" s="749" t="s">
        <v>1074</v>
      </c>
      <c r="C35" s="750">
        <v>13</v>
      </c>
      <c r="E35" s="749" t="s">
        <v>1074</v>
      </c>
      <c r="F35" s="750">
        <v>8</v>
      </c>
      <c r="H35" s="717" t="s">
        <v>1075</v>
      </c>
      <c r="I35" s="753">
        <v>21</v>
      </c>
    </row>
    <row r="36" spans="2:9" ht="15" x14ac:dyDescent="0.3">
      <c r="B36" s="749" t="s">
        <v>1076</v>
      </c>
      <c r="C36" s="750">
        <v>14</v>
      </c>
      <c r="E36" s="749" t="s">
        <v>1076</v>
      </c>
      <c r="F36" s="750">
        <v>8</v>
      </c>
      <c r="H36" s="717" t="s">
        <v>1077</v>
      </c>
      <c r="I36" s="753">
        <v>6</v>
      </c>
    </row>
    <row r="37" spans="2:9" ht="15" x14ac:dyDescent="0.3">
      <c r="B37" s="749" t="s">
        <v>1045</v>
      </c>
      <c r="C37" s="750">
        <v>16</v>
      </c>
      <c r="E37" s="749" t="s">
        <v>1045</v>
      </c>
      <c r="F37" s="750">
        <v>5</v>
      </c>
    </row>
    <row r="38" spans="2:9" ht="15" x14ac:dyDescent="0.3">
      <c r="B38" s="749" t="s">
        <v>1078</v>
      </c>
      <c r="C38" s="750">
        <v>62</v>
      </c>
      <c r="E38" s="749" t="s">
        <v>1078</v>
      </c>
      <c r="F38" s="750">
        <v>65</v>
      </c>
    </row>
  </sheetData>
  <sheetProtection algorithmName="SHA-512" hashValue="TrK3BG2JqAxIqU7VZ9tc3lvJfNcxFvKUiEsDW2xoh3fDLI7W6U5IipMmCTxIp8E/VB3jYV4i9Oa1LckZ23PxVw==" saltValue="a/92ORELgzdq3zD5ihRVQw==" spinCount="100000" sheet="1" objects="1" scenarios="1"/>
  <mergeCells count="14">
    <mergeCell ref="B6:C6"/>
    <mergeCell ref="B22:C22"/>
    <mergeCell ref="B27:C27"/>
    <mergeCell ref="B4:J4"/>
    <mergeCell ref="B2:G2"/>
    <mergeCell ref="E6:F6"/>
    <mergeCell ref="E22:F22"/>
    <mergeCell ref="E27:F27"/>
    <mergeCell ref="Q6:R6"/>
    <mergeCell ref="H6:I6"/>
    <mergeCell ref="H27:I27"/>
    <mergeCell ref="K6:L6"/>
    <mergeCell ref="N6:O6"/>
    <mergeCell ref="H20:I20"/>
  </mergeCells>
  <phoneticPr fontId="3" type="noConversion"/>
  <pageMargins left="0.70866141732283472" right="0.70866141732283472" top="0.74803149606299213" bottom="0.74803149606299213" header="0.31496062992125984" footer="0.31496062992125984"/>
  <pageSetup paperSize="9" scale="3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26BF-61C3-4740-836A-46B4BBA11D05}">
  <sheetPr codeName="Sheet7">
    <tabColor theme="7"/>
    <pageSetUpPr fitToPage="1"/>
  </sheetPr>
  <dimension ref="B2:K25"/>
  <sheetViews>
    <sheetView zoomScale="80" zoomScaleNormal="80" workbookViewId="0"/>
  </sheetViews>
  <sheetFormatPr defaultColWidth="8.81640625" defaultRowHeight="13.5" x14ac:dyDescent="0.25"/>
  <cols>
    <col min="1" max="1" width="2.54296875" style="2" customWidth="1"/>
    <col min="2" max="2" width="40.81640625" style="2" customWidth="1"/>
    <col min="3" max="3" width="38.54296875" style="2" customWidth="1"/>
    <col min="4" max="4" width="26.81640625" style="2" customWidth="1"/>
    <col min="5" max="5" width="13" style="2" customWidth="1"/>
    <col min="6" max="7" width="13.1796875" style="2" customWidth="1"/>
    <col min="8" max="8" width="12.453125" style="2" customWidth="1"/>
    <col min="9" max="9" width="11.81640625" style="2" customWidth="1"/>
    <col min="10" max="10" width="12.1796875" style="2" customWidth="1"/>
    <col min="11" max="11" width="15.453125" style="2" customWidth="1"/>
    <col min="12" max="16384" width="8.81640625" style="2"/>
  </cols>
  <sheetData>
    <row r="2" spans="2:11" ht="50.15" customHeight="1" x14ac:dyDescent="0.45">
      <c r="B2" s="1646" t="s">
        <v>1079</v>
      </c>
      <c r="C2" s="1647"/>
      <c r="D2" s="1647"/>
      <c r="E2" s="1647"/>
      <c r="F2" s="1647"/>
      <c r="G2" s="1647"/>
      <c r="H2" s="1647"/>
    </row>
    <row r="3" spans="2:11" ht="26.15" customHeight="1" x14ac:dyDescent="0.25">
      <c r="B3" s="65"/>
    </row>
    <row r="4" spans="2:11" ht="15.65" customHeight="1" x14ac:dyDescent="0.25">
      <c r="B4" s="1648" t="s">
        <v>1451</v>
      </c>
      <c r="C4" s="1648"/>
      <c r="D4" s="1648"/>
      <c r="E4" s="1648"/>
      <c r="F4" s="1648"/>
      <c r="G4" s="1648"/>
      <c r="H4" s="1648"/>
      <c r="I4" s="1648"/>
      <c r="J4" s="538"/>
    </row>
    <row r="5" spans="2:11" x14ac:dyDescent="0.25">
      <c r="B5" s="537"/>
      <c r="C5" s="537"/>
      <c r="D5" s="537"/>
      <c r="E5" s="537"/>
      <c r="F5" s="537"/>
      <c r="G5" s="537"/>
      <c r="H5" s="537"/>
      <c r="I5" s="537"/>
      <c r="J5" s="537"/>
    </row>
    <row r="6" spans="2:11" s="58" customFormat="1" ht="40.5" x14ac:dyDescent="0.35">
      <c r="B6" s="602" t="s">
        <v>1080</v>
      </c>
      <c r="C6" s="603" t="s">
        <v>1081</v>
      </c>
      <c r="D6" s="602" t="s">
        <v>1082</v>
      </c>
      <c r="E6" s="602" t="s">
        <v>431</v>
      </c>
      <c r="F6" s="596" t="s">
        <v>432</v>
      </c>
      <c r="G6" s="596" t="s">
        <v>433</v>
      </c>
      <c r="H6" s="596" t="s">
        <v>434</v>
      </c>
      <c r="I6" s="596" t="s">
        <v>435</v>
      </c>
      <c r="J6" s="596" t="s">
        <v>436</v>
      </c>
      <c r="K6" s="598" t="s">
        <v>557</v>
      </c>
    </row>
    <row r="7" spans="2:11" ht="15" x14ac:dyDescent="0.3">
      <c r="B7" s="579" t="s">
        <v>1083</v>
      </c>
      <c r="C7" s="575" t="s">
        <v>1084</v>
      </c>
      <c r="D7" s="572" t="s">
        <v>1085</v>
      </c>
      <c r="E7" s="653">
        <v>530</v>
      </c>
      <c r="F7" s="561">
        <v>440</v>
      </c>
      <c r="G7" s="561">
        <v>594</v>
      </c>
      <c r="H7" s="648">
        <v>168</v>
      </c>
      <c r="I7" s="649">
        <v>1374</v>
      </c>
      <c r="J7" s="578">
        <v>940</v>
      </c>
      <c r="K7" s="656">
        <f>(E7-F7)/F7</f>
        <v>0.20454545454545456</v>
      </c>
    </row>
    <row r="8" spans="2:11" ht="15" x14ac:dyDescent="0.3">
      <c r="B8" s="579" t="s">
        <v>1086</v>
      </c>
      <c r="C8" s="575" t="s">
        <v>1087</v>
      </c>
      <c r="D8" s="572" t="s">
        <v>1085</v>
      </c>
      <c r="E8" s="654">
        <v>671</v>
      </c>
      <c r="F8" s="650">
        <v>573</v>
      </c>
      <c r="G8" s="650">
        <v>479</v>
      </c>
      <c r="H8" s="552">
        <v>283</v>
      </c>
      <c r="I8" s="552">
        <v>98</v>
      </c>
      <c r="J8" s="552">
        <v>573</v>
      </c>
      <c r="K8" s="656">
        <f>(E8-F8)/F8</f>
        <v>0.17102966841186737</v>
      </c>
    </row>
    <row r="9" spans="2:11" ht="15" x14ac:dyDescent="0.3">
      <c r="B9" s="553" t="s">
        <v>708</v>
      </c>
      <c r="C9" s="576"/>
      <c r="D9" s="573" t="s">
        <v>1085</v>
      </c>
      <c r="E9" s="655">
        <v>1201</v>
      </c>
      <c r="F9" s="581">
        <v>1013</v>
      </c>
      <c r="G9" s="581">
        <f>SUM(G7:G8)</f>
        <v>1073</v>
      </c>
      <c r="H9" s="581">
        <f>SUM(H7:H8)</f>
        <v>451</v>
      </c>
      <c r="I9" s="581">
        <f>SUM(I7:I8)</f>
        <v>1472</v>
      </c>
      <c r="J9" s="581">
        <f>SUM(J7:J8)</f>
        <v>1513</v>
      </c>
      <c r="K9" s="657">
        <f>(E9-F9)/F9</f>
        <v>0.18558736426456071</v>
      </c>
    </row>
    <row r="10" spans="2:11" ht="15" x14ac:dyDescent="0.3">
      <c r="B10" s="554"/>
      <c r="C10" s="577"/>
      <c r="D10" s="574"/>
      <c r="E10" s="580"/>
      <c r="F10" s="651"/>
      <c r="G10" s="651"/>
      <c r="H10" s="651"/>
      <c r="I10" s="651"/>
      <c r="J10" s="582"/>
      <c r="K10" s="555"/>
    </row>
    <row r="11" spans="2:11" ht="15" x14ac:dyDescent="0.3">
      <c r="B11" s="722" t="s">
        <v>1088</v>
      </c>
      <c r="C11" s="1649" t="s">
        <v>1089</v>
      </c>
      <c r="D11" s="1652" t="s">
        <v>1090</v>
      </c>
      <c r="E11" s="655">
        <v>2717</v>
      </c>
      <c r="F11" s="652">
        <v>2245.5</v>
      </c>
      <c r="G11" s="652">
        <v>2063</v>
      </c>
      <c r="H11" s="652">
        <v>1322</v>
      </c>
      <c r="I11" s="552">
        <v>431</v>
      </c>
      <c r="J11" s="583">
        <v>2682</v>
      </c>
      <c r="K11" s="658">
        <f>(E11-F11)/F11</f>
        <v>0.20997550656869293</v>
      </c>
    </row>
    <row r="12" spans="2:11" ht="15" x14ac:dyDescent="0.3">
      <c r="B12" s="527" t="s">
        <v>815</v>
      </c>
      <c r="C12" s="1650"/>
      <c r="D12" s="1653"/>
      <c r="E12" s="678">
        <v>581.5</v>
      </c>
      <c r="F12" s="652">
        <v>503</v>
      </c>
      <c r="I12" s="97"/>
    </row>
    <row r="13" spans="2:11" ht="15" x14ac:dyDescent="0.3">
      <c r="B13" s="527" t="s">
        <v>816</v>
      </c>
      <c r="C13" s="1650"/>
      <c r="D13" s="1653"/>
      <c r="E13" s="678">
        <v>1181</v>
      </c>
      <c r="F13" s="652">
        <v>197</v>
      </c>
      <c r="I13" s="325"/>
    </row>
    <row r="14" spans="2:11" ht="15" x14ac:dyDescent="0.3">
      <c r="B14" s="527" t="s">
        <v>817</v>
      </c>
      <c r="C14" s="1650"/>
      <c r="D14" s="1653"/>
      <c r="E14" s="678">
        <v>412</v>
      </c>
      <c r="F14" s="652">
        <v>419</v>
      </c>
    </row>
    <row r="15" spans="2:11" ht="15" x14ac:dyDescent="0.3">
      <c r="B15" s="527" t="s">
        <v>818</v>
      </c>
      <c r="C15" s="1650"/>
      <c r="D15" s="1653"/>
      <c r="E15" s="678">
        <v>509</v>
      </c>
      <c r="F15" s="652">
        <v>639.5</v>
      </c>
    </row>
    <row r="16" spans="2:11" ht="15" x14ac:dyDescent="0.3">
      <c r="B16" s="527" t="s">
        <v>819</v>
      </c>
      <c r="C16" s="1651"/>
      <c r="D16" s="1654"/>
      <c r="E16" s="678">
        <v>33</v>
      </c>
      <c r="F16" s="652">
        <v>487</v>
      </c>
    </row>
    <row r="21" spans="3:8" x14ac:dyDescent="0.25">
      <c r="F21" s="325"/>
      <c r="G21" s="325"/>
    </row>
    <row r="22" spans="3:8" x14ac:dyDescent="0.25">
      <c r="F22" s="325"/>
      <c r="G22" s="325"/>
      <c r="H22" s="326"/>
    </row>
    <row r="25" spans="3:8" x14ac:dyDescent="0.25">
      <c r="C25" s="72"/>
      <c r="D25" s="72"/>
      <c r="E25" s="72"/>
    </row>
  </sheetData>
  <sheetProtection algorithmName="SHA-512" hashValue="DAkY9GMra8DGy1F6Q+I/pdtIFrLyI0u7tRJ8xSC2OOieeEweumKWqKdVPeMLwnHvw8iwFszy9bFyVbeaiesfDg==" saltValue="kmdo09+JDAkMkTJne6PWww==" spinCount="100000" sheet="1" objects="1" scenarios="1"/>
  <mergeCells count="4">
    <mergeCell ref="B2:H2"/>
    <mergeCell ref="B4:I4"/>
    <mergeCell ref="C11:C16"/>
    <mergeCell ref="D11:D16"/>
  </mergeCells>
  <phoneticPr fontId="3" type="noConversion"/>
  <pageMargins left="0.70866141732283472" right="0.70866141732283472" top="0.74803149606299213" bottom="0.74803149606299213" header="0.31496062992125984" footer="0.31496062992125984"/>
  <pageSetup paperSize="9" scale="77" orientation="landscape" r:id="rId1"/>
  <rowBreaks count="1" manualBreakCount="1">
    <brk id="22" max="16383" man="1"/>
  </rowBreaks>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4A38-7AA2-40C9-98C2-472AF4F23C3F}">
  <sheetPr codeName="Sheet20">
    <tabColor theme="7"/>
    <pageSetUpPr fitToPage="1"/>
  </sheetPr>
  <dimension ref="B2:T34"/>
  <sheetViews>
    <sheetView zoomScale="80" zoomScaleNormal="80" workbookViewId="0"/>
  </sheetViews>
  <sheetFormatPr defaultColWidth="8.81640625" defaultRowHeight="13.5" x14ac:dyDescent="0.25"/>
  <cols>
    <col min="1" max="1" width="2.453125" style="2" customWidth="1"/>
    <col min="2" max="2" width="98.81640625" style="2" customWidth="1"/>
    <col min="3" max="3" width="20.453125" style="2" customWidth="1"/>
    <col min="4" max="4" width="16.81640625" style="2" customWidth="1"/>
    <col min="5" max="5" width="17" style="2" customWidth="1"/>
    <col min="6" max="6" width="17.54296875" style="2" customWidth="1"/>
    <col min="7" max="19" width="8.81640625" style="2"/>
    <col min="20" max="20" width="10.54296875" style="2" customWidth="1"/>
    <col min="21" max="16384" width="8.81640625" style="2"/>
  </cols>
  <sheetData>
    <row r="2" spans="2:20" ht="72" customHeight="1" x14ac:dyDescent="0.25">
      <c r="B2" s="1639" t="s">
        <v>27</v>
      </c>
      <c r="C2" s="1639"/>
      <c r="D2" s="1587"/>
      <c r="E2" s="1587"/>
      <c r="F2" s="1587"/>
      <c r="G2" s="1587"/>
      <c r="H2" s="1587"/>
      <c r="I2" s="1587"/>
      <c r="J2" s="1587"/>
      <c r="K2" s="1587"/>
    </row>
    <row r="3" spans="2:20" ht="13" customHeight="1" x14ac:dyDescent="0.25"/>
    <row r="4" spans="2:20" ht="85" customHeight="1" x14ac:dyDescent="0.25">
      <c r="B4" s="1655" t="s">
        <v>1452</v>
      </c>
      <c r="C4" s="1655"/>
      <c r="D4" s="1655"/>
      <c r="E4" s="1655"/>
      <c r="F4" s="1655"/>
      <c r="G4" s="1655"/>
      <c r="H4" s="1655"/>
      <c r="I4" s="1655"/>
      <c r="J4" s="1655"/>
      <c r="K4" s="1655"/>
      <c r="L4" s="1655"/>
      <c r="M4" s="1655"/>
      <c r="N4" s="1655"/>
      <c r="O4" s="1655"/>
      <c r="T4" s="1414"/>
    </row>
    <row r="5" spans="2:20" ht="14.5" x14ac:dyDescent="0.35">
      <c r="B5" s="1415" t="s">
        <v>1436</v>
      </c>
      <c r="C5" s="1415"/>
      <c r="D5" s="6"/>
      <c r="E5" s="6"/>
      <c r="F5" s="6"/>
      <c r="G5" s="6"/>
      <c r="H5" s="6"/>
      <c r="I5" s="6"/>
      <c r="J5" s="6"/>
      <c r="K5" s="6"/>
    </row>
    <row r="6" spans="2:20" x14ac:dyDescent="0.25">
      <c r="B6" s="6"/>
      <c r="C6" s="6"/>
      <c r="D6" s="6"/>
      <c r="E6" s="6"/>
      <c r="F6" s="6"/>
      <c r="G6" s="6"/>
      <c r="H6" s="6"/>
      <c r="I6" s="6"/>
      <c r="J6" s="6"/>
      <c r="K6" s="6"/>
    </row>
    <row r="7" spans="2:20" ht="36" customHeight="1" x14ac:dyDescent="0.25">
      <c r="B7" s="603" t="s">
        <v>1091</v>
      </c>
      <c r="C7" s="633" t="s">
        <v>1092</v>
      </c>
      <c r="D7" s="633" t="s">
        <v>1093</v>
      </c>
    </row>
    <row r="8" spans="2:20" ht="15" x14ac:dyDescent="0.3">
      <c r="B8" s="542" t="s">
        <v>1094</v>
      </c>
      <c r="C8" s="1416">
        <v>7420</v>
      </c>
      <c r="D8" s="1417">
        <v>500</v>
      </c>
    </row>
    <row r="9" spans="2:20" ht="15" x14ac:dyDescent="0.3">
      <c r="B9" s="542" t="s">
        <v>1095</v>
      </c>
      <c r="C9" s="1418">
        <v>0.82899999999999996</v>
      </c>
      <c r="D9" s="1417" t="s">
        <v>1096</v>
      </c>
    </row>
    <row r="10" spans="2:20" ht="15" x14ac:dyDescent="0.3">
      <c r="B10" s="1419" t="s">
        <v>1097</v>
      </c>
      <c r="C10" s="1416">
        <v>701</v>
      </c>
      <c r="D10" s="1417">
        <v>19</v>
      </c>
    </row>
    <row r="11" spans="2:20" ht="15" x14ac:dyDescent="0.3">
      <c r="B11" s="1004" t="s">
        <v>1098</v>
      </c>
      <c r="C11" s="1420">
        <v>2.7E-2</v>
      </c>
      <c r="D11" s="1417" t="s">
        <v>1096</v>
      </c>
    </row>
    <row r="12" spans="2:20" ht="15" x14ac:dyDescent="0.3">
      <c r="B12" s="1419" t="s">
        <v>1099</v>
      </c>
      <c r="C12" s="1416">
        <v>77</v>
      </c>
      <c r="D12" s="1417">
        <v>9</v>
      </c>
    </row>
    <row r="13" spans="2:20" ht="15" x14ac:dyDescent="0.3">
      <c r="B13" s="1004" t="s">
        <v>1325</v>
      </c>
      <c r="C13" s="1420">
        <v>1E-3</v>
      </c>
      <c r="D13" s="1417" t="s">
        <v>1096</v>
      </c>
    </row>
    <row r="14" spans="2:20" ht="15" x14ac:dyDescent="0.3">
      <c r="B14" s="556" t="s">
        <v>1100</v>
      </c>
      <c r="C14" s="1416">
        <v>28</v>
      </c>
      <c r="D14" s="1417" t="s">
        <v>1096</v>
      </c>
    </row>
    <row r="15" spans="2:20" ht="30" x14ac:dyDescent="0.3">
      <c r="B15" s="556" t="s">
        <v>1101</v>
      </c>
      <c r="C15" s="1418">
        <v>1</v>
      </c>
      <c r="D15" s="1417" t="s">
        <v>1096</v>
      </c>
    </row>
    <row r="17" spans="2:6" ht="66.650000000000006" customHeight="1" x14ac:dyDescent="0.25">
      <c r="B17" s="602" t="s">
        <v>1290</v>
      </c>
      <c r="C17" s="633" t="s">
        <v>1102</v>
      </c>
      <c r="D17" s="633" t="s">
        <v>1103</v>
      </c>
      <c r="E17" s="633" t="s">
        <v>1104</v>
      </c>
      <c r="F17" s="633" t="s">
        <v>1105</v>
      </c>
    </row>
    <row r="18" spans="2:6" ht="15" x14ac:dyDescent="0.3">
      <c r="B18" s="542" t="s">
        <v>1106</v>
      </c>
      <c r="C18" s="1418">
        <v>0.44</v>
      </c>
      <c r="D18" s="1421">
        <v>0.39</v>
      </c>
      <c r="E18" s="1421">
        <v>0.38</v>
      </c>
      <c r="F18" s="1421">
        <v>0.25</v>
      </c>
    </row>
    <row r="19" spans="2:6" ht="15" x14ac:dyDescent="0.3">
      <c r="B19" s="556" t="s">
        <v>1107</v>
      </c>
      <c r="C19" s="1418">
        <v>0.02</v>
      </c>
      <c r="D19" s="1421">
        <v>0.02</v>
      </c>
      <c r="E19" s="1422">
        <v>7.0000000000000007E-2</v>
      </c>
      <c r="F19" s="1422">
        <v>2E-3</v>
      </c>
    </row>
    <row r="20" spans="2:6" ht="30" x14ac:dyDescent="0.3">
      <c r="B20" s="556" t="s">
        <v>1108</v>
      </c>
      <c r="C20" s="1418">
        <v>0.54</v>
      </c>
      <c r="D20" s="1421">
        <v>0.56999999999999995</v>
      </c>
      <c r="E20" s="1421">
        <v>0.52</v>
      </c>
      <c r="F20" s="1421">
        <v>0.73</v>
      </c>
    </row>
    <row r="22" spans="2:6" ht="40.4" customHeight="1" x14ac:dyDescent="0.25">
      <c r="B22" s="603" t="s">
        <v>1109</v>
      </c>
      <c r="C22" s="633" t="s">
        <v>1092</v>
      </c>
      <c r="D22" s="633" t="s">
        <v>1093</v>
      </c>
    </row>
    <row r="23" spans="2:6" ht="15" x14ac:dyDescent="0.3">
      <c r="B23" s="1423" t="s">
        <v>1110</v>
      </c>
      <c r="C23" s="1416">
        <v>26</v>
      </c>
      <c r="D23" s="1424">
        <v>71</v>
      </c>
    </row>
    <row r="24" spans="2:6" ht="15" x14ac:dyDescent="0.3">
      <c r="B24" s="1423" t="s">
        <v>1111</v>
      </c>
      <c r="C24" s="1416">
        <v>21</v>
      </c>
      <c r="D24" s="1424">
        <v>67</v>
      </c>
    </row>
    <row r="25" spans="2:6" ht="15" x14ac:dyDescent="0.3">
      <c r="B25" s="1423" t="s">
        <v>1112</v>
      </c>
      <c r="C25" s="1416">
        <v>4</v>
      </c>
      <c r="D25" s="1424">
        <v>4</v>
      </c>
    </row>
    <row r="26" spans="2:6" ht="15" x14ac:dyDescent="0.3">
      <c r="B26" s="1423" t="s">
        <v>1113</v>
      </c>
      <c r="C26" s="1416" t="s">
        <v>1114</v>
      </c>
      <c r="D26" s="1424" t="s">
        <v>1096</v>
      </c>
    </row>
    <row r="27" spans="2:6" ht="15" x14ac:dyDescent="0.3">
      <c r="B27" s="1423" t="s">
        <v>1115</v>
      </c>
      <c r="C27" s="1416">
        <v>3</v>
      </c>
      <c r="D27" s="1424">
        <v>35</v>
      </c>
    </row>
    <row r="28" spans="2:6" ht="15" x14ac:dyDescent="0.3">
      <c r="B28" s="1423" t="s">
        <v>1116</v>
      </c>
      <c r="C28" s="1416">
        <v>3</v>
      </c>
      <c r="D28" s="1424">
        <v>29</v>
      </c>
    </row>
    <row r="29" spans="2:6" ht="15" x14ac:dyDescent="0.3">
      <c r="B29" s="1423" t="s">
        <v>1117</v>
      </c>
      <c r="C29" s="1416">
        <v>0</v>
      </c>
      <c r="D29" s="1424">
        <v>6</v>
      </c>
    </row>
    <row r="30" spans="2:6" ht="15" x14ac:dyDescent="0.3">
      <c r="B30" s="1423" t="s">
        <v>1118</v>
      </c>
      <c r="C30" s="1418">
        <v>1</v>
      </c>
      <c r="D30" s="1424" t="s">
        <v>1096</v>
      </c>
    </row>
    <row r="32" spans="2:6" ht="27" x14ac:dyDescent="0.25">
      <c r="B32" s="603" t="s">
        <v>1324</v>
      </c>
      <c r="C32" s="633" t="s">
        <v>1092</v>
      </c>
    </row>
    <row r="33" spans="2:3" ht="15" x14ac:dyDescent="0.3">
      <c r="B33" s="1425" t="s">
        <v>1419</v>
      </c>
      <c r="C33" s="1426">
        <v>0.62</v>
      </c>
    </row>
    <row r="34" spans="2:3" x14ac:dyDescent="0.25">
      <c r="B34" s="1427"/>
      <c r="C34" s="6"/>
    </row>
  </sheetData>
  <sheetProtection algorithmName="SHA-512" hashValue="1j2KvH3WPCcyhF/XRYRwnjbmBmYNari5q9I8Y4gGhnqEDU4p2Tx7wr4cZmdfZM0dt3eMLYoRSk+San/yVXkNBQ==" saltValue="9wqcG38oqreoKARs50ll3Q==" spinCount="100000" sheet="1" objects="1" scenarios="1"/>
  <mergeCells count="2">
    <mergeCell ref="B2:K2"/>
    <mergeCell ref="B4:O4"/>
  </mergeCells>
  <phoneticPr fontId="3" type="noConversion"/>
  <hyperlinks>
    <hyperlink ref="B5" r:id="rId1" display="Supplier code of conduct | Johnson Matthey" xr:uid="{83969072-E206-4881-B79A-8C2A4C3ED546}"/>
  </hyperlinks>
  <pageMargins left="0.70866141732283472" right="0.70866141732283472" top="0.74803149606299213" bottom="0.74803149606299213" header="0.31496062992125984" footer="0.31496062992125984"/>
  <pageSetup paperSize="9" scale="7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3C60-39F1-4774-8057-E92E60310DDA}">
  <sheetPr codeName="Sheet3">
    <tabColor theme="3"/>
    <pageSetUpPr fitToPage="1"/>
  </sheetPr>
  <dimension ref="A1:K23"/>
  <sheetViews>
    <sheetView zoomScale="80" zoomScaleNormal="80" workbookViewId="0">
      <selection sqref="A1:XFD1048576"/>
    </sheetView>
  </sheetViews>
  <sheetFormatPr defaultColWidth="8.81640625" defaultRowHeight="13.5" x14ac:dyDescent="0.25"/>
  <cols>
    <col min="1" max="1" width="5.81640625" style="2" customWidth="1"/>
    <col min="2" max="9" width="13.81640625" style="2" customWidth="1"/>
    <col min="10" max="10" width="74.54296875" style="2" customWidth="1"/>
    <col min="11" max="11" width="9.81640625" style="2" customWidth="1"/>
    <col min="12" max="13" width="8.81640625" style="2"/>
    <col min="14" max="14" width="37.54296875" style="2" customWidth="1"/>
    <col min="15" max="16384" width="8.81640625" style="2"/>
  </cols>
  <sheetData>
    <row r="1" spans="1:11" ht="3" customHeight="1" x14ac:dyDescent="0.25">
      <c r="A1" s="834"/>
      <c r="B1" s="834"/>
      <c r="C1" s="834"/>
      <c r="D1" s="834"/>
      <c r="E1" s="834"/>
      <c r="F1" s="834"/>
      <c r="G1" s="834"/>
      <c r="H1" s="834"/>
      <c r="I1" s="834"/>
      <c r="J1" s="834"/>
      <c r="K1" s="834"/>
    </row>
    <row r="2" spans="1:11" ht="41.5" customHeight="1" x14ac:dyDescent="0.3">
      <c r="A2" s="835"/>
      <c r="B2" s="1431" t="s">
        <v>0</v>
      </c>
      <c r="C2" s="1431"/>
      <c r="D2" s="1431"/>
      <c r="E2" s="1431"/>
      <c r="F2" s="1431"/>
      <c r="G2" s="1431"/>
      <c r="H2" s="1431"/>
      <c r="I2" s="1431"/>
      <c r="J2" s="1431"/>
      <c r="K2" s="835"/>
    </row>
    <row r="3" spans="1:11" ht="70.5" customHeight="1" x14ac:dyDescent="0.3">
      <c r="A3" s="835"/>
      <c r="B3" s="1432" t="s">
        <v>1359</v>
      </c>
      <c r="C3" s="1432"/>
      <c r="D3" s="1432"/>
      <c r="E3" s="1432"/>
      <c r="F3" s="1432"/>
      <c r="G3" s="1432"/>
      <c r="H3" s="1432"/>
      <c r="I3" s="1432"/>
      <c r="J3" s="1432"/>
      <c r="K3" s="835"/>
    </row>
    <row r="4" spans="1:11" ht="14" x14ac:dyDescent="0.3">
      <c r="A4" s="835"/>
      <c r="B4" s="836"/>
      <c r="C4" s="836"/>
      <c r="D4" s="836"/>
      <c r="E4" s="836"/>
      <c r="F4" s="836"/>
      <c r="G4" s="836"/>
      <c r="H4" s="836"/>
      <c r="I4" s="836"/>
      <c r="J4" s="836"/>
      <c r="K4" s="835"/>
    </row>
    <row r="5" spans="1:11" s="840" customFormat="1" ht="14" x14ac:dyDescent="0.3">
      <c r="A5" s="837"/>
      <c r="B5" s="838" t="s">
        <v>1</v>
      </c>
      <c r="C5" s="839"/>
      <c r="D5" s="839"/>
      <c r="E5" s="839"/>
      <c r="F5" s="839"/>
      <c r="G5" s="839"/>
      <c r="H5" s="839"/>
      <c r="I5" s="839"/>
      <c r="J5" s="839"/>
      <c r="K5" s="837"/>
    </row>
    <row r="6" spans="1:11" ht="29.15" customHeight="1" x14ac:dyDescent="0.3">
      <c r="A6" s="835"/>
      <c r="B6" s="1429" t="s">
        <v>2</v>
      </c>
      <c r="C6" s="1429"/>
      <c r="D6" s="1429"/>
      <c r="E6" s="1429"/>
      <c r="F6" s="1429"/>
      <c r="G6" s="1429"/>
      <c r="H6" s="1429"/>
      <c r="I6" s="1429"/>
      <c r="J6" s="1429"/>
      <c r="K6" s="835"/>
    </row>
    <row r="7" spans="1:11" ht="14" x14ac:dyDescent="0.3">
      <c r="A7" s="835"/>
      <c r="B7" s="841"/>
      <c r="C7" s="841"/>
      <c r="D7" s="841"/>
      <c r="E7" s="841"/>
      <c r="F7" s="841"/>
      <c r="G7" s="841"/>
      <c r="H7" s="841"/>
      <c r="I7" s="841"/>
      <c r="J7" s="841"/>
      <c r="K7" s="835"/>
    </row>
    <row r="8" spans="1:11" ht="14" x14ac:dyDescent="0.3">
      <c r="A8" s="835"/>
      <c r="B8" s="838" t="s">
        <v>3</v>
      </c>
      <c r="C8" s="842"/>
      <c r="D8" s="842"/>
      <c r="E8" s="842"/>
      <c r="F8" s="842"/>
      <c r="G8" s="842"/>
      <c r="H8" s="842"/>
      <c r="I8" s="842"/>
      <c r="J8" s="842"/>
      <c r="K8" s="835"/>
    </row>
    <row r="9" spans="1:11" ht="17.5" customHeight="1" x14ac:dyDescent="0.3">
      <c r="A9" s="835"/>
      <c r="B9" s="1429" t="s">
        <v>4</v>
      </c>
      <c r="C9" s="1429"/>
      <c r="D9" s="1429"/>
      <c r="E9" s="1429"/>
      <c r="F9" s="1429"/>
      <c r="G9" s="1429"/>
      <c r="H9" s="1429"/>
      <c r="I9" s="1429"/>
      <c r="J9" s="1429"/>
      <c r="K9" s="835"/>
    </row>
    <row r="10" spans="1:11" ht="14" x14ac:dyDescent="0.3">
      <c r="A10" s="835"/>
      <c r="B10" s="843" t="s">
        <v>5</v>
      </c>
      <c r="C10" s="842"/>
      <c r="D10" s="842"/>
      <c r="E10" s="842"/>
      <c r="F10" s="842"/>
      <c r="G10" s="842"/>
      <c r="H10" s="842"/>
      <c r="I10" s="842"/>
      <c r="J10" s="842"/>
      <c r="K10" s="835"/>
    </row>
    <row r="11" spans="1:11" ht="14" x14ac:dyDescent="0.3">
      <c r="A11" s="835"/>
      <c r="B11" s="844"/>
      <c r="C11" s="842"/>
      <c r="D11" s="842"/>
      <c r="E11" s="842"/>
      <c r="F11" s="842"/>
      <c r="G11" s="842"/>
      <c r="H11" s="842"/>
      <c r="I11" s="842"/>
      <c r="J11" s="842"/>
      <c r="K11" s="835"/>
    </row>
    <row r="12" spans="1:11" ht="69" customHeight="1" x14ac:dyDescent="0.3">
      <c r="A12" s="835"/>
      <c r="B12" s="1429" t="s">
        <v>6</v>
      </c>
      <c r="C12" s="1429"/>
      <c r="D12" s="1429"/>
      <c r="E12" s="1429"/>
      <c r="F12" s="1429"/>
      <c r="G12" s="1429"/>
      <c r="H12" s="1429"/>
      <c r="I12" s="1429"/>
      <c r="J12" s="1429"/>
      <c r="K12" s="835"/>
    </row>
    <row r="13" spans="1:11" ht="14.5" customHeight="1" x14ac:dyDescent="0.3">
      <c r="A13" s="835"/>
      <c r="B13" s="841"/>
      <c r="C13" s="841"/>
      <c r="D13" s="841"/>
      <c r="E13" s="841"/>
      <c r="F13" s="841"/>
      <c r="G13" s="841"/>
      <c r="H13" s="841"/>
      <c r="I13" s="841"/>
      <c r="J13" s="841"/>
      <c r="K13" s="835"/>
    </row>
    <row r="14" spans="1:11" ht="43" customHeight="1" x14ac:dyDescent="0.3">
      <c r="A14" s="835"/>
      <c r="B14" s="1429" t="s">
        <v>7</v>
      </c>
      <c r="C14" s="1429"/>
      <c r="D14" s="1429"/>
      <c r="E14" s="1429"/>
      <c r="F14" s="1429"/>
      <c r="G14" s="1429"/>
      <c r="H14" s="1429"/>
      <c r="I14" s="1429"/>
      <c r="J14" s="1429"/>
      <c r="K14" s="835"/>
    </row>
    <row r="15" spans="1:11" ht="125.5" customHeight="1" x14ac:dyDescent="0.3">
      <c r="A15" s="835"/>
      <c r="B15" s="1434" t="s">
        <v>1437</v>
      </c>
      <c r="C15" s="1434"/>
      <c r="D15" s="1434"/>
      <c r="E15" s="1434"/>
      <c r="F15" s="1434"/>
      <c r="G15" s="1434"/>
      <c r="H15" s="1434"/>
      <c r="I15" s="1434"/>
      <c r="J15" s="1434"/>
      <c r="K15" s="835"/>
    </row>
    <row r="16" spans="1:11" ht="17.149999999999999" customHeight="1" x14ac:dyDescent="0.3">
      <c r="A16" s="835"/>
      <c r="B16" s="1433"/>
      <c r="C16" s="1433"/>
      <c r="D16" s="1433"/>
      <c r="E16" s="1433"/>
      <c r="F16" s="1433"/>
      <c r="G16" s="1433"/>
      <c r="H16" s="1433"/>
      <c r="I16" s="1433"/>
      <c r="J16" s="1433"/>
      <c r="K16" s="835"/>
    </row>
    <row r="17" spans="1:11" ht="14" x14ac:dyDescent="0.3">
      <c r="A17" s="835"/>
      <c r="B17" s="838" t="s">
        <v>8</v>
      </c>
      <c r="C17" s="841"/>
      <c r="D17" s="841"/>
      <c r="E17" s="841"/>
      <c r="F17" s="841"/>
      <c r="G17" s="841"/>
      <c r="H17" s="841"/>
      <c r="I17" s="841"/>
      <c r="J17" s="841"/>
      <c r="K17" s="835"/>
    </row>
    <row r="18" spans="1:11" ht="54" customHeight="1" x14ac:dyDescent="0.3">
      <c r="A18" s="835"/>
      <c r="B18" s="1429" t="s">
        <v>9</v>
      </c>
      <c r="C18" s="1429"/>
      <c r="D18" s="1429"/>
      <c r="E18" s="1429"/>
      <c r="F18" s="1429"/>
      <c r="G18" s="1429"/>
      <c r="H18" s="1429"/>
      <c r="I18" s="1429"/>
      <c r="J18" s="1429"/>
      <c r="K18" s="835"/>
    </row>
    <row r="19" spans="1:11" ht="19.5" customHeight="1" x14ac:dyDescent="0.3">
      <c r="A19" s="835"/>
      <c r="B19" s="1429" t="s">
        <v>1414</v>
      </c>
      <c r="C19" s="1429"/>
      <c r="D19" s="1429"/>
      <c r="E19" s="1429"/>
      <c r="F19" s="1429"/>
      <c r="G19" s="1429"/>
      <c r="H19" s="1429"/>
      <c r="I19" s="1429"/>
      <c r="J19" s="1429"/>
      <c r="K19" s="835"/>
    </row>
    <row r="20" spans="1:11" ht="18" customHeight="1" x14ac:dyDescent="0.3">
      <c r="A20" s="835"/>
      <c r="B20" s="841"/>
      <c r="C20" s="841"/>
      <c r="D20" s="841"/>
      <c r="E20" s="841"/>
      <c r="F20" s="841"/>
      <c r="G20" s="841"/>
      <c r="H20" s="841"/>
      <c r="I20" s="841"/>
      <c r="J20" s="841"/>
      <c r="K20" s="835"/>
    </row>
    <row r="21" spans="1:11" ht="14" x14ac:dyDescent="0.3">
      <c r="A21" s="835"/>
      <c r="B21" s="1428" t="s">
        <v>10</v>
      </c>
      <c r="C21" s="1428"/>
      <c r="D21" s="1428"/>
      <c r="E21" s="1428"/>
      <c r="F21" s="1428"/>
      <c r="G21" s="1428"/>
      <c r="H21" s="1428"/>
      <c r="I21" s="1428"/>
      <c r="J21" s="1428"/>
      <c r="K21" s="835"/>
    </row>
    <row r="22" spans="1:11" ht="59.15" customHeight="1" x14ac:dyDescent="0.3">
      <c r="A22" s="845"/>
      <c r="B22" s="1429" t="s">
        <v>11</v>
      </c>
      <c r="C22" s="1429"/>
      <c r="D22" s="1429"/>
      <c r="E22" s="1429"/>
      <c r="F22" s="1429"/>
      <c r="G22" s="1429"/>
      <c r="H22" s="1429"/>
      <c r="I22" s="1429"/>
      <c r="J22" s="1429"/>
      <c r="K22" s="845"/>
    </row>
    <row r="23" spans="1:11" ht="38.5" customHeight="1" x14ac:dyDescent="0.25">
      <c r="A23" s="846"/>
      <c r="B23" s="1430"/>
      <c r="C23" s="1430"/>
      <c r="D23" s="1430"/>
      <c r="E23" s="1430"/>
      <c r="F23" s="1430"/>
      <c r="G23" s="1430"/>
      <c r="H23" s="1430"/>
      <c r="I23" s="1430"/>
      <c r="J23" s="1430"/>
      <c r="K23" s="846"/>
    </row>
  </sheetData>
  <sheetProtection algorithmName="SHA-512" hashValue="X2vsMtAijILzfEZNLjpUmWNuXbT4vlQOew55LYbio04R15/hPIQjXGSBdpVcv4A+Wj27Nr2pRJxolD9imb675w==" saltValue="v7Zz8IOje2zkVoHt/QEYkg==" spinCount="100000" sheet="1" objects="1" scenarios="1" selectLockedCells="1" selectUnlockedCells="1"/>
  <mergeCells count="13">
    <mergeCell ref="B21:J21"/>
    <mergeCell ref="B22:J22"/>
    <mergeCell ref="B23:J23"/>
    <mergeCell ref="B2:J2"/>
    <mergeCell ref="B3:J3"/>
    <mergeCell ref="B6:J6"/>
    <mergeCell ref="B9:J9"/>
    <mergeCell ref="B12:J12"/>
    <mergeCell ref="B16:J16"/>
    <mergeCell ref="B18:J18"/>
    <mergeCell ref="B19:J19"/>
    <mergeCell ref="B14:J14"/>
    <mergeCell ref="B15:J15"/>
  </mergeCell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6F39-E8CC-4794-95EE-27F9F1063461}">
  <sheetPr codeName="Sheet21">
    <tabColor theme="7"/>
    <pageSetUpPr fitToPage="1"/>
  </sheetPr>
  <dimension ref="B2:N27"/>
  <sheetViews>
    <sheetView zoomScale="80" zoomScaleNormal="80" workbookViewId="0">
      <selection activeCell="Q12" sqref="Q12"/>
    </sheetView>
  </sheetViews>
  <sheetFormatPr defaultColWidth="8.81640625" defaultRowHeight="13.5" x14ac:dyDescent="0.25"/>
  <cols>
    <col min="1" max="1" width="2.453125" style="2" customWidth="1"/>
    <col min="2" max="2" width="76.54296875" style="2" customWidth="1"/>
    <col min="3" max="3" width="15.1796875" style="2" customWidth="1"/>
    <col min="4" max="4" width="13.81640625" style="2" customWidth="1"/>
    <col min="5" max="6" width="12.1796875" style="2" bestFit="1" customWidth="1"/>
    <col min="7" max="12" width="2.1796875" style="2" customWidth="1"/>
    <col min="13" max="13" width="8.81640625" style="2"/>
    <col min="14" max="14" width="8.81640625" style="2" customWidth="1"/>
    <col min="15" max="16384" width="8.81640625" style="2"/>
  </cols>
  <sheetData>
    <row r="2" spans="2:14" ht="72" customHeight="1" x14ac:dyDescent="0.25">
      <c r="B2" s="1639" t="s">
        <v>1119</v>
      </c>
      <c r="C2" s="1587"/>
      <c r="D2" s="1587"/>
      <c r="E2" s="1587"/>
      <c r="F2" s="1587"/>
      <c r="G2" s="1587"/>
      <c r="H2" s="1587"/>
      <c r="I2" s="1587"/>
      <c r="J2" s="1587"/>
    </row>
    <row r="3" spans="2:14" ht="17.5" customHeight="1" x14ac:dyDescent="0.25"/>
    <row r="4" spans="2:14" ht="147" customHeight="1" x14ac:dyDescent="0.25">
      <c r="B4" s="1655" t="s">
        <v>1120</v>
      </c>
      <c r="C4" s="1655"/>
      <c r="D4" s="1655"/>
      <c r="E4" s="1655"/>
      <c r="F4" s="1655"/>
      <c r="G4" s="1655"/>
      <c r="H4" s="1655"/>
      <c r="I4" s="1655"/>
      <c r="J4" s="1655"/>
      <c r="K4" s="1655"/>
      <c r="L4" s="1655"/>
      <c r="M4" s="1655"/>
      <c r="N4" s="1655"/>
    </row>
    <row r="7" spans="2:14" ht="36" customHeight="1" x14ac:dyDescent="0.25">
      <c r="B7" s="602" t="s">
        <v>1121</v>
      </c>
      <c r="C7" s="603" t="s">
        <v>430</v>
      </c>
      <c r="D7" s="633" t="s">
        <v>431</v>
      </c>
    </row>
    <row r="8" spans="2:14" ht="33" customHeight="1" x14ac:dyDescent="0.3">
      <c r="B8" s="556" t="s">
        <v>1122</v>
      </c>
      <c r="C8" s="542" t="s">
        <v>463</v>
      </c>
      <c r="D8" s="725">
        <v>90</v>
      </c>
    </row>
    <row r="9" spans="2:14" ht="28.5" customHeight="1" x14ac:dyDescent="0.25">
      <c r="B9" s="1662" t="s">
        <v>1123</v>
      </c>
      <c r="C9" s="1663"/>
      <c r="D9" s="1664"/>
    </row>
    <row r="12" spans="2:14" ht="36" customHeight="1" x14ac:dyDescent="0.25">
      <c r="B12" s="602" t="s">
        <v>1124</v>
      </c>
      <c r="C12" s="603" t="s">
        <v>430</v>
      </c>
      <c r="D12" s="633" t="s">
        <v>431</v>
      </c>
      <c r="E12" s="707" t="s">
        <v>432</v>
      </c>
      <c r="F12" s="707" t="s">
        <v>433</v>
      </c>
    </row>
    <row r="13" spans="2:14" ht="30" x14ac:dyDescent="0.3">
      <c r="B13" s="556" t="s">
        <v>1125</v>
      </c>
      <c r="C13" s="542" t="s">
        <v>668</v>
      </c>
      <c r="D13" s="725">
        <v>0</v>
      </c>
      <c r="E13" s="726">
        <v>0</v>
      </c>
      <c r="F13" s="726">
        <v>0</v>
      </c>
    </row>
    <row r="14" spans="2:14" ht="27.75" customHeight="1" x14ac:dyDescent="0.25">
      <c r="B14" s="1659" t="s">
        <v>1126</v>
      </c>
      <c r="C14" s="1660"/>
      <c r="D14" s="1660"/>
      <c r="E14" s="1660"/>
      <c r="F14" s="1661"/>
    </row>
    <row r="16" spans="2:14" ht="27" x14ac:dyDescent="0.25">
      <c r="B16" s="602" t="s">
        <v>1127</v>
      </c>
      <c r="C16" s="603" t="s">
        <v>430</v>
      </c>
      <c r="D16" s="633" t="s">
        <v>431</v>
      </c>
    </row>
    <row r="17" spans="2:14" ht="46" customHeight="1" x14ac:dyDescent="0.3">
      <c r="B17" s="556" t="s">
        <v>1128</v>
      </c>
      <c r="C17" s="542" t="s">
        <v>463</v>
      </c>
      <c r="D17" s="725">
        <v>100</v>
      </c>
    </row>
    <row r="18" spans="2:14" s="728" customFormat="1" x14ac:dyDescent="0.25">
      <c r="B18" s="2"/>
      <c r="C18" s="2"/>
      <c r="D18" s="2"/>
      <c r="E18" s="2"/>
      <c r="F18" s="2"/>
      <c r="G18" s="2"/>
      <c r="H18" s="2"/>
      <c r="I18" s="2"/>
      <c r="J18" s="2"/>
      <c r="K18" s="2"/>
      <c r="L18" s="2"/>
      <c r="M18" s="2"/>
      <c r="N18" s="2"/>
    </row>
    <row r="19" spans="2:14" s="728" customFormat="1" ht="14.25" customHeight="1" x14ac:dyDescent="0.25">
      <c r="B19" s="2"/>
      <c r="C19" s="2"/>
      <c r="D19" s="2"/>
      <c r="E19" s="2"/>
      <c r="F19" s="2"/>
      <c r="G19" s="2"/>
      <c r="H19" s="2"/>
      <c r="I19" s="2"/>
      <c r="J19" s="2"/>
      <c r="K19" s="2"/>
      <c r="L19" s="2"/>
      <c r="M19" s="2"/>
      <c r="N19" s="2"/>
    </row>
    <row r="20" spans="2:14" s="728" customFormat="1" ht="36" customHeight="1" x14ac:dyDescent="0.25">
      <c r="B20" s="602" t="s">
        <v>1129</v>
      </c>
      <c r="C20" s="603" t="s">
        <v>430</v>
      </c>
      <c r="D20" s="633" t="s">
        <v>431</v>
      </c>
      <c r="E20" s="707" t="s">
        <v>432</v>
      </c>
      <c r="F20" s="707" t="s">
        <v>433</v>
      </c>
      <c r="G20" s="2"/>
      <c r="H20" s="2"/>
      <c r="I20" s="2"/>
      <c r="J20" s="2"/>
      <c r="K20" s="2"/>
      <c r="L20" s="2"/>
      <c r="M20" s="2"/>
      <c r="N20" s="2"/>
    </row>
    <row r="21" spans="2:14" ht="30" x14ac:dyDescent="0.3">
      <c r="B21" s="556" t="s">
        <v>1130</v>
      </c>
      <c r="C21" s="542" t="s">
        <v>668</v>
      </c>
      <c r="D21" s="727">
        <v>0</v>
      </c>
      <c r="E21" s="726">
        <v>0</v>
      </c>
      <c r="F21" s="726">
        <v>0</v>
      </c>
    </row>
    <row r="22" spans="2:14" ht="45" customHeight="1" x14ac:dyDescent="0.25">
      <c r="B22" s="1659" t="s">
        <v>1131</v>
      </c>
      <c r="C22" s="1660"/>
      <c r="D22" s="1660"/>
      <c r="E22" s="1660"/>
      <c r="F22" s="1661"/>
    </row>
    <row r="25" spans="2:14" ht="36" customHeight="1" x14ac:dyDescent="0.25">
      <c r="B25" s="602" t="s">
        <v>1132</v>
      </c>
      <c r="C25" s="603" t="s">
        <v>430</v>
      </c>
      <c r="D25" s="633" t="s">
        <v>431</v>
      </c>
      <c r="E25" s="707" t="s">
        <v>432</v>
      </c>
      <c r="F25" s="707" t="s">
        <v>433</v>
      </c>
    </row>
    <row r="26" spans="2:14" ht="15" x14ac:dyDescent="0.3">
      <c r="B26" s="556" t="s">
        <v>1133</v>
      </c>
      <c r="C26" s="556" t="s">
        <v>1134</v>
      </c>
      <c r="D26" s="723" t="s">
        <v>1135</v>
      </c>
      <c r="E26" s="724" t="s">
        <v>1135</v>
      </c>
      <c r="F26" s="724" t="s">
        <v>1135</v>
      </c>
    </row>
    <row r="27" spans="2:14" ht="60" customHeight="1" x14ac:dyDescent="0.25">
      <c r="B27" s="1656" t="s">
        <v>1136</v>
      </c>
      <c r="C27" s="1657"/>
      <c r="D27" s="1657"/>
      <c r="E27" s="1657"/>
      <c r="F27" s="1658"/>
    </row>
  </sheetData>
  <sheetProtection algorithmName="SHA-512" hashValue="H9ATuz8rXJc3OVA48Tbo/H6bx33X4S/DQKMDnVgIoPI3E+9CSitkygu7xm1ztyS+rFsjy+n/AnBdpX6mgRB0HA==" saltValue="v0DKONV0UQRvU94WC98rBQ==" spinCount="100000" sheet="1" objects="1" scenarios="1"/>
  <mergeCells count="6">
    <mergeCell ref="B27:F27"/>
    <mergeCell ref="B2:J2"/>
    <mergeCell ref="B4:N4"/>
    <mergeCell ref="B14:F14"/>
    <mergeCell ref="B22:F22"/>
    <mergeCell ref="B9:D9"/>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B7EA-EBFA-47F2-89E1-47C839E6EA94}">
  <sheetPr codeName="Sheet22">
    <tabColor theme="8" tint="0.39997558519241921"/>
  </sheetPr>
  <dimension ref="B2:N69"/>
  <sheetViews>
    <sheetView zoomScale="80" zoomScaleNormal="80" workbookViewId="0">
      <selection activeCell="A63" sqref="A1:XFD1048576"/>
    </sheetView>
  </sheetViews>
  <sheetFormatPr defaultColWidth="8.81640625" defaultRowHeight="13.5" x14ac:dyDescent="0.35"/>
  <cols>
    <col min="1" max="1" width="2.453125" style="58" customWidth="1"/>
    <col min="2" max="2" width="74" style="58" customWidth="1"/>
    <col min="3" max="3" width="146.54296875" style="58" bestFit="1" customWidth="1"/>
    <col min="4" max="4" width="22.453125" style="58" customWidth="1"/>
    <col min="5" max="6" width="2" style="58" customWidth="1"/>
    <col min="7" max="12" width="2.1796875" style="58" customWidth="1"/>
    <col min="13" max="13" width="2.81640625" style="58" customWidth="1"/>
    <col min="14" max="14" width="4" style="58" customWidth="1"/>
    <col min="15" max="16384" width="8.81640625" style="58"/>
  </cols>
  <sheetData>
    <row r="2" spans="2:14" ht="35.25" customHeight="1" x14ac:dyDescent="0.35">
      <c r="B2" s="1665" t="s">
        <v>1137</v>
      </c>
      <c r="C2" s="1587"/>
      <c r="D2" s="1587"/>
      <c r="E2" s="1587"/>
      <c r="F2" s="1587"/>
      <c r="G2" s="1587"/>
      <c r="H2" s="1587"/>
      <c r="I2" s="1587"/>
      <c r="J2" s="1587"/>
    </row>
    <row r="3" spans="2:14" ht="80.5" customHeight="1" x14ac:dyDescent="0.35">
      <c r="B3" s="1669" t="s">
        <v>1358</v>
      </c>
      <c r="C3" s="1669"/>
    </row>
    <row r="4" spans="2:14" ht="15" customHeight="1" x14ac:dyDescent="0.35">
      <c r="B4" s="1666"/>
      <c r="C4" s="1666"/>
      <c r="D4" s="1666"/>
      <c r="E4" s="1666"/>
      <c r="F4" s="1666"/>
      <c r="G4" s="1666"/>
      <c r="H4" s="1666"/>
      <c r="I4" s="1666"/>
      <c r="J4" s="1666"/>
      <c r="K4" s="1666"/>
      <c r="L4" s="1666"/>
      <c r="M4" s="1666"/>
      <c r="N4" s="1666"/>
    </row>
    <row r="5" spans="2:14" x14ac:dyDescent="0.35">
      <c r="B5" s="730" t="s">
        <v>455</v>
      </c>
      <c r="C5" s="731" t="s">
        <v>1138</v>
      </c>
    </row>
    <row r="6" spans="2:14" ht="94.5" x14ac:dyDescent="0.35">
      <c r="B6" s="679" t="s">
        <v>368</v>
      </c>
      <c r="C6" s="679" t="s">
        <v>1295</v>
      </c>
    </row>
    <row r="7" spans="2:14" ht="54" x14ac:dyDescent="0.35">
      <c r="B7" s="679" t="s">
        <v>370</v>
      </c>
      <c r="C7" s="679" t="s">
        <v>1307</v>
      </c>
    </row>
    <row r="8" spans="2:14" ht="54" x14ac:dyDescent="0.35">
      <c r="B8" s="679" t="s">
        <v>442</v>
      </c>
      <c r="C8" s="679" t="s">
        <v>1296</v>
      </c>
    </row>
    <row r="9" spans="2:14" x14ac:dyDescent="0.35">
      <c r="B9" s="679" t="s">
        <v>460</v>
      </c>
      <c r="C9" s="679" t="s">
        <v>1294</v>
      </c>
    </row>
    <row r="10" spans="2:14" x14ac:dyDescent="0.35">
      <c r="B10" s="679" t="s">
        <v>446</v>
      </c>
      <c r="C10" s="679" t="s">
        <v>1297</v>
      </c>
    </row>
    <row r="11" spans="2:14" ht="27" x14ac:dyDescent="0.35">
      <c r="B11" s="679" t="s">
        <v>462</v>
      </c>
      <c r="C11" s="679" t="s">
        <v>1298</v>
      </c>
    </row>
    <row r="12" spans="2:14" ht="54" x14ac:dyDescent="0.35">
      <c r="B12" s="679" t="s">
        <v>449</v>
      </c>
      <c r="C12" s="679" t="s">
        <v>1299</v>
      </c>
    </row>
    <row r="13" spans="2:14" ht="81" x14ac:dyDescent="0.35">
      <c r="B13" s="732" t="s">
        <v>464</v>
      </c>
      <c r="C13" s="679" t="s">
        <v>1300</v>
      </c>
    </row>
    <row r="14" spans="2:14" ht="27" x14ac:dyDescent="0.35">
      <c r="B14" s="732" t="s">
        <v>466</v>
      </c>
      <c r="C14" s="679" t="s">
        <v>1301</v>
      </c>
    </row>
    <row r="15" spans="2:14" ht="27" x14ac:dyDescent="0.35">
      <c r="B15" s="679" t="s">
        <v>467</v>
      </c>
      <c r="C15" s="679" t="s">
        <v>1308</v>
      </c>
    </row>
    <row r="16" spans="2:14" ht="27" x14ac:dyDescent="0.35">
      <c r="B16" s="508" t="s">
        <v>468</v>
      </c>
      <c r="C16" s="679" t="s">
        <v>1302</v>
      </c>
    </row>
    <row r="17" spans="2:3" ht="27" x14ac:dyDescent="0.35">
      <c r="B17" s="508" t="s">
        <v>562</v>
      </c>
      <c r="C17" s="508" t="s">
        <v>1303</v>
      </c>
    </row>
    <row r="18" spans="2:3" ht="27" x14ac:dyDescent="0.35">
      <c r="B18" s="508" t="s">
        <v>469</v>
      </c>
      <c r="C18" s="679" t="s">
        <v>1140</v>
      </c>
    </row>
    <row r="19" spans="2:3" ht="27" x14ac:dyDescent="0.35">
      <c r="B19" s="508" t="s">
        <v>564</v>
      </c>
      <c r="C19" s="679" t="s">
        <v>1141</v>
      </c>
    </row>
    <row r="20" spans="2:3" ht="27" x14ac:dyDescent="0.35">
      <c r="B20" s="508" t="s">
        <v>565</v>
      </c>
      <c r="C20" s="679" t="s">
        <v>1142</v>
      </c>
    </row>
    <row r="21" spans="2:3" ht="40.5" x14ac:dyDescent="0.35">
      <c r="B21" s="508" t="s">
        <v>566</v>
      </c>
      <c r="C21" s="679" t="s">
        <v>1143</v>
      </c>
    </row>
    <row r="22" spans="2:3" ht="27" x14ac:dyDescent="0.35">
      <c r="B22" s="508" t="s">
        <v>567</v>
      </c>
      <c r="C22" s="679" t="s">
        <v>1144</v>
      </c>
    </row>
    <row r="23" spans="2:3" x14ac:dyDescent="0.35">
      <c r="B23" s="508" t="s">
        <v>568</v>
      </c>
      <c r="C23" s="679" t="s">
        <v>1304</v>
      </c>
    </row>
    <row r="24" spans="2:3" ht="27" x14ac:dyDescent="0.35">
      <c r="B24" s="508" t="s">
        <v>569</v>
      </c>
      <c r="C24" s="679" t="s">
        <v>1141</v>
      </c>
    </row>
    <row r="25" spans="2:3" ht="40.5" x14ac:dyDescent="0.35">
      <c r="B25" s="508" t="s">
        <v>570</v>
      </c>
      <c r="C25" s="679" t="s">
        <v>1145</v>
      </c>
    </row>
    <row r="26" spans="2:3" ht="27" x14ac:dyDescent="0.35">
      <c r="B26" s="508" t="s">
        <v>571</v>
      </c>
      <c r="C26" s="679" t="s">
        <v>698</v>
      </c>
    </row>
    <row r="27" spans="2:3" ht="27" x14ac:dyDescent="0.35">
      <c r="B27" s="508" t="s">
        <v>572</v>
      </c>
      <c r="C27" s="679" t="s">
        <v>1146</v>
      </c>
    </row>
    <row r="28" spans="2:3" x14ac:dyDescent="0.35">
      <c r="B28" s="508" t="s">
        <v>573</v>
      </c>
      <c r="C28" s="679" t="s">
        <v>1304</v>
      </c>
    </row>
    <row r="29" spans="2:3" x14ac:dyDescent="0.35">
      <c r="B29" s="508" t="s">
        <v>574</v>
      </c>
      <c r="C29" s="679" t="s">
        <v>1147</v>
      </c>
    </row>
    <row r="30" spans="2:3" ht="27" x14ac:dyDescent="0.35">
      <c r="B30" s="508" t="s">
        <v>575</v>
      </c>
      <c r="C30" s="679" t="s">
        <v>1148</v>
      </c>
    </row>
    <row r="31" spans="2:3" x14ac:dyDescent="0.35">
      <c r="B31" s="508" t="s">
        <v>371</v>
      </c>
      <c r="C31" s="507" t="s">
        <v>1305</v>
      </c>
    </row>
    <row r="32" spans="2:3" x14ac:dyDescent="0.35">
      <c r="B32" s="729" t="s">
        <v>470</v>
      </c>
      <c r="C32" s="679" t="s">
        <v>713</v>
      </c>
    </row>
    <row r="33" spans="2:3" ht="27" x14ac:dyDescent="0.35">
      <c r="B33" s="679" t="s">
        <v>472</v>
      </c>
      <c r="C33" s="679" t="s">
        <v>1149</v>
      </c>
    </row>
    <row r="34" spans="2:3" ht="54" x14ac:dyDescent="0.35">
      <c r="B34" s="679" t="s">
        <v>473</v>
      </c>
      <c r="C34" s="679" t="s">
        <v>1306</v>
      </c>
    </row>
    <row r="35" spans="2:3" ht="121.5" x14ac:dyDescent="0.35">
      <c r="B35" s="508" t="s">
        <v>475</v>
      </c>
      <c r="C35" s="679" t="s">
        <v>1312</v>
      </c>
    </row>
    <row r="36" spans="2:3" ht="44.5" customHeight="1" x14ac:dyDescent="0.35">
      <c r="B36" s="729" t="s">
        <v>476</v>
      </c>
      <c r="C36" s="679" t="s">
        <v>1309</v>
      </c>
    </row>
    <row r="37" spans="2:3" x14ac:dyDescent="0.35">
      <c r="B37" s="508" t="s">
        <v>478</v>
      </c>
      <c r="C37" s="679" t="s">
        <v>724</v>
      </c>
    </row>
    <row r="38" spans="2:3" ht="81" x14ac:dyDescent="0.35">
      <c r="B38" s="732" t="s">
        <v>479</v>
      </c>
      <c r="C38" s="679" t="s">
        <v>1313</v>
      </c>
    </row>
    <row r="39" spans="2:3" ht="54" x14ac:dyDescent="0.35">
      <c r="B39" s="508" t="s">
        <v>481</v>
      </c>
      <c r="C39" s="679" t="s">
        <v>1314</v>
      </c>
    </row>
    <row r="40" spans="2:3" ht="67.5" x14ac:dyDescent="0.35">
      <c r="B40" s="508" t="s">
        <v>482</v>
      </c>
      <c r="C40" s="679" t="s">
        <v>1315</v>
      </c>
    </row>
    <row r="41" spans="2:3" ht="81" x14ac:dyDescent="0.35">
      <c r="B41" s="508" t="s">
        <v>483</v>
      </c>
      <c r="C41" s="679" t="s">
        <v>1316</v>
      </c>
    </row>
    <row r="42" spans="2:3" ht="54" x14ac:dyDescent="0.35">
      <c r="B42" s="732" t="s">
        <v>484</v>
      </c>
      <c r="C42" s="679" t="s">
        <v>1317</v>
      </c>
    </row>
    <row r="43" spans="2:3" ht="81" x14ac:dyDescent="0.35">
      <c r="B43" s="508" t="s">
        <v>485</v>
      </c>
      <c r="C43" s="679" t="s">
        <v>1274</v>
      </c>
    </row>
    <row r="44" spans="2:3" ht="40.5" x14ac:dyDescent="0.35">
      <c r="B44" s="732" t="s">
        <v>486</v>
      </c>
      <c r="C44" s="679" t="s">
        <v>1275</v>
      </c>
    </row>
    <row r="45" spans="2:3" ht="67.5" x14ac:dyDescent="0.35">
      <c r="B45" s="732" t="s">
        <v>487</v>
      </c>
      <c r="C45" s="679" t="s">
        <v>1276</v>
      </c>
    </row>
    <row r="46" spans="2:3" ht="81" x14ac:dyDescent="0.35">
      <c r="B46" s="732" t="s">
        <v>488</v>
      </c>
      <c r="C46" s="679" t="s">
        <v>1277</v>
      </c>
    </row>
    <row r="47" spans="2:3" ht="54" x14ac:dyDescent="0.35">
      <c r="B47" s="508" t="s">
        <v>489</v>
      </c>
      <c r="C47" s="679" t="s">
        <v>1278</v>
      </c>
    </row>
    <row r="48" spans="2:3" ht="40.5" x14ac:dyDescent="0.35">
      <c r="B48" s="508" t="s">
        <v>490</v>
      </c>
      <c r="C48" s="679" t="s">
        <v>1283</v>
      </c>
    </row>
    <row r="49" spans="2:3" ht="27" x14ac:dyDescent="0.35">
      <c r="B49" s="508" t="s">
        <v>491</v>
      </c>
      <c r="C49" s="679" t="s">
        <v>1282</v>
      </c>
    </row>
    <row r="50" spans="2:3" ht="27" x14ac:dyDescent="0.35">
      <c r="B50" s="508" t="s">
        <v>492</v>
      </c>
      <c r="C50" s="679" t="s">
        <v>1284</v>
      </c>
    </row>
    <row r="51" spans="2:3" ht="27" x14ac:dyDescent="0.35">
      <c r="B51" s="508" t="s">
        <v>494</v>
      </c>
      <c r="C51" s="679" t="s">
        <v>1150</v>
      </c>
    </row>
    <row r="52" spans="2:3" ht="40.5" x14ac:dyDescent="0.35">
      <c r="B52" s="508" t="s">
        <v>495</v>
      </c>
      <c r="C52" s="679" t="s">
        <v>1151</v>
      </c>
    </row>
    <row r="53" spans="2:3" ht="40.5" x14ac:dyDescent="0.35">
      <c r="B53" s="508" t="s">
        <v>496</v>
      </c>
      <c r="C53" s="679" t="s">
        <v>769</v>
      </c>
    </row>
    <row r="54" spans="2:3" x14ac:dyDescent="0.35">
      <c r="B54" s="508" t="s">
        <v>497</v>
      </c>
      <c r="C54" s="679" t="s">
        <v>1279</v>
      </c>
    </row>
    <row r="55" spans="2:3" x14ac:dyDescent="0.35">
      <c r="B55" s="508" t="s">
        <v>498</v>
      </c>
      <c r="C55" s="679" t="s">
        <v>1280</v>
      </c>
    </row>
    <row r="56" spans="2:3" x14ac:dyDescent="0.35">
      <c r="B56" s="508" t="s">
        <v>499</v>
      </c>
      <c r="C56" s="679" t="s">
        <v>1281</v>
      </c>
    </row>
    <row r="57" spans="2:3" ht="108" x14ac:dyDescent="0.35">
      <c r="B57" s="508" t="s">
        <v>500</v>
      </c>
      <c r="C57" s="679" t="s">
        <v>1152</v>
      </c>
    </row>
    <row r="58" spans="2:3" ht="135" x14ac:dyDescent="0.35">
      <c r="B58" s="508" t="s">
        <v>501</v>
      </c>
      <c r="C58" s="679" t="s">
        <v>1153</v>
      </c>
    </row>
    <row r="59" spans="2:3" ht="27" x14ac:dyDescent="0.35">
      <c r="B59" s="508" t="s">
        <v>1154</v>
      </c>
      <c r="C59" s="679" t="s">
        <v>1155</v>
      </c>
    </row>
    <row r="60" spans="2:3" ht="68.5" customHeight="1" x14ac:dyDescent="0.35">
      <c r="B60" s="732" t="s">
        <v>502</v>
      </c>
      <c r="C60" s="679" t="e" vm="1">
        <v>#VALUE!</v>
      </c>
    </row>
    <row r="61" spans="2:3" ht="52.5" customHeight="1" x14ac:dyDescent="0.35">
      <c r="B61" s="732" t="s">
        <v>504</v>
      </c>
      <c r="C61" s="679" t="e" vm="2">
        <v>#VALUE!</v>
      </c>
    </row>
    <row r="62" spans="2:3" ht="66" customHeight="1" x14ac:dyDescent="0.35">
      <c r="B62" s="729" t="s">
        <v>505</v>
      </c>
      <c r="C62" s="679" t="e" vm="3">
        <v>#VALUE!</v>
      </c>
    </row>
    <row r="63" spans="2:3" ht="27" x14ac:dyDescent="0.35">
      <c r="B63" s="1667" t="s">
        <v>506</v>
      </c>
      <c r="C63" s="679" t="s">
        <v>1156</v>
      </c>
    </row>
    <row r="64" spans="2:3" ht="42.65" customHeight="1" x14ac:dyDescent="0.35">
      <c r="B64" s="1668"/>
      <c r="C64" s="679" t="e" vm="4">
        <v>#VALUE!</v>
      </c>
    </row>
    <row r="65" spans="2:3" ht="67.5" x14ac:dyDescent="0.35">
      <c r="B65" s="1667" t="s">
        <v>508</v>
      </c>
      <c r="C65" s="679" t="s">
        <v>1157</v>
      </c>
    </row>
    <row r="66" spans="2:3" ht="41.5" customHeight="1" x14ac:dyDescent="0.35">
      <c r="B66" s="1668"/>
      <c r="C66" s="679" t="e" vm="5">
        <v>#VALUE!</v>
      </c>
    </row>
    <row r="67" spans="2:3" ht="94.5" x14ac:dyDescent="0.35">
      <c r="B67" s="1667" t="s">
        <v>510</v>
      </c>
      <c r="C67" s="679" t="s">
        <v>1158</v>
      </c>
    </row>
    <row r="68" spans="2:3" ht="31" customHeight="1" x14ac:dyDescent="0.35">
      <c r="B68" s="1668"/>
      <c r="C68" s="679" t="e" vm="6">
        <v>#VALUE!</v>
      </c>
    </row>
    <row r="69" spans="2:3" ht="54" x14ac:dyDescent="0.35">
      <c r="B69" s="508" t="s">
        <v>512</v>
      </c>
      <c r="C69" s="679" t="s">
        <v>1159</v>
      </c>
    </row>
  </sheetData>
  <sheetProtection algorithmName="SHA-512" hashValue="/9MSBIlKX8qv3AzPVuo1PKIG+KrL5pwvTdHpmyjsvxVruiDGHOdJEIQV4CKIItRlmdj6gfjdYQ2EfCU6HBbUiA==" saltValue="OT60yAGQHTM8e9/ply1yLw==" spinCount="100000" sheet="1" objects="1" scenarios="1" selectLockedCells="1" selectUnlockedCells="1"/>
  <mergeCells count="6">
    <mergeCell ref="B2:J2"/>
    <mergeCell ref="B4:N4"/>
    <mergeCell ref="B67:B68"/>
    <mergeCell ref="B63:B64"/>
    <mergeCell ref="B65:B66"/>
    <mergeCell ref="B3:C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B229-B1F2-4BB1-82DB-D4595D3174BB}">
  <sheetPr codeName="Sheet10">
    <pageSetUpPr fitToPage="1"/>
  </sheetPr>
  <dimension ref="A2:Y148"/>
  <sheetViews>
    <sheetView workbookViewId="0"/>
  </sheetViews>
  <sheetFormatPr defaultColWidth="8.81640625" defaultRowHeight="13.5" outlineLevelCol="1" x14ac:dyDescent="0.35"/>
  <cols>
    <col min="1" max="1" width="21.1796875" style="58" customWidth="1"/>
    <col min="2" max="2" width="89.1796875" style="58" customWidth="1"/>
    <col min="3" max="3" width="124.1796875" style="91" hidden="1" customWidth="1" outlineLevel="1"/>
    <col min="4" max="4" width="30.1796875" style="58" customWidth="1" collapsed="1"/>
    <col min="5" max="5" width="18" style="58" customWidth="1"/>
    <col min="6" max="18" width="18.81640625" style="58" customWidth="1"/>
    <col min="19" max="16384" width="8.81640625" style="58"/>
  </cols>
  <sheetData>
    <row r="2" spans="1:24" ht="35.15" customHeight="1" x14ac:dyDescent="0.35">
      <c r="A2" s="357"/>
      <c r="B2" s="1670" t="s">
        <v>31</v>
      </c>
      <c r="C2" s="1670"/>
      <c r="D2" s="1670"/>
      <c r="E2" s="1670"/>
      <c r="F2" s="1670"/>
      <c r="G2" s="1670"/>
      <c r="H2" s="1670"/>
      <c r="I2" s="1670"/>
      <c r="J2" s="1670"/>
      <c r="K2" s="1670"/>
      <c r="L2" s="1670"/>
      <c r="M2" s="1670"/>
      <c r="N2" s="1670"/>
      <c r="O2" s="4"/>
      <c r="P2" s="100"/>
      <c r="Q2" s="100"/>
      <c r="R2" s="100"/>
      <c r="S2" s="100"/>
      <c r="T2" s="100"/>
      <c r="U2" s="101"/>
      <c r="V2" s="101"/>
      <c r="W2" s="101"/>
      <c r="X2" s="101"/>
    </row>
    <row r="3" spans="1:24" ht="19.5" x14ac:dyDescent="0.35">
      <c r="B3" s="102"/>
      <c r="C3" s="103"/>
      <c r="D3" s="102"/>
      <c r="E3" s="102"/>
      <c r="F3" s="102"/>
      <c r="G3" s="104"/>
      <c r="H3" s="104"/>
      <c r="I3" s="104"/>
      <c r="J3" s="104"/>
      <c r="K3" s="104"/>
      <c r="L3" s="104"/>
      <c r="M3" s="104"/>
      <c r="N3" s="104"/>
      <c r="O3" s="104"/>
      <c r="P3" s="104"/>
      <c r="Q3" s="104"/>
      <c r="R3" s="104"/>
      <c r="S3" s="104"/>
      <c r="T3" s="104"/>
      <c r="U3" s="101"/>
      <c r="V3" s="101"/>
      <c r="W3" s="101"/>
      <c r="X3" s="101"/>
    </row>
    <row r="4" spans="1:24" ht="73.5" customHeight="1" x14ac:dyDescent="0.35">
      <c r="B4" s="1671" t="s">
        <v>1160</v>
      </c>
      <c r="C4" s="1672"/>
      <c r="D4" s="1672"/>
      <c r="E4" s="1672"/>
      <c r="F4" s="1672"/>
      <c r="G4" s="1672"/>
      <c r="H4" s="1672"/>
      <c r="I4" s="1672"/>
      <c r="J4" s="1672"/>
      <c r="K4" s="1672"/>
      <c r="L4" s="1672"/>
      <c r="M4" s="101"/>
      <c r="N4" s="356"/>
      <c r="O4" s="101"/>
      <c r="P4" s="101"/>
      <c r="Q4" s="101"/>
      <c r="R4" s="101"/>
      <c r="S4" s="101"/>
      <c r="T4" s="101"/>
      <c r="U4" s="101"/>
      <c r="V4" s="101"/>
      <c r="W4" s="101"/>
      <c r="X4" s="101"/>
    </row>
    <row r="5" spans="1:24" x14ac:dyDescent="0.35">
      <c r="B5" s="17"/>
      <c r="C5" s="98"/>
      <c r="D5" s="17"/>
      <c r="E5" s="17"/>
      <c r="F5" s="17"/>
      <c r="G5" s="18"/>
      <c r="H5" s="18"/>
      <c r="I5" s="18"/>
      <c r="J5" s="101"/>
      <c r="K5" s="101"/>
      <c r="L5" s="101"/>
      <c r="M5" s="101"/>
      <c r="N5" s="101"/>
      <c r="O5" s="101"/>
      <c r="P5" s="105"/>
      <c r="Q5" s="101"/>
      <c r="R5" s="101"/>
      <c r="S5" s="101"/>
      <c r="T5" s="101"/>
      <c r="U5" s="101"/>
      <c r="V5" s="101"/>
      <c r="W5" s="101"/>
      <c r="X5" s="101"/>
    </row>
    <row r="6" spans="1:24" ht="24.5" x14ac:dyDescent="0.35">
      <c r="B6" s="106" t="s">
        <v>556</v>
      </c>
      <c r="C6" s="107"/>
      <c r="D6" s="108"/>
      <c r="E6" s="108"/>
      <c r="F6" s="108"/>
      <c r="G6" s="1584"/>
      <c r="H6" s="1584"/>
      <c r="I6" s="1584"/>
      <c r="J6" s="109"/>
      <c r="K6" s="109"/>
      <c r="L6" s="109"/>
      <c r="M6" s="109"/>
      <c r="N6" s="109"/>
      <c r="O6" s="109"/>
      <c r="P6" s="109"/>
      <c r="Q6" s="109"/>
      <c r="R6" s="101"/>
      <c r="S6" s="101"/>
      <c r="T6" s="101"/>
      <c r="U6" s="101"/>
      <c r="V6" s="101"/>
      <c r="W6" s="101"/>
      <c r="X6" s="101"/>
    </row>
    <row r="7" spans="1:24" x14ac:dyDescent="0.35">
      <c r="C7" s="110"/>
      <c r="D7" s="111"/>
      <c r="E7" s="111"/>
      <c r="F7" s="111"/>
      <c r="G7" s="112"/>
      <c r="H7" s="112"/>
      <c r="I7" s="112"/>
      <c r="J7" s="112"/>
      <c r="K7" s="112"/>
      <c r="L7" s="112"/>
      <c r="M7" s="113"/>
      <c r="N7" s="113"/>
      <c r="O7" s="113"/>
      <c r="P7" s="113"/>
      <c r="Q7" s="113"/>
      <c r="R7" s="113"/>
      <c r="S7" s="113"/>
      <c r="T7" s="113"/>
      <c r="U7" s="113"/>
      <c r="V7" s="113"/>
      <c r="W7" s="113"/>
      <c r="X7" s="113"/>
    </row>
    <row r="8" spans="1:24" ht="36" x14ac:dyDescent="0.35">
      <c r="B8" s="1588" t="s">
        <v>429</v>
      </c>
      <c r="C8" s="1589" t="s">
        <v>675</v>
      </c>
      <c r="D8" s="1590" t="s">
        <v>430</v>
      </c>
      <c r="E8" s="1600" t="s">
        <v>433</v>
      </c>
      <c r="F8" s="1600"/>
      <c r="G8" s="1600"/>
      <c r="H8" s="1585" t="s">
        <v>434</v>
      </c>
      <c r="I8" s="1585"/>
      <c r="J8" s="1585"/>
      <c r="K8" s="1585" t="s">
        <v>435</v>
      </c>
      <c r="L8" s="1585"/>
      <c r="M8" s="1585"/>
      <c r="N8" s="226" t="s">
        <v>436</v>
      </c>
      <c r="O8" s="279" t="s">
        <v>557</v>
      </c>
      <c r="P8" s="279" t="s">
        <v>558</v>
      </c>
      <c r="Q8" s="279" t="s">
        <v>997</v>
      </c>
      <c r="R8" s="101"/>
      <c r="S8" s="101"/>
      <c r="T8" s="101"/>
      <c r="U8" s="101"/>
      <c r="V8" s="101"/>
      <c r="W8" s="101"/>
      <c r="X8" s="101"/>
    </row>
    <row r="9" spans="1:24" ht="27" x14ac:dyDescent="0.35">
      <c r="B9" s="1588"/>
      <c r="C9" s="1589"/>
      <c r="D9" s="1591"/>
      <c r="E9" s="225" t="s">
        <v>438</v>
      </c>
      <c r="F9" s="225" t="s">
        <v>676</v>
      </c>
      <c r="G9" s="225" t="s">
        <v>677</v>
      </c>
      <c r="H9" s="226" t="s">
        <v>438</v>
      </c>
      <c r="I9" s="226" t="s">
        <v>676</v>
      </c>
      <c r="J9" s="227" t="s">
        <v>677</v>
      </c>
      <c r="K9" s="226" t="s">
        <v>438</v>
      </c>
      <c r="L9" s="226" t="s">
        <v>676</v>
      </c>
      <c r="M9" s="227" t="s">
        <v>677</v>
      </c>
      <c r="N9" s="226" t="s">
        <v>438</v>
      </c>
      <c r="O9" s="280" t="s">
        <v>438</v>
      </c>
      <c r="P9" s="280" t="s">
        <v>438</v>
      </c>
      <c r="Q9" s="280" t="s">
        <v>438</v>
      </c>
      <c r="R9" s="101"/>
      <c r="S9" s="101"/>
      <c r="T9" s="101"/>
      <c r="U9" s="101"/>
      <c r="V9" s="101"/>
      <c r="W9" s="101"/>
      <c r="X9" s="101"/>
    </row>
    <row r="10" spans="1:24" ht="17.5" customHeight="1" x14ac:dyDescent="0.35">
      <c r="B10" s="196" t="s">
        <v>368</v>
      </c>
      <c r="C10" s="149" t="s">
        <v>678</v>
      </c>
      <c r="D10" s="149" t="s">
        <v>679</v>
      </c>
      <c r="E10" s="237">
        <v>233300</v>
      </c>
      <c r="F10" s="237">
        <v>100461</v>
      </c>
      <c r="G10" s="237">
        <f>E10-F10</f>
        <v>132839</v>
      </c>
      <c r="H10" s="150">
        <v>239862</v>
      </c>
      <c r="I10" s="150">
        <v>103534</v>
      </c>
      <c r="J10" s="150">
        <f>H10-I10</f>
        <v>136328</v>
      </c>
      <c r="K10" s="150">
        <v>240473</v>
      </c>
      <c r="L10" s="150">
        <v>112915</v>
      </c>
      <c r="M10" s="150">
        <f>K10-L10</f>
        <v>127558</v>
      </c>
      <c r="N10" s="150">
        <v>238069</v>
      </c>
      <c r="O10" s="275">
        <f t="shared" ref="O10:O14" si="0">(E10-H10)/H10</f>
        <v>-2.7357397170039439E-2</v>
      </c>
      <c r="P10" s="275">
        <f>(E10-N10)/N10</f>
        <v>-2.0032007527229501E-2</v>
      </c>
      <c r="Q10" s="277"/>
      <c r="R10" s="101"/>
      <c r="S10" s="101"/>
      <c r="T10" s="101"/>
      <c r="U10" s="101"/>
      <c r="V10" s="101"/>
      <c r="W10" s="101"/>
      <c r="X10" s="101"/>
    </row>
    <row r="11" spans="1:24" ht="17.5" customHeight="1" x14ac:dyDescent="0.35">
      <c r="B11" s="196" t="s">
        <v>370</v>
      </c>
      <c r="C11" s="149" t="s">
        <v>680</v>
      </c>
      <c r="D11" s="149" t="s">
        <v>679</v>
      </c>
      <c r="E11" s="237">
        <v>130386</v>
      </c>
      <c r="F11" s="237">
        <v>1024</v>
      </c>
      <c r="G11" s="237">
        <f>E11-F11</f>
        <v>129362</v>
      </c>
      <c r="H11" s="150">
        <v>170248</v>
      </c>
      <c r="I11" s="150">
        <v>1265</v>
      </c>
      <c r="J11" s="150">
        <f>H11-I11</f>
        <v>168983</v>
      </c>
      <c r="K11" s="150">
        <v>169111</v>
      </c>
      <c r="L11" s="150">
        <v>3969</v>
      </c>
      <c r="M11" s="150">
        <f>K11-L11</f>
        <v>165142</v>
      </c>
      <c r="N11" s="150">
        <v>179749</v>
      </c>
      <c r="O11" s="275">
        <f t="shared" si="0"/>
        <v>-0.2341407828579484</v>
      </c>
      <c r="P11" s="275">
        <f t="shared" ref="P11" si="1">(E11-N11)/N11</f>
        <v>-0.27462183377932564</v>
      </c>
      <c r="Q11" s="277"/>
      <c r="R11" s="101"/>
      <c r="S11" s="101"/>
      <c r="T11" s="101"/>
      <c r="U11" s="101"/>
      <c r="V11" s="101"/>
      <c r="W11" s="101"/>
      <c r="X11" s="101"/>
    </row>
    <row r="12" spans="1:24" ht="17.5" customHeight="1" x14ac:dyDescent="0.35">
      <c r="B12" s="196" t="s">
        <v>442</v>
      </c>
      <c r="C12" s="149" t="s">
        <v>681</v>
      </c>
      <c r="D12" s="149" t="s">
        <v>679</v>
      </c>
      <c r="E12" s="237">
        <v>204848</v>
      </c>
      <c r="F12" s="237">
        <v>21696</v>
      </c>
      <c r="G12" s="237">
        <f>E12-F12</f>
        <v>183152</v>
      </c>
      <c r="H12" s="150">
        <v>225712</v>
      </c>
      <c r="I12" s="150">
        <v>24942</v>
      </c>
      <c r="J12" s="150">
        <f>H12-I12</f>
        <v>200770</v>
      </c>
      <c r="K12" s="150">
        <v>209158</v>
      </c>
      <c r="L12" s="150">
        <v>29743</v>
      </c>
      <c r="M12" s="150">
        <f>K12-L12</f>
        <v>179415</v>
      </c>
      <c r="N12" s="150">
        <v>231360</v>
      </c>
      <c r="O12" s="275">
        <f t="shared" si="0"/>
        <v>-9.2436379102573185E-2</v>
      </c>
      <c r="P12" s="275">
        <f>(E12-N12)/N12</f>
        <v>-0.11459197786998616</v>
      </c>
      <c r="Q12" s="277"/>
      <c r="R12" s="101"/>
      <c r="S12" s="101"/>
      <c r="T12" s="101"/>
      <c r="U12" s="101"/>
      <c r="V12" s="101"/>
      <c r="W12" s="101"/>
      <c r="X12" s="101"/>
    </row>
    <row r="13" spans="1:24" ht="17.5" customHeight="1" x14ac:dyDescent="0.35">
      <c r="B13" s="174" t="s">
        <v>443</v>
      </c>
      <c r="C13" s="152" t="s">
        <v>1139</v>
      </c>
      <c r="D13" s="152" t="s">
        <v>683</v>
      </c>
      <c r="E13" s="237">
        <v>363686</v>
      </c>
      <c r="F13" s="237">
        <v>101485</v>
      </c>
      <c r="G13" s="237">
        <f>E13-F13</f>
        <v>262201</v>
      </c>
      <c r="H13" s="234">
        <v>410110</v>
      </c>
      <c r="I13" s="234">
        <f>I10+I11</f>
        <v>104799</v>
      </c>
      <c r="J13" s="234">
        <f>H13-I13</f>
        <v>305311</v>
      </c>
      <c r="K13" s="234">
        <v>409584</v>
      </c>
      <c r="L13" s="234">
        <v>116884</v>
      </c>
      <c r="M13" s="234">
        <f>K13-L13</f>
        <v>292700</v>
      </c>
      <c r="N13" s="234">
        <v>417818</v>
      </c>
      <c r="O13" s="380">
        <f>(E13-H13)/H13</f>
        <v>-0.1131988978566726</v>
      </c>
      <c r="P13" s="380">
        <f>(E13-N13)/N13</f>
        <v>-0.12955880311523199</v>
      </c>
      <c r="Q13" s="380">
        <f>(E13-N13)/(N13*(1-0.42)-N13)</f>
        <v>0.30847334075055244</v>
      </c>
      <c r="R13" s="101"/>
      <c r="S13" s="101"/>
      <c r="T13" s="101"/>
      <c r="U13" s="101"/>
      <c r="V13" s="101"/>
      <c r="W13" s="101"/>
      <c r="X13" s="101"/>
    </row>
    <row r="14" spans="1:24" ht="17.5" customHeight="1" x14ac:dyDescent="0.35">
      <c r="B14" s="196" t="s">
        <v>445</v>
      </c>
      <c r="C14" s="149" t="s">
        <v>1161</v>
      </c>
      <c r="D14" s="149" t="s">
        <v>679</v>
      </c>
      <c r="E14" s="237">
        <v>438148</v>
      </c>
      <c r="F14" s="237">
        <v>122157</v>
      </c>
      <c r="G14" s="237">
        <f>E14-F14</f>
        <v>315991</v>
      </c>
      <c r="H14" s="150">
        <v>465574</v>
      </c>
      <c r="I14" s="150">
        <v>128475</v>
      </c>
      <c r="J14" s="150">
        <f>H14-I14</f>
        <v>337099</v>
      </c>
      <c r="K14" s="150">
        <v>449631</v>
      </c>
      <c r="L14" s="150">
        <v>142659</v>
      </c>
      <c r="M14" s="150">
        <f>K14-L14</f>
        <v>306972</v>
      </c>
      <c r="N14" s="150">
        <v>469429</v>
      </c>
      <c r="O14" s="275">
        <f t="shared" si="0"/>
        <v>-5.8907928707359086E-2</v>
      </c>
      <c r="P14" s="275">
        <f>(E14-N14)/N14</f>
        <v>-6.6636275134258849E-2</v>
      </c>
      <c r="Q14" s="277"/>
      <c r="R14" s="101"/>
      <c r="S14" s="101"/>
      <c r="T14" s="101"/>
      <c r="U14" s="101"/>
      <c r="V14" s="101"/>
      <c r="W14" s="101"/>
      <c r="X14" s="101"/>
    </row>
    <row r="15" spans="1:24" ht="30" x14ac:dyDescent="0.35">
      <c r="B15" s="174" t="s">
        <v>446</v>
      </c>
      <c r="C15" s="152" t="s">
        <v>685</v>
      </c>
      <c r="D15" s="152" t="s">
        <v>447</v>
      </c>
      <c r="E15" s="238">
        <v>3.4</v>
      </c>
      <c r="F15" s="238">
        <v>22.3</v>
      </c>
      <c r="G15" s="238">
        <v>2.5</v>
      </c>
      <c r="H15" s="235">
        <v>3.7</v>
      </c>
      <c r="I15" s="235">
        <v>19.899999999999999</v>
      </c>
      <c r="J15" s="236">
        <v>2.9</v>
      </c>
      <c r="K15" s="235">
        <v>3.9</v>
      </c>
      <c r="L15" s="235">
        <v>11.9</v>
      </c>
      <c r="M15" s="235">
        <v>3</v>
      </c>
      <c r="N15" s="235">
        <v>3.7</v>
      </c>
      <c r="O15" s="380">
        <f>(E15-H15)/H15</f>
        <v>-8.1081081081081155E-2</v>
      </c>
      <c r="P15" s="380">
        <f>(E15-N15)/N15</f>
        <v>-8.1081081081081155E-2</v>
      </c>
      <c r="Q15" s="281"/>
      <c r="R15" s="101"/>
      <c r="S15" s="101"/>
      <c r="T15" s="101"/>
      <c r="U15" s="101"/>
      <c r="V15" s="101"/>
      <c r="W15" s="101"/>
      <c r="X15" s="101"/>
    </row>
    <row r="16" spans="1:24" x14ac:dyDescent="0.35">
      <c r="B16" s="114"/>
      <c r="C16" s="115"/>
      <c r="D16" s="116"/>
      <c r="E16" s="481"/>
      <c r="F16" s="481"/>
      <c r="G16" s="481"/>
      <c r="H16" s="117"/>
      <c r="I16" s="117"/>
      <c r="J16" s="117"/>
      <c r="K16" s="117"/>
      <c r="L16" s="117"/>
      <c r="M16" s="34"/>
      <c r="N16" s="101"/>
      <c r="O16" s="101"/>
      <c r="P16" s="101"/>
      <c r="Q16" s="101"/>
      <c r="R16" s="101"/>
      <c r="S16" s="101"/>
      <c r="T16" s="101"/>
      <c r="U16" s="101"/>
      <c r="V16" s="101"/>
      <c r="W16" s="101"/>
      <c r="X16" s="101"/>
    </row>
    <row r="17" spans="2:24" ht="36" x14ac:dyDescent="0.35">
      <c r="B17" s="228" t="s">
        <v>559</v>
      </c>
      <c r="C17" s="153" t="s">
        <v>675</v>
      </c>
      <c r="D17" s="229" t="s">
        <v>430</v>
      </c>
      <c r="E17" s="230" t="s">
        <v>433</v>
      </c>
      <c r="F17" s="231" t="s">
        <v>434</v>
      </c>
      <c r="G17" s="231" t="s">
        <v>435</v>
      </c>
      <c r="H17" s="231" t="s">
        <v>436</v>
      </c>
      <c r="I17" s="278" t="str">
        <f>O8</f>
        <v>Performance against prior year</v>
      </c>
      <c r="J17" s="278" t="str">
        <f>P8</f>
        <v>Performance against 2019/20 baseline</v>
      </c>
      <c r="K17" s="278" t="str">
        <f>Q8</f>
        <v>Progress towards 2030 target</v>
      </c>
      <c r="M17" s="34"/>
      <c r="N17" s="101"/>
      <c r="O17" s="101"/>
      <c r="P17" s="101"/>
      <c r="Q17" s="101"/>
      <c r="R17" s="101"/>
      <c r="S17" s="101"/>
      <c r="T17" s="101"/>
      <c r="U17" s="101"/>
      <c r="V17" s="101"/>
      <c r="W17" s="101"/>
      <c r="X17" s="101"/>
    </row>
    <row r="18" spans="2:24" ht="15" customHeight="1" x14ac:dyDescent="0.35">
      <c r="B18" s="154" t="s">
        <v>560</v>
      </c>
      <c r="C18" s="154" t="s">
        <v>688</v>
      </c>
      <c r="D18" s="155" t="s">
        <v>581</v>
      </c>
      <c r="E18" s="239">
        <v>2495475</v>
      </c>
      <c r="F18" s="156">
        <v>2978197</v>
      </c>
      <c r="G18" s="156">
        <v>2812518</v>
      </c>
      <c r="H18" s="156">
        <v>3433660</v>
      </c>
      <c r="I18" s="275">
        <f>(E18-F18)/F18</f>
        <v>-0.16208531537705531</v>
      </c>
      <c r="J18" s="275">
        <f>(E18-H18)/H18</f>
        <v>-0.27323177018108957</v>
      </c>
      <c r="K18" s="275">
        <f>(E18-H18)/((1-0.42)*H18-H18)</f>
        <v>0.6505518337644991</v>
      </c>
      <c r="M18" s="34"/>
      <c r="N18" s="101"/>
      <c r="O18" s="101"/>
      <c r="P18" s="101"/>
      <c r="Q18" s="101"/>
      <c r="R18" s="101"/>
      <c r="S18" s="101"/>
      <c r="T18" s="101"/>
      <c r="U18" s="101"/>
      <c r="V18" s="101"/>
      <c r="W18" s="101"/>
      <c r="X18" s="101"/>
    </row>
    <row r="19" spans="2:24" ht="15" customHeight="1" x14ac:dyDescent="0.35">
      <c r="B19" s="154" t="s">
        <v>562</v>
      </c>
      <c r="C19" s="154" t="s">
        <v>689</v>
      </c>
      <c r="D19" s="155" t="s">
        <v>581</v>
      </c>
      <c r="E19" s="239">
        <v>177329</v>
      </c>
      <c r="F19" s="156">
        <v>163641</v>
      </c>
      <c r="G19" s="156">
        <v>242456</v>
      </c>
      <c r="H19" s="156">
        <v>367141</v>
      </c>
      <c r="I19" s="275">
        <f t="shared" ref="I19:I25" si="2">(E19-F19)/F19</f>
        <v>8.3646518904186604E-2</v>
      </c>
      <c r="J19" s="275">
        <f t="shared" ref="J19:J25" si="3">(E19-H19)/H19</f>
        <v>-0.5170002805461662</v>
      </c>
      <c r="K19" s="387"/>
      <c r="M19" s="34"/>
      <c r="N19" s="101"/>
      <c r="O19" s="101"/>
      <c r="P19" s="101"/>
      <c r="Q19" s="101"/>
      <c r="R19" s="101"/>
      <c r="S19" s="101"/>
      <c r="T19" s="101"/>
      <c r="U19" s="101"/>
      <c r="V19" s="101"/>
      <c r="W19" s="101"/>
      <c r="X19" s="101"/>
    </row>
    <row r="20" spans="2:24" ht="15" customHeight="1" x14ac:dyDescent="0.35">
      <c r="B20" s="154" t="s">
        <v>563</v>
      </c>
      <c r="C20" s="154" t="s">
        <v>690</v>
      </c>
      <c r="D20" s="155" t="s">
        <v>581</v>
      </c>
      <c r="E20" s="239">
        <v>41018</v>
      </c>
      <c r="F20" s="156">
        <v>43505</v>
      </c>
      <c r="G20" s="156">
        <v>36695</v>
      </c>
      <c r="H20" s="156">
        <v>38199</v>
      </c>
      <c r="I20" s="275">
        <f t="shared" si="2"/>
        <v>-5.7165843006550969E-2</v>
      </c>
      <c r="J20" s="275">
        <f t="shared" si="3"/>
        <v>7.379774339642399E-2</v>
      </c>
      <c r="K20" s="387"/>
      <c r="M20" s="34"/>
      <c r="N20" s="101"/>
      <c r="O20" s="338"/>
      <c r="P20" s="101"/>
      <c r="Q20" s="101"/>
      <c r="R20" s="101"/>
      <c r="S20" s="101"/>
      <c r="T20" s="101"/>
      <c r="U20" s="101"/>
      <c r="V20" s="101"/>
      <c r="W20" s="101"/>
      <c r="X20" s="101"/>
    </row>
    <row r="21" spans="2:24" ht="15" customHeight="1" x14ac:dyDescent="0.35">
      <c r="B21" s="154" t="s">
        <v>564</v>
      </c>
      <c r="C21" s="154" t="s">
        <v>691</v>
      </c>
      <c r="D21" s="155" t="s">
        <v>581</v>
      </c>
      <c r="E21" s="239">
        <v>81999</v>
      </c>
      <c r="F21" s="156">
        <v>158625</v>
      </c>
      <c r="G21" s="156">
        <v>94348</v>
      </c>
      <c r="H21" s="156">
        <v>97424</v>
      </c>
      <c r="I21" s="275">
        <f t="shared" si="2"/>
        <v>-0.48306382978723406</v>
      </c>
      <c r="J21" s="275">
        <f t="shared" si="3"/>
        <v>-0.15832854327475776</v>
      </c>
      <c r="K21" s="387"/>
      <c r="M21" s="34"/>
      <c r="N21" s="101"/>
      <c r="O21" s="101"/>
      <c r="P21" s="101"/>
      <c r="Q21" s="101"/>
      <c r="R21" s="101"/>
      <c r="S21" s="101"/>
      <c r="T21" s="101"/>
      <c r="U21" s="101"/>
      <c r="V21" s="101"/>
      <c r="W21" s="101"/>
      <c r="X21" s="101"/>
    </row>
    <row r="22" spans="2:24" ht="15" customHeight="1" x14ac:dyDescent="0.35">
      <c r="B22" s="154" t="s">
        <v>565</v>
      </c>
      <c r="C22" s="154" t="s">
        <v>692</v>
      </c>
      <c r="D22" s="155" t="s">
        <v>581</v>
      </c>
      <c r="E22" s="239">
        <v>4004</v>
      </c>
      <c r="F22" s="156">
        <v>5220</v>
      </c>
      <c r="G22" s="156">
        <v>4549</v>
      </c>
      <c r="H22" s="156">
        <v>3439</v>
      </c>
      <c r="I22" s="275">
        <f t="shared" si="2"/>
        <v>-0.23295019157088123</v>
      </c>
      <c r="J22" s="275">
        <f t="shared" si="3"/>
        <v>0.16429194533294561</v>
      </c>
      <c r="K22" s="387"/>
      <c r="M22" s="34"/>
      <c r="N22" s="101"/>
      <c r="O22" s="101"/>
      <c r="P22" s="101"/>
      <c r="Q22" s="101"/>
      <c r="R22" s="101"/>
      <c r="S22" s="101"/>
      <c r="T22" s="101"/>
      <c r="U22" s="101"/>
      <c r="V22" s="101"/>
      <c r="W22" s="101"/>
      <c r="X22" s="101"/>
    </row>
    <row r="23" spans="2:24" ht="15" customHeight="1" x14ac:dyDescent="0.35">
      <c r="B23" s="154" t="s">
        <v>566</v>
      </c>
      <c r="C23" s="154" t="s">
        <v>693</v>
      </c>
      <c r="D23" s="155" t="s">
        <v>581</v>
      </c>
      <c r="E23" s="239">
        <v>5077.3333333333303</v>
      </c>
      <c r="F23" s="156">
        <v>1336</v>
      </c>
      <c r="G23" s="156">
        <v>67</v>
      </c>
      <c r="H23" s="156">
        <v>9202</v>
      </c>
      <c r="I23" s="275">
        <f t="shared" si="2"/>
        <v>2.8003992015968042</v>
      </c>
      <c r="J23" s="275">
        <f t="shared" si="3"/>
        <v>-0.44823589074838838</v>
      </c>
      <c r="K23" s="387"/>
      <c r="M23" s="34"/>
      <c r="N23" s="101"/>
      <c r="O23" s="101"/>
      <c r="P23" s="101"/>
      <c r="Q23" s="101"/>
      <c r="R23" s="101"/>
      <c r="S23" s="101"/>
      <c r="T23" s="101"/>
      <c r="U23" s="101"/>
      <c r="V23" s="101"/>
      <c r="W23" s="101"/>
      <c r="X23" s="101"/>
    </row>
    <row r="24" spans="2:24" ht="15" customHeight="1" x14ac:dyDescent="0.35">
      <c r="B24" s="154" t="s">
        <v>567</v>
      </c>
      <c r="C24" s="154" t="s">
        <v>694</v>
      </c>
      <c r="D24" s="155" t="s">
        <v>581</v>
      </c>
      <c r="E24" s="239">
        <v>13627</v>
      </c>
      <c r="F24" s="156">
        <v>13517.48</v>
      </c>
      <c r="G24" s="156">
        <v>25763.02</v>
      </c>
      <c r="H24" s="156">
        <v>25763.02</v>
      </c>
      <c r="I24" s="275">
        <f t="shared" si="2"/>
        <v>8.1021018710588401E-3</v>
      </c>
      <c r="J24" s="275">
        <f t="shared" si="3"/>
        <v>-0.47106356320027698</v>
      </c>
      <c r="K24" s="387"/>
      <c r="M24" s="34"/>
      <c r="N24" s="101"/>
      <c r="O24" s="101"/>
      <c r="P24" s="101"/>
      <c r="Q24" s="101"/>
      <c r="R24" s="101"/>
      <c r="S24" s="101"/>
      <c r="T24" s="101"/>
      <c r="U24" s="101"/>
      <c r="V24" s="101"/>
      <c r="W24" s="101"/>
      <c r="X24" s="101"/>
    </row>
    <row r="25" spans="2:24" ht="15" customHeight="1" x14ac:dyDescent="0.35">
      <c r="B25" s="154" t="s">
        <v>568</v>
      </c>
      <c r="C25" s="154" t="s">
        <v>695</v>
      </c>
      <c r="D25" s="155" t="s">
        <v>581</v>
      </c>
      <c r="E25" s="239">
        <v>523</v>
      </c>
      <c r="F25" s="156">
        <v>698</v>
      </c>
      <c r="G25" s="156">
        <v>602</v>
      </c>
      <c r="H25" s="156">
        <v>5094</v>
      </c>
      <c r="I25" s="275">
        <f t="shared" si="2"/>
        <v>-0.25071633237822349</v>
      </c>
      <c r="J25" s="275">
        <f t="shared" si="3"/>
        <v>-0.89733019238319589</v>
      </c>
      <c r="K25" s="387"/>
      <c r="M25" s="34"/>
      <c r="N25" s="101"/>
      <c r="O25" s="101"/>
      <c r="P25" s="101"/>
      <c r="Q25" s="101"/>
      <c r="R25" s="101"/>
      <c r="S25" s="101"/>
      <c r="T25" s="101"/>
      <c r="U25" s="101"/>
      <c r="V25" s="101"/>
      <c r="W25" s="101"/>
      <c r="X25" s="101"/>
    </row>
    <row r="26" spans="2:24" ht="15" customHeight="1" x14ac:dyDescent="0.35">
      <c r="B26" s="154" t="s">
        <v>569</v>
      </c>
      <c r="C26" s="154" t="s">
        <v>696</v>
      </c>
      <c r="D26" s="155" t="s">
        <v>581</v>
      </c>
      <c r="E26" s="239">
        <v>0</v>
      </c>
      <c r="F26" s="156">
        <v>0</v>
      </c>
      <c r="G26" s="156">
        <v>0</v>
      </c>
      <c r="H26" s="156">
        <v>0</v>
      </c>
      <c r="I26" s="275"/>
      <c r="J26" s="275"/>
      <c r="K26" s="387"/>
      <c r="M26" s="34"/>
      <c r="N26" s="101"/>
      <c r="O26" s="101"/>
      <c r="P26" s="101"/>
      <c r="Q26" s="101"/>
      <c r="R26" s="101"/>
      <c r="S26" s="101"/>
      <c r="T26" s="101"/>
      <c r="U26" s="101"/>
      <c r="V26" s="101"/>
      <c r="W26" s="101"/>
      <c r="X26" s="101"/>
    </row>
    <row r="27" spans="2:24" ht="15" customHeight="1" x14ac:dyDescent="0.35">
      <c r="B27" s="154" t="s">
        <v>570</v>
      </c>
      <c r="C27" s="154" t="s">
        <v>697</v>
      </c>
      <c r="D27" s="155" t="s">
        <v>581</v>
      </c>
      <c r="E27" s="239">
        <v>0</v>
      </c>
      <c r="F27" s="156">
        <v>0</v>
      </c>
      <c r="G27" s="156">
        <v>0</v>
      </c>
      <c r="H27" s="156">
        <v>0</v>
      </c>
      <c r="I27" s="275"/>
      <c r="J27" s="275"/>
      <c r="K27" s="387"/>
      <c r="M27" s="34"/>
      <c r="N27" s="101"/>
      <c r="O27" s="101"/>
      <c r="P27" s="101"/>
      <c r="Q27" s="101"/>
      <c r="R27" s="101"/>
      <c r="S27" s="101"/>
      <c r="T27" s="101"/>
      <c r="U27" s="101"/>
      <c r="V27" s="101"/>
      <c r="W27" s="101"/>
      <c r="X27" s="101"/>
    </row>
    <row r="28" spans="2:24" ht="15" customHeight="1" x14ac:dyDescent="0.35">
      <c r="B28" s="154" t="s">
        <v>571</v>
      </c>
      <c r="C28" s="154" t="s">
        <v>698</v>
      </c>
      <c r="D28" s="155" t="s">
        <v>581</v>
      </c>
      <c r="E28" s="239">
        <v>0</v>
      </c>
      <c r="F28" s="156">
        <v>0</v>
      </c>
      <c r="G28" s="156">
        <v>0</v>
      </c>
      <c r="H28" s="156">
        <v>0</v>
      </c>
      <c r="I28" s="275"/>
      <c r="J28" s="275"/>
      <c r="K28" s="387"/>
      <c r="M28" s="34"/>
      <c r="N28" s="101"/>
      <c r="O28" s="101"/>
      <c r="P28" s="101"/>
      <c r="Q28" s="101"/>
      <c r="R28" s="101"/>
      <c r="S28" s="101"/>
      <c r="T28" s="101"/>
      <c r="U28" s="101"/>
      <c r="V28" s="101"/>
      <c r="W28" s="101"/>
      <c r="X28" s="101"/>
    </row>
    <row r="29" spans="2:24" ht="15" customHeight="1" x14ac:dyDescent="0.35">
      <c r="B29" s="154" t="s">
        <v>572</v>
      </c>
      <c r="C29" s="154" t="s">
        <v>699</v>
      </c>
      <c r="D29" s="155" t="s">
        <v>581</v>
      </c>
      <c r="E29" s="239">
        <v>0</v>
      </c>
      <c r="F29" s="156">
        <v>0</v>
      </c>
      <c r="G29" s="156">
        <v>0</v>
      </c>
      <c r="H29" s="156">
        <v>0</v>
      </c>
      <c r="I29" s="275"/>
      <c r="J29" s="275"/>
      <c r="K29" s="387"/>
      <c r="M29" s="34"/>
      <c r="N29" s="101"/>
      <c r="O29" s="101"/>
      <c r="P29" s="101"/>
      <c r="Q29" s="101"/>
      <c r="R29" s="101"/>
      <c r="S29" s="101"/>
      <c r="T29" s="101"/>
      <c r="U29" s="101"/>
      <c r="V29" s="101"/>
      <c r="W29" s="101"/>
      <c r="X29" s="101"/>
    </row>
    <row r="30" spans="2:24" ht="15" customHeight="1" x14ac:dyDescent="0.35">
      <c r="B30" s="154" t="s">
        <v>573</v>
      </c>
      <c r="C30" s="154" t="s">
        <v>700</v>
      </c>
      <c r="D30" s="155" t="s">
        <v>581</v>
      </c>
      <c r="E30" s="239">
        <v>0</v>
      </c>
      <c r="F30" s="156">
        <v>0</v>
      </c>
      <c r="G30" s="156">
        <v>0</v>
      </c>
      <c r="H30" s="156">
        <v>0</v>
      </c>
      <c r="I30" s="275"/>
      <c r="J30" s="275"/>
      <c r="K30" s="387"/>
      <c r="M30" s="34"/>
      <c r="N30" s="101"/>
      <c r="O30" s="101"/>
      <c r="P30" s="101"/>
      <c r="Q30" s="101"/>
      <c r="R30" s="101"/>
      <c r="S30" s="101"/>
      <c r="T30" s="101"/>
      <c r="U30" s="101"/>
      <c r="V30" s="101"/>
      <c r="W30" s="101"/>
      <c r="X30" s="101"/>
    </row>
    <row r="31" spans="2:24" ht="15" customHeight="1" x14ac:dyDescent="0.35">
      <c r="B31" s="154" t="s">
        <v>574</v>
      </c>
      <c r="C31" s="154" t="s">
        <v>701</v>
      </c>
      <c r="D31" s="155" t="s">
        <v>581</v>
      </c>
      <c r="E31" s="239">
        <v>0</v>
      </c>
      <c r="F31" s="156">
        <v>0</v>
      </c>
      <c r="G31" s="156">
        <v>0</v>
      </c>
      <c r="H31" s="156">
        <v>0</v>
      </c>
      <c r="I31" s="275"/>
      <c r="J31" s="275"/>
      <c r="K31" s="387"/>
      <c r="M31" s="34"/>
      <c r="N31" s="101"/>
      <c r="O31" s="101"/>
      <c r="P31" s="101"/>
      <c r="Q31" s="101"/>
      <c r="R31" s="101"/>
      <c r="S31" s="101"/>
      <c r="T31" s="101"/>
      <c r="U31" s="101"/>
      <c r="V31" s="101"/>
      <c r="W31" s="101"/>
      <c r="X31" s="101"/>
    </row>
    <row r="32" spans="2:24" ht="15" customHeight="1" x14ac:dyDescent="0.35">
      <c r="B32" s="154" t="s">
        <v>575</v>
      </c>
      <c r="C32" s="154" t="s">
        <v>702</v>
      </c>
      <c r="D32" s="155" t="s">
        <v>581</v>
      </c>
      <c r="E32" s="239">
        <v>125196</v>
      </c>
      <c r="F32" s="156">
        <v>118356</v>
      </c>
      <c r="G32" s="156">
        <v>119005</v>
      </c>
      <c r="H32" s="156">
        <v>129337</v>
      </c>
      <c r="I32" s="275">
        <f>(E32-F32)/F32</f>
        <v>5.779174693298185E-2</v>
      </c>
      <c r="J32" s="275">
        <f>(E32-H32)/H32</f>
        <v>-3.2017133534874009E-2</v>
      </c>
      <c r="K32" s="387"/>
      <c r="M32" s="34"/>
      <c r="N32" s="101"/>
      <c r="O32" s="101"/>
      <c r="P32" s="101"/>
      <c r="Q32" s="101"/>
      <c r="R32" s="101"/>
      <c r="S32" s="101"/>
      <c r="T32" s="101"/>
      <c r="U32" s="101"/>
      <c r="V32" s="101"/>
      <c r="W32" s="101"/>
      <c r="X32" s="101"/>
    </row>
    <row r="33" spans="2:24" ht="16.5" x14ac:dyDescent="0.35">
      <c r="B33" s="157" t="s">
        <v>703</v>
      </c>
      <c r="C33" s="157"/>
      <c r="D33" s="157" t="s">
        <v>704</v>
      </c>
      <c r="E33" s="239">
        <f>SUM(E18:E32)</f>
        <v>2944248.3333333335</v>
      </c>
      <c r="F33" s="158">
        <f>SUM(F18:F32)</f>
        <v>3483095.48</v>
      </c>
      <c r="G33" s="158">
        <f>SUM(G18:G32)</f>
        <v>3336003.02</v>
      </c>
      <c r="H33" s="158">
        <f>SUM(H18:H32)</f>
        <v>4109259.02</v>
      </c>
      <c r="I33" s="275">
        <f>(E33-F33)/F33</f>
        <v>-0.15470352442553958</v>
      </c>
      <c r="J33" s="275">
        <f>(E33-H33)/H33</f>
        <v>-0.28350870095958725</v>
      </c>
      <c r="K33" s="387"/>
      <c r="M33" s="34"/>
      <c r="N33" s="101"/>
      <c r="O33" s="101"/>
      <c r="P33" s="101"/>
      <c r="Q33" s="101"/>
      <c r="R33" s="101"/>
      <c r="S33" s="101"/>
      <c r="T33" s="101"/>
      <c r="U33" s="101"/>
      <c r="V33" s="101"/>
      <c r="W33" s="101"/>
      <c r="X33" s="101"/>
    </row>
    <row r="34" spans="2:24" x14ac:dyDescent="0.35">
      <c r="B34" s="118"/>
      <c r="C34" s="119"/>
      <c r="D34" s="120"/>
      <c r="E34" s="120"/>
      <c r="F34" s="120"/>
      <c r="G34" s="121"/>
      <c r="H34" s="121"/>
      <c r="I34" s="117"/>
      <c r="J34" s="117"/>
      <c r="K34" s="117"/>
      <c r="L34" s="117"/>
      <c r="M34" s="34"/>
      <c r="N34" s="101"/>
      <c r="O34" s="101"/>
      <c r="P34" s="101"/>
      <c r="Q34" s="101"/>
      <c r="R34" s="101"/>
      <c r="S34" s="101"/>
      <c r="T34" s="101"/>
      <c r="U34" s="101"/>
      <c r="V34" s="101"/>
      <c r="W34" s="101"/>
      <c r="X34" s="101"/>
    </row>
    <row r="35" spans="2:24" ht="17.5" x14ac:dyDescent="0.35">
      <c r="B35" s="228" t="s">
        <v>705</v>
      </c>
      <c r="C35" s="159"/>
      <c r="D35" s="229" t="s">
        <v>430</v>
      </c>
      <c r="E35" s="267" t="str">
        <f>E17</f>
        <v>2022/23</v>
      </c>
      <c r="F35" s="268" t="str">
        <f>F17</f>
        <v>2021/22</v>
      </c>
      <c r="G35" s="268" t="str">
        <f>G17</f>
        <v>2020/21</v>
      </c>
      <c r="H35" s="268" t="str">
        <f>H17</f>
        <v>2019/20</v>
      </c>
      <c r="I35" s="121"/>
      <c r="K35" s="122"/>
      <c r="M35" s="122"/>
      <c r="N35" s="122" t="s">
        <v>1162</v>
      </c>
      <c r="O35" s="101"/>
      <c r="P35" s="101"/>
      <c r="Q35" s="101"/>
      <c r="R35" s="101"/>
      <c r="S35" s="101"/>
      <c r="T35" s="101"/>
      <c r="U35" s="101"/>
      <c r="V35" s="101"/>
      <c r="W35" s="101"/>
      <c r="X35" s="101"/>
    </row>
    <row r="36" spans="2:24" ht="16.5" x14ac:dyDescent="0.35">
      <c r="B36" s="160" t="str">
        <f>B10</f>
        <v>Total Scope 1 GHG emissions</v>
      </c>
      <c r="C36" s="161" t="s">
        <v>438</v>
      </c>
      <c r="D36" s="155" t="s">
        <v>581</v>
      </c>
      <c r="E36" s="240">
        <f>E10</f>
        <v>233300</v>
      </c>
      <c r="F36" s="162">
        <f>H10</f>
        <v>239862</v>
      </c>
      <c r="G36" s="162">
        <f>K10</f>
        <v>240473</v>
      </c>
      <c r="H36" s="162">
        <f>N10</f>
        <v>238069</v>
      </c>
      <c r="K36" s="122"/>
      <c r="M36" s="122" t="s">
        <v>1163</v>
      </c>
      <c r="N36" s="381">
        <f>E36/$E$40</f>
        <v>7.0527397611580958E-2</v>
      </c>
      <c r="O36" s="101"/>
      <c r="P36" s="101"/>
      <c r="Q36" s="101"/>
      <c r="R36" s="101"/>
      <c r="S36" s="101"/>
      <c r="T36" s="101"/>
      <c r="U36" s="101"/>
      <c r="V36" s="101"/>
      <c r="W36" s="101"/>
      <c r="X36" s="101"/>
    </row>
    <row r="37" spans="2:24" ht="16.5" x14ac:dyDescent="0.35">
      <c r="B37" s="160" t="str">
        <f>B11</f>
        <v>Total Scope 2 GHG emissions (market-based)</v>
      </c>
      <c r="C37" s="161" t="s">
        <v>438</v>
      </c>
      <c r="D37" s="155" t="s">
        <v>581</v>
      </c>
      <c r="E37" s="240">
        <f>E11</f>
        <v>130386</v>
      </c>
      <c r="F37" s="162">
        <f>H11</f>
        <v>170248</v>
      </c>
      <c r="G37" s="162">
        <f>K11</f>
        <v>169111</v>
      </c>
      <c r="H37" s="162">
        <f>N11</f>
        <v>179749</v>
      </c>
      <c r="K37" s="122"/>
      <c r="M37" s="122" t="s">
        <v>1164</v>
      </c>
      <c r="N37" s="381">
        <f>E37/$E$40</f>
        <v>3.941613915552334E-2</v>
      </c>
      <c r="O37" s="101"/>
      <c r="P37" s="101"/>
      <c r="Q37" s="101"/>
      <c r="R37" s="101"/>
      <c r="S37" s="101"/>
      <c r="T37" s="101"/>
      <c r="U37" s="101"/>
      <c r="V37" s="101"/>
      <c r="W37" s="101"/>
      <c r="X37" s="101"/>
    </row>
    <row r="38" spans="2:24" ht="19.5" customHeight="1" x14ac:dyDescent="0.35">
      <c r="B38" s="160" t="str">
        <f>"Scope 3 - "&amp;B18</f>
        <v>Scope 3 - Total Scope 3 (Category 1) Purchased goods and services GHG emissions</v>
      </c>
      <c r="C38" s="154" t="s">
        <v>706</v>
      </c>
      <c r="D38" s="155" t="s">
        <v>581</v>
      </c>
      <c r="E38" s="240">
        <f>E18</f>
        <v>2495475</v>
      </c>
      <c r="F38" s="162">
        <f>F18</f>
        <v>2978197</v>
      </c>
      <c r="G38" s="162">
        <f>G18</f>
        <v>2812518</v>
      </c>
      <c r="H38" s="162">
        <f>H18</f>
        <v>3433660</v>
      </c>
      <c r="K38" s="122"/>
      <c r="M38" s="122" t="s">
        <v>1165</v>
      </c>
      <c r="N38" s="381">
        <f>E38/$E$40</f>
        <v>0.75439073105340759</v>
      </c>
      <c r="O38" s="101"/>
      <c r="P38" s="101"/>
      <c r="Q38" s="101"/>
      <c r="R38" s="101"/>
      <c r="S38" s="101"/>
      <c r="T38" s="101"/>
      <c r="U38" s="101"/>
      <c r="V38" s="101"/>
      <c r="W38" s="101"/>
      <c r="X38" s="101"/>
    </row>
    <row r="39" spans="2:24" ht="16.5" x14ac:dyDescent="0.35">
      <c r="B39" s="160" t="str">
        <f>"Scope 3 - All other categories"</f>
        <v>Scope 3 - All other categories</v>
      </c>
      <c r="C39" s="161" t="s">
        <v>707</v>
      </c>
      <c r="D39" s="155" t="s">
        <v>581</v>
      </c>
      <c r="E39" s="240">
        <f>E33-E18</f>
        <v>448773.33333333349</v>
      </c>
      <c r="F39" s="162">
        <f>F33-F18</f>
        <v>504898.48</v>
      </c>
      <c r="G39" s="162">
        <f>G33-G18</f>
        <v>523485.02</v>
      </c>
      <c r="H39" s="162">
        <f>H33-H18</f>
        <v>675599.02</v>
      </c>
      <c r="K39" s="122"/>
      <c r="M39" s="122" t="s">
        <v>1166</v>
      </c>
      <c r="N39" s="381">
        <f>E39/$E$40</f>
        <v>0.13566573217948807</v>
      </c>
      <c r="O39" s="101"/>
      <c r="P39" s="101"/>
      <c r="Q39" s="101"/>
      <c r="R39" s="101"/>
      <c r="S39" s="101"/>
      <c r="T39" s="101"/>
      <c r="U39" s="101"/>
      <c r="V39" s="101"/>
      <c r="W39" s="101"/>
      <c r="X39" s="101"/>
    </row>
    <row r="40" spans="2:24" ht="16.5" x14ac:dyDescent="0.35">
      <c r="B40" s="232" t="s">
        <v>708</v>
      </c>
      <c r="C40" s="232"/>
      <c r="D40" s="157" t="s">
        <v>704</v>
      </c>
      <c r="E40" s="240">
        <f>SUM(E36:E39)</f>
        <v>3307934.3333333335</v>
      </c>
      <c r="F40" s="233">
        <f t="shared" ref="F40:H40" si="4">SUM(F36:F39)</f>
        <v>3893205.48</v>
      </c>
      <c r="G40" s="233">
        <f t="shared" si="4"/>
        <v>3745587.02</v>
      </c>
      <c r="H40" s="233">
        <f t="shared" si="4"/>
        <v>4527077.0199999996</v>
      </c>
      <c r="K40" s="122"/>
      <c r="M40" s="122"/>
      <c r="N40" s="381">
        <f>E40/$E$40</f>
        <v>1</v>
      </c>
      <c r="O40" s="101"/>
      <c r="P40" s="101"/>
      <c r="Q40" s="101"/>
      <c r="R40" s="101"/>
      <c r="S40" s="101"/>
      <c r="T40" s="101"/>
      <c r="U40" s="101"/>
      <c r="V40" s="101"/>
      <c r="W40" s="101"/>
      <c r="X40" s="101"/>
    </row>
    <row r="41" spans="2:24" x14ac:dyDescent="0.35">
      <c r="B41" s="120"/>
      <c r="C41" s="119"/>
      <c r="D41" s="120"/>
      <c r="E41" s="120"/>
      <c r="F41" s="120"/>
      <c r="G41" s="121"/>
      <c r="H41" s="121"/>
      <c r="I41" s="121"/>
      <c r="J41" s="122"/>
      <c r="K41" s="122"/>
      <c r="L41" s="122"/>
      <c r="M41" s="101"/>
      <c r="N41" s="101">
        <f>7.1+3.9+75.4+13.6</f>
        <v>100</v>
      </c>
      <c r="O41" s="101"/>
      <c r="P41" s="101"/>
      <c r="Q41" s="101"/>
      <c r="R41" s="101"/>
      <c r="S41" s="101"/>
      <c r="T41" s="101"/>
      <c r="U41" s="101"/>
      <c r="V41" s="101"/>
      <c r="W41" s="101"/>
      <c r="X41" s="101"/>
    </row>
    <row r="42" spans="2:24" ht="17.5" x14ac:dyDescent="0.35">
      <c r="B42" s="228" t="s">
        <v>662</v>
      </c>
      <c r="C42" s="159"/>
      <c r="D42" s="229" t="s">
        <v>430</v>
      </c>
      <c r="E42" s="468" t="str">
        <f>E35</f>
        <v>2022/23</v>
      </c>
      <c r="F42" s="268" t="str">
        <f>F35</f>
        <v>2021/22</v>
      </c>
      <c r="G42" s="268" t="str">
        <f>G35</f>
        <v>2020/21</v>
      </c>
      <c r="H42" s="268" t="str">
        <f>H35</f>
        <v>2019/20</v>
      </c>
      <c r="I42" s="121"/>
      <c r="J42" s="122"/>
      <c r="K42" s="122"/>
      <c r="L42" s="122"/>
      <c r="M42" s="101"/>
      <c r="N42" s="101"/>
      <c r="O42" s="101"/>
      <c r="P42" s="101"/>
      <c r="Q42" s="101"/>
      <c r="R42" s="101"/>
      <c r="S42" s="101"/>
      <c r="T42" s="101"/>
      <c r="U42" s="101"/>
      <c r="V42" s="101"/>
      <c r="W42" s="101"/>
      <c r="X42" s="101"/>
    </row>
    <row r="43" spans="2:24" ht="19.5" customHeight="1" x14ac:dyDescent="0.35">
      <c r="B43" s="160" t="s">
        <v>663</v>
      </c>
      <c r="C43" s="161" t="s">
        <v>1167</v>
      </c>
      <c r="D43" s="155" t="s">
        <v>664</v>
      </c>
      <c r="E43" s="240">
        <v>108126</v>
      </c>
      <c r="F43" s="162">
        <v>109536</v>
      </c>
      <c r="G43" s="162">
        <v>106223</v>
      </c>
      <c r="H43" s="162">
        <v>113152</v>
      </c>
      <c r="I43" s="121"/>
      <c r="J43" s="122"/>
      <c r="K43" s="122"/>
      <c r="L43" s="122"/>
      <c r="M43" s="101"/>
      <c r="N43" s="101"/>
      <c r="O43" s="101"/>
      <c r="P43" s="101"/>
      <c r="Q43" s="101"/>
      <c r="R43" s="101"/>
      <c r="S43" s="101"/>
      <c r="T43" s="101"/>
      <c r="U43" s="101"/>
      <c r="V43" s="101"/>
      <c r="W43" s="101"/>
      <c r="X43" s="101"/>
    </row>
    <row r="44" spans="2:24" x14ac:dyDescent="0.35">
      <c r="B44" s="120"/>
      <c r="C44" s="119"/>
      <c r="D44" s="120"/>
      <c r="E44" s="120"/>
      <c r="F44" s="120"/>
      <c r="G44" s="120"/>
      <c r="H44" s="120"/>
      <c r="I44" s="120"/>
      <c r="J44" s="122"/>
      <c r="K44" s="122"/>
      <c r="L44" s="122"/>
      <c r="M44" s="101"/>
      <c r="N44" s="101"/>
      <c r="O44" s="101"/>
      <c r="P44" s="101"/>
      <c r="Q44" s="101"/>
      <c r="R44" s="101"/>
      <c r="S44" s="101"/>
      <c r="T44" s="101"/>
      <c r="U44" s="101"/>
      <c r="V44" s="101"/>
      <c r="W44" s="101"/>
      <c r="X44" s="101"/>
    </row>
    <row r="45" spans="2:24" ht="24.5" x14ac:dyDescent="0.35">
      <c r="B45" s="123" t="s">
        <v>607</v>
      </c>
      <c r="C45" s="107"/>
      <c r="D45" s="108"/>
      <c r="E45" s="108"/>
      <c r="F45" s="108"/>
      <c r="G45" s="1584"/>
      <c r="H45" s="1584"/>
      <c r="I45" s="1584"/>
      <c r="J45" s="109"/>
      <c r="K45" s="109"/>
      <c r="L45" s="124"/>
      <c r="M45" s="124"/>
      <c r="N45" s="124"/>
      <c r="O45" s="124"/>
    </row>
    <row r="46" spans="2:24" x14ac:dyDescent="0.35">
      <c r="B46" s="125"/>
      <c r="C46" s="126"/>
      <c r="D46" s="127"/>
      <c r="E46" s="128"/>
      <c r="F46" s="127"/>
      <c r="G46" s="127"/>
      <c r="H46" s="127"/>
    </row>
    <row r="47" spans="2:24" ht="36" x14ac:dyDescent="0.35">
      <c r="B47" s="243" t="s">
        <v>34</v>
      </c>
      <c r="C47" s="244" t="s">
        <v>798</v>
      </c>
      <c r="D47" s="229" t="s">
        <v>430</v>
      </c>
      <c r="E47" s="245" t="s">
        <v>433</v>
      </c>
      <c r="F47" s="269" t="s">
        <v>434</v>
      </c>
      <c r="G47" s="270" t="s">
        <v>435</v>
      </c>
      <c r="H47" s="270" t="s">
        <v>436</v>
      </c>
      <c r="I47" s="273" t="str">
        <f>I17</f>
        <v>Performance against prior year</v>
      </c>
      <c r="J47" s="273" t="str">
        <f>J17</f>
        <v>Performance against 2019/20 baseline</v>
      </c>
      <c r="K47" s="273" t="str">
        <f>K17</f>
        <v>Progress towards 2030 target</v>
      </c>
    </row>
    <row r="48" spans="2:24" ht="17.5" x14ac:dyDescent="0.35">
      <c r="B48" s="186" t="s">
        <v>608</v>
      </c>
      <c r="C48" s="164"/>
      <c r="D48" s="163"/>
      <c r="E48" s="165"/>
      <c r="F48" s="165"/>
      <c r="G48" s="165"/>
      <c r="H48" s="165"/>
      <c r="I48" s="275"/>
      <c r="J48" s="275"/>
      <c r="K48" s="387"/>
    </row>
    <row r="49" spans="2:12" ht="15.5" x14ac:dyDescent="0.35">
      <c r="B49" s="166" t="s">
        <v>609</v>
      </c>
      <c r="C49" s="167" t="s">
        <v>709</v>
      </c>
      <c r="D49" s="168" t="s">
        <v>610</v>
      </c>
      <c r="E49" s="241">
        <v>1705818</v>
      </c>
      <c r="F49" s="169">
        <v>1815379</v>
      </c>
      <c r="G49" s="170">
        <v>1698159</v>
      </c>
      <c r="H49" s="170">
        <v>1849211</v>
      </c>
      <c r="I49" s="275">
        <f t="shared" ref="I49:I54" si="5">(E49-F49)/F49</f>
        <v>-6.0351584985834913E-2</v>
      </c>
      <c r="J49" s="275">
        <f>(E49-H49)/H49</f>
        <v>-7.7542800686346766E-2</v>
      </c>
      <c r="K49" s="387"/>
      <c r="L49" s="129"/>
    </row>
    <row r="50" spans="2:12" ht="15.5" x14ac:dyDescent="0.35">
      <c r="B50" s="166" t="s">
        <v>611</v>
      </c>
      <c r="C50" s="167" t="s">
        <v>710</v>
      </c>
      <c r="D50" s="168" t="s">
        <v>610</v>
      </c>
      <c r="E50" s="242">
        <v>0</v>
      </c>
      <c r="F50" s="171">
        <v>0</v>
      </c>
      <c r="G50" s="172">
        <v>0</v>
      </c>
      <c r="H50" s="172">
        <v>0</v>
      </c>
      <c r="I50" s="275"/>
      <c r="J50" s="275"/>
      <c r="K50" s="387"/>
    </row>
    <row r="51" spans="2:12" ht="27" x14ac:dyDescent="0.35">
      <c r="B51" s="166" t="s">
        <v>612</v>
      </c>
      <c r="C51" s="167" t="s">
        <v>711</v>
      </c>
      <c r="D51" s="168" t="s">
        <v>610</v>
      </c>
      <c r="E51" s="242">
        <v>95060</v>
      </c>
      <c r="F51" s="171">
        <v>95150</v>
      </c>
      <c r="G51" s="173">
        <v>78886</v>
      </c>
      <c r="H51" s="173">
        <v>72326</v>
      </c>
      <c r="I51" s="275">
        <f t="shared" si="5"/>
        <v>-9.4587493431424064E-4</v>
      </c>
      <c r="J51" s="275">
        <f t="shared" ref="J51:J54" si="6">(E51-H51)/H51</f>
        <v>0.31432679810856401</v>
      </c>
      <c r="K51" s="387"/>
    </row>
    <row r="52" spans="2:12" ht="18" customHeight="1" x14ac:dyDescent="0.35">
      <c r="B52" s="174" t="s">
        <v>470</v>
      </c>
      <c r="C52" s="175" t="s">
        <v>713</v>
      </c>
      <c r="D52" s="176" t="s">
        <v>614</v>
      </c>
      <c r="E52" s="165">
        <f>SUM(E49:E51)</f>
        <v>1800878</v>
      </c>
      <c r="F52" s="177">
        <f>SUM(F49:F51)</f>
        <v>1910529</v>
      </c>
      <c r="G52" s="177">
        <f>SUM(G49:G51)</f>
        <v>1777045</v>
      </c>
      <c r="H52" s="177">
        <f>SUM(H49:H51)</f>
        <v>1921537</v>
      </c>
      <c r="I52" s="275">
        <f t="shared" si="5"/>
        <v>-5.7393004764648953E-2</v>
      </c>
      <c r="J52" s="275">
        <f t="shared" si="6"/>
        <v>-6.2792962092325044E-2</v>
      </c>
      <c r="K52" s="387"/>
    </row>
    <row r="53" spans="2:12" ht="17.5" x14ac:dyDescent="0.35">
      <c r="B53" s="186" t="s">
        <v>714</v>
      </c>
      <c r="C53" s="164"/>
      <c r="D53" s="163"/>
      <c r="E53" s="165"/>
      <c r="F53" s="165"/>
      <c r="G53" s="165"/>
      <c r="H53" s="165"/>
      <c r="I53" s="275"/>
      <c r="J53" s="275"/>
      <c r="K53" s="387"/>
    </row>
    <row r="54" spans="2:12" ht="40.5" x14ac:dyDescent="0.35">
      <c r="B54" s="180" t="s">
        <v>616</v>
      </c>
      <c r="C54" s="167" t="s">
        <v>1149</v>
      </c>
      <c r="D54" s="176" t="s">
        <v>614</v>
      </c>
      <c r="E54" s="241">
        <v>48993</v>
      </c>
      <c r="F54" s="179">
        <v>77174</v>
      </c>
      <c r="G54" s="179">
        <v>65976</v>
      </c>
      <c r="H54" s="179">
        <v>72194</v>
      </c>
      <c r="I54" s="275">
        <f t="shared" si="5"/>
        <v>-0.36516184207116387</v>
      </c>
      <c r="J54" s="275">
        <f t="shared" si="6"/>
        <v>-0.32137019696927721</v>
      </c>
      <c r="K54" s="387"/>
    </row>
    <row r="55" spans="2:12" ht="17.5" x14ac:dyDescent="0.35">
      <c r="B55" s="186" t="s">
        <v>621</v>
      </c>
      <c r="C55" s="164"/>
      <c r="D55" s="163"/>
      <c r="E55" s="165"/>
      <c r="F55" s="165"/>
      <c r="G55" s="165"/>
      <c r="H55" s="165"/>
      <c r="I55" s="275"/>
      <c r="J55" s="275"/>
      <c r="K55" s="387"/>
    </row>
    <row r="56" spans="2:12" ht="20.149999999999999" customHeight="1" x14ac:dyDescent="0.35">
      <c r="B56" s="174" t="s">
        <v>473</v>
      </c>
      <c r="C56" s="180" t="s">
        <v>718</v>
      </c>
      <c r="D56" s="174" t="s">
        <v>622</v>
      </c>
      <c r="E56" s="241">
        <f>(E52-E54)/1000</f>
        <v>1751.885</v>
      </c>
      <c r="F56" s="178">
        <f>(F52-F54)/1000</f>
        <v>1833.355</v>
      </c>
      <c r="G56" s="178">
        <f>(G52-G54)/1000</f>
        <v>1711.069</v>
      </c>
      <c r="H56" s="178">
        <f>(H52-H54)/1000</f>
        <v>1849.3430000000001</v>
      </c>
      <c r="I56" s="275">
        <f>(E56-F56)/F56</f>
        <v>-4.4437656645876018E-2</v>
      </c>
      <c r="J56" s="275">
        <f>(E56-H56)/H56</f>
        <v>-5.2698715165331735E-2</v>
      </c>
      <c r="K56" s="275">
        <f>(E56-H56)/((1-0.25)*H56-H56)</f>
        <v>0.21079486066132694</v>
      </c>
    </row>
    <row r="57" spans="2:12" x14ac:dyDescent="0.35">
      <c r="B57" s="130"/>
      <c r="C57" s="131"/>
      <c r="D57" s="130"/>
      <c r="E57" s="132"/>
      <c r="F57" s="132"/>
      <c r="G57" s="133"/>
      <c r="H57" s="133"/>
      <c r="J57" s="134"/>
      <c r="K57" s="134"/>
    </row>
    <row r="58" spans="2:12" ht="148.5" x14ac:dyDescent="0.35">
      <c r="B58" s="404" t="s">
        <v>475</v>
      </c>
      <c r="C58" s="404" t="s">
        <v>719</v>
      </c>
      <c r="D58" s="405" t="s">
        <v>623</v>
      </c>
      <c r="E58" s="403">
        <f>399174/1000</f>
        <v>399.17399999999998</v>
      </c>
      <c r="F58" s="403">
        <f>421595/1000</f>
        <v>421.59500000000003</v>
      </c>
      <c r="G58" s="403">
        <f>406037/1000</f>
        <v>406.03699999999998</v>
      </c>
      <c r="H58" s="133"/>
      <c r="J58" s="134"/>
      <c r="K58" s="134"/>
    </row>
    <row r="59" spans="2:12" x14ac:dyDescent="0.35">
      <c r="B59" s="130"/>
      <c r="C59" s="131"/>
      <c r="D59" s="130"/>
      <c r="E59" s="499"/>
      <c r="F59" s="132"/>
      <c r="G59" s="132"/>
      <c r="H59" s="132"/>
      <c r="J59" s="134"/>
      <c r="K59" s="134"/>
    </row>
    <row r="60" spans="2:12" ht="17.5" x14ac:dyDescent="0.35">
      <c r="B60" s="186" t="s">
        <v>620</v>
      </c>
      <c r="C60" s="164"/>
      <c r="D60" s="163"/>
      <c r="E60" s="165"/>
      <c r="F60" s="181"/>
      <c r="G60" s="165"/>
      <c r="H60" s="165"/>
      <c r="I60" s="318"/>
      <c r="J60" s="319"/>
      <c r="K60" s="319"/>
    </row>
    <row r="61" spans="2:12" ht="54" x14ac:dyDescent="0.35">
      <c r="B61" s="182" t="s">
        <v>618</v>
      </c>
      <c r="C61" s="183" t="s">
        <v>1168</v>
      </c>
      <c r="D61" s="184" t="s">
        <v>619</v>
      </c>
      <c r="E61" s="386">
        <v>1355851</v>
      </c>
      <c r="F61" s="205">
        <v>1399565</v>
      </c>
      <c r="G61" s="205">
        <v>1506288</v>
      </c>
      <c r="H61" s="205">
        <v>1394087</v>
      </c>
      <c r="I61" s="318"/>
      <c r="J61" s="319"/>
      <c r="K61" s="319"/>
    </row>
    <row r="62" spans="2:12" ht="67.5" x14ac:dyDescent="0.35">
      <c r="B62" s="174" t="s">
        <v>476</v>
      </c>
      <c r="C62" s="180" t="s">
        <v>722</v>
      </c>
      <c r="D62" s="174" t="s">
        <v>477</v>
      </c>
      <c r="E62" s="163">
        <v>242</v>
      </c>
      <c r="F62" s="174">
        <v>220</v>
      </c>
      <c r="G62" s="174">
        <v>112</v>
      </c>
      <c r="H62" s="174">
        <v>104</v>
      </c>
      <c r="I62" s="318"/>
      <c r="J62" s="320"/>
      <c r="K62" s="320"/>
    </row>
    <row r="63" spans="2:12" x14ac:dyDescent="0.35">
      <c r="B63" s="174" t="s">
        <v>478</v>
      </c>
      <c r="C63" s="180" t="s">
        <v>724</v>
      </c>
      <c r="D63" s="174" t="s">
        <v>463</v>
      </c>
      <c r="E63" s="262">
        <v>0.75</v>
      </c>
      <c r="F63" s="185">
        <v>0.78</v>
      </c>
      <c r="G63" s="185">
        <v>0.8</v>
      </c>
      <c r="H63" s="185">
        <v>0.7</v>
      </c>
      <c r="J63" s="135"/>
      <c r="K63" s="135"/>
    </row>
    <row r="64" spans="2:12" x14ac:dyDescent="0.35">
      <c r="B64" s="136"/>
      <c r="C64" s="137"/>
      <c r="D64" s="138"/>
      <c r="E64" s="138"/>
      <c r="F64" s="139"/>
      <c r="G64" s="139"/>
      <c r="H64" s="139"/>
      <c r="J64" s="135"/>
      <c r="K64" s="135"/>
    </row>
    <row r="65" spans="2:17" ht="36" x14ac:dyDescent="0.35">
      <c r="B65" s="243" t="s">
        <v>149</v>
      </c>
      <c r="C65" s="244" t="s">
        <v>798</v>
      </c>
      <c r="D65" s="229" t="s">
        <v>430</v>
      </c>
      <c r="E65" s="245" t="s">
        <v>433</v>
      </c>
      <c r="F65" s="269" t="s">
        <v>434</v>
      </c>
      <c r="G65" s="270" t="s">
        <v>435</v>
      </c>
      <c r="H65" s="270" t="s">
        <v>436</v>
      </c>
      <c r="I65" s="273" t="str">
        <f>I47</f>
        <v>Performance against prior year</v>
      </c>
      <c r="J65" s="273" t="str">
        <f>J47</f>
        <v>Performance against 2019/20 baseline</v>
      </c>
      <c r="K65" s="273" t="str">
        <f>K47</f>
        <v>Progress towards 2030 target</v>
      </c>
    </row>
    <row r="66" spans="2:17" ht="17.5" x14ac:dyDescent="0.35">
      <c r="B66" s="246" t="s">
        <v>725</v>
      </c>
      <c r="C66" s="248"/>
      <c r="D66" s="223"/>
      <c r="E66" s="241"/>
      <c r="F66" s="241"/>
      <c r="G66" s="241"/>
      <c r="H66" s="241"/>
      <c r="I66" s="276"/>
      <c r="J66" s="277"/>
      <c r="K66" s="277"/>
    </row>
    <row r="67" spans="2:17" ht="27" x14ac:dyDescent="0.35">
      <c r="B67" s="167" t="s">
        <v>627</v>
      </c>
      <c r="C67" s="187" t="s">
        <v>726</v>
      </c>
      <c r="D67" s="188" t="s">
        <v>480</v>
      </c>
      <c r="E67" s="202">
        <v>38519.699999999997</v>
      </c>
      <c r="F67" s="189">
        <v>45151.199999999997</v>
      </c>
      <c r="G67" s="189">
        <v>41025</v>
      </c>
      <c r="H67" s="190">
        <v>40016.699999999997</v>
      </c>
      <c r="I67" s="275">
        <f>(E67-F67)/F67</f>
        <v>-0.1468731728060384</v>
      </c>
      <c r="J67" s="275">
        <f>(E67-H67)/H67</f>
        <v>-3.7409381583189023E-2</v>
      </c>
      <c r="K67" s="275"/>
    </row>
    <row r="68" spans="2:17" ht="27" x14ac:dyDescent="0.35">
      <c r="B68" s="160" t="s">
        <v>628</v>
      </c>
      <c r="C68" s="187" t="s">
        <v>727</v>
      </c>
      <c r="D68" s="188" t="s">
        <v>480</v>
      </c>
      <c r="E68" s="202">
        <v>3340</v>
      </c>
      <c r="F68" s="191">
        <v>2639.7</v>
      </c>
      <c r="G68" s="191">
        <v>2622.3</v>
      </c>
      <c r="H68" s="190">
        <v>2469</v>
      </c>
      <c r="I68" s="275">
        <f t="shared" ref="I68:I72" si="7">(E68-F68)/F68</f>
        <v>0.26529529870818663</v>
      </c>
      <c r="J68" s="275">
        <f t="shared" ref="J68:J71" si="8">(E68-H68)/H68</f>
        <v>0.35277440259214254</v>
      </c>
      <c r="K68" s="387"/>
    </row>
    <row r="69" spans="2:17" ht="27" x14ac:dyDescent="0.35">
      <c r="B69" s="160" t="s">
        <v>629</v>
      </c>
      <c r="C69" s="187" t="s">
        <v>728</v>
      </c>
      <c r="D69" s="188" t="s">
        <v>480</v>
      </c>
      <c r="E69" s="202">
        <v>7058.7</v>
      </c>
      <c r="F69" s="191">
        <v>8560.2999999999993</v>
      </c>
      <c r="G69" s="191">
        <v>7013</v>
      </c>
      <c r="H69" s="190">
        <v>7815</v>
      </c>
      <c r="I69" s="275">
        <f t="shared" si="7"/>
        <v>-0.1754144130462717</v>
      </c>
      <c r="J69" s="275">
        <f t="shared" si="8"/>
        <v>-9.6775431861804248E-2</v>
      </c>
      <c r="K69" s="387"/>
    </row>
    <row r="70" spans="2:17" ht="27" x14ac:dyDescent="0.35">
      <c r="B70" s="160" t="s">
        <v>630</v>
      </c>
      <c r="C70" s="187" t="s">
        <v>729</v>
      </c>
      <c r="D70" s="188" t="s">
        <v>480</v>
      </c>
      <c r="E70" s="202">
        <v>13967</v>
      </c>
      <c r="F70" s="191">
        <v>15289.7</v>
      </c>
      <c r="G70" s="191">
        <v>11538</v>
      </c>
      <c r="H70" s="190">
        <v>13630</v>
      </c>
      <c r="I70" s="275">
        <f t="shared" si="7"/>
        <v>-8.6509218624302678E-2</v>
      </c>
      <c r="J70" s="275">
        <f t="shared" si="8"/>
        <v>2.4724871606749816E-2</v>
      </c>
      <c r="K70" s="387"/>
    </row>
    <row r="71" spans="2:17" ht="40.5" x14ac:dyDescent="0.35">
      <c r="B71" s="192" t="s">
        <v>489</v>
      </c>
      <c r="C71" s="157" t="s">
        <v>1169</v>
      </c>
      <c r="D71" s="193" t="s">
        <v>480</v>
      </c>
      <c r="E71" s="205">
        <f>E67+E68</f>
        <v>41859.699999999997</v>
      </c>
      <c r="F71" s="194">
        <f t="shared" ref="F71:H71" si="9">F67+F68</f>
        <v>47790.899999999994</v>
      </c>
      <c r="G71" s="194">
        <f t="shared" si="9"/>
        <v>43647.3</v>
      </c>
      <c r="H71" s="178">
        <f t="shared" si="9"/>
        <v>42485.7</v>
      </c>
      <c r="I71" s="275">
        <f t="shared" si="7"/>
        <v>-0.12410730913207321</v>
      </c>
      <c r="J71" s="275">
        <f t="shared" si="8"/>
        <v>-1.4734369446660877E-2</v>
      </c>
      <c r="K71" s="275">
        <f>(E71-H71)/((1-0.5)*H71-H71)</f>
        <v>2.9468738893321755E-2</v>
      </c>
    </row>
    <row r="72" spans="2:17" ht="40.5" x14ac:dyDescent="0.35">
      <c r="B72" s="192" t="s">
        <v>484</v>
      </c>
      <c r="C72" s="195" t="s">
        <v>731</v>
      </c>
      <c r="D72" s="193" t="s">
        <v>480</v>
      </c>
      <c r="E72" s="205">
        <f>SUM(E67:E70)</f>
        <v>62885.399999999994</v>
      </c>
      <c r="F72" s="170">
        <f>SUM(F67:F70)</f>
        <v>71640.899999999994</v>
      </c>
      <c r="G72" s="170">
        <f>SUM(G67:G70)</f>
        <v>62198.3</v>
      </c>
      <c r="H72" s="170">
        <f>SUM(H67:H70)</f>
        <v>63930.7</v>
      </c>
      <c r="I72" s="275">
        <f t="shared" si="7"/>
        <v>-0.12221370753298745</v>
      </c>
      <c r="J72" s="275">
        <f>(E72-H72)/H72</f>
        <v>-1.6350517044237008E-2</v>
      </c>
      <c r="K72" s="387"/>
    </row>
    <row r="73" spans="2:17" ht="17.5" x14ac:dyDescent="0.35">
      <c r="B73" s="246" t="s">
        <v>634</v>
      </c>
      <c r="C73" s="224"/>
      <c r="D73" s="223"/>
      <c r="E73" s="241">
        <f>38520+3340+7059+13967</f>
        <v>62886</v>
      </c>
      <c r="F73" s="241"/>
      <c r="G73" s="241"/>
      <c r="H73" s="241"/>
    </row>
    <row r="74" spans="2:17" ht="40.5" x14ac:dyDescent="0.35">
      <c r="B74" s="187" t="s">
        <v>635</v>
      </c>
      <c r="C74" s="187" t="s">
        <v>732</v>
      </c>
      <c r="D74" s="188" t="s">
        <v>480</v>
      </c>
      <c r="E74" s="263">
        <v>848</v>
      </c>
      <c r="F74" s="190">
        <v>1744</v>
      </c>
      <c r="G74" s="190">
        <v>885</v>
      </c>
      <c r="H74" s="190">
        <v>1497.1</v>
      </c>
      <c r="M74" s="382" t="s">
        <v>1170</v>
      </c>
      <c r="N74" s="382"/>
      <c r="O74" s="382"/>
      <c r="P74" s="382"/>
      <c r="Q74" s="382"/>
    </row>
    <row r="75" spans="2:17" ht="40.5" x14ac:dyDescent="0.35">
      <c r="B75" s="187" t="s">
        <v>636</v>
      </c>
      <c r="C75" s="187" t="s">
        <v>733</v>
      </c>
      <c r="D75" s="188" t="s">
        <v>480</v>
      </c>
      <c r="E75" s="263">
        <v>3871</v>
      </c>
      <c r="F75" s="190">
        <v>6885</v>
      </c>
      <c r="G75" s="190">
        <v>5365</v>
      </c>
      <c r="H75" s="190">
        <v>4991.7</v>
      </c>
      <c r="J75" s="317"/>
      <c r="M75" s="382"/>
      <c r="N75" s="383" t="s">
        <v>433</v>
      </c>
      <c r="O75" s="384" t="s">
        <v>434</v>
      </c>
      <c r="P75" s="383" t="s">
        <v>435</v>
      </c>
      <c r="Q75" s="383" t="s">
        <v>436</v>
      </c>
    </row>
    <row r="76" spans="2:17" ht="27" x14ac:dyDescent="0.35">
      <c r="B76" s="187" t="s">
        <v>637</v>
      </c>
      <c r="C76" s="187" t="s">
        <v>734</v>
      </c>
      <c r="D76" s="188" t="s">
        <v>480</v>
      </c>
      <c r="E76" s="263">
        <v>2038</v>
      </c>
      <c r="F76" s="190">
        <v>2785</v>
      </c>
      <c r="G76" s="190">
        <v>1549</v>
      </c>
      <c r="H76" s="190">
        <v>1444.1</v>
      </c>
      <c r="M76" s="382" t="s">
        <v>1171</v>
      </c>
      <c r="N76" s="385">
        <f>E85+E86</f>
        <v>1057</v>
      </c>
      <c r="O76" s="385">
        <f>F85+F86</f>
        <v>1020</v>
      </c>
      <c r="P76" s="385">
        <f>G85+G86</f>
        <v>1031</v>
      </c>
      <c r="Q76" s="385">
        <f>H85+H86</f>
        <v>720</v>
      </c>
    </row>
    <row r="77" spans="2:17" ht="15.5" x14ac:dyDescent="0.35">
      <c r="B77" s="195" t="s">
        <v>1172</v>
      </c>
      <c r="C77" s="195" t="s">
        <v>736</v>
      </c>
      <c r="D77" s="193" t="s">
        <v>480</v>
      </c>
      <c r="E77" s="241">
        <f>E74+E75+E76</f>
        <v>6757</v>
      </c>
      <c r="F77" s="178">
        <f>F74+F75+F76</f>
        <v>11414</v>
      </c>
      <c r="G77" s="178">
        <f>G74+G75+G76</f>
        <v>7799</v>
      </c>
      <c r="H77" s="178">
        <f>H74+H75+H76</f>
        <v>7932.9</v>
      </c>
      <c r="M77" s="382" t="s">
        <v>1173</v>
      </c>
      <c r="N77" s="385">
        <f>E87+E88</f>
        <v>36873</v>
      </c>
      <c r="O77" s="385">
        <f>F87+F88</f>
        <v>38277</v>
      </c>
      <c r="P77" s="385">
        <f>G87+G88</f>
        <v>23390</v>
      </c>
      <c r="Q77" s="385">
        <f>H87+H88</f>
        <v>19452</v>
      </c>
    </row>
    <row r="78" spans="2:17" ht="40.5" x14ac:dyDescent="0.35">
      <c r="B78" s="187" t="s">
        <v>639</v>
      </c>
      <c r="C78" s="187" t="s">
        <v>737</v>
      </c>
      <c r="D78" s="188" t="s">
        <v>480</v>
      </c>
      <c r="E78" s="263">
        <v>227</v>
      </c>
      <c r="F78" s="190">
        <v>297.2</v>
      </c>
      <c r="G78" s="190">
        <v>137.80000000000001</v>
      </c>
      <c r="H78" s="190">
        <v>200.4</v>
      </c>
      <c r="M78" s="382" t="s">
        <v>1174</v>
      </c>
      <c r="N78" s="385">
        <f t="shared" ref="N78:Q79" si="10">E74+E78</f>
        <v>1075</v>
      </c>
      <c r="O78" s="385">
        <f t="shared" si="10"/>
        <v>2041.2</v>
      </c>
      <c r="P78" s="385">
        <f t="shared" si="10"/>
        <v>1022.8</v>
      </c>
      <c r="Q78" s="385">
        <f t="shared" si="10"/>
        <v>1697.5</v>
      </c>
    </row>
    <row r="79" spans="2:17" ht="27" x14ac:dyDescent="0.35">
      <c r="B79" s="187" t="s">
        <v>640</v>
      </c>
      <c r="C79" s="187" t="s">
        <v>739</v>
      </c>
      <c r="D79" s="188" t="s">
        <v>480</v>
      </c>
      <c r="E79" s="263">
        <v>15662</v>
      </c>
      <c r="F79" s="190">
        <v>19276.2</v>
      </c>
      <c r="G79" s="190">
        <v>28214.400000000001</v>
      </c>
      <c r="H79" s="190">
        <v>33984.199999999997</v>
      </c>
      <c r="M79" s="382" t="s">
        <v>1175</v>
      </c>
      <c r="N79" s="385">
        <f t="shared" si="10"/>
        <v>19533</v>
      </c>
      <c r="O79" s="385">
        <f t="shared" si="10"/>
        <v>26161.200000000001</v>
      </c>
      <c r="P79" s="385">
        <f t="shared" si="10"/>
        <v>33579.4</v>
      </c>
      <c r="Q79" s="385">
        <f t="shared" si="10"/>
        <v>38975.899999999994</v>
      </c>
    </row>
    <row r="80" spans="2:17" ht="27" x14ac:dyDescent="0.35">
      <c r="B80" s="187" t="s">
        <v>641</v>
      </c>
      <c r="C80" s="187" t="s">
        <v>740</v>
      </c>
      <c r="D80" s="188" t="s">
        <v>480</v>
      </c>
      <c r="E80" s="263">
        <v>2309</v>
      </c>
      <c r="F80" s="190">
        <v>1356.9</v>
      </c>
      <c r="G80" s="190">
        <v>1625.8</v>
      </c>
      <c r="H80" s="190">
        <v>1641.7</v>
      </c>
      <c r="M80" s="382" t="s">
        <v>1176</v>
      </c>
      <c r="N80" s="385">
        <f>E83</f>
        <v>4347</v>
      </c>
      <c r="O80" s="385">
        <f>F83</f>
        <v>4141.8999999999996</v>
      </c>
      <c r="P80" s="385">
        <f>G83</f>
        <v>3174.8</v>
      </c>
      <c r="Q80" s="385">
        <f>H83</f>
        <v>3085.8</v>
      </c>
    </row>
    <row r="81" spans="2:17" x14ac:dyDescent="0.35">
      <c r="B81" s="195" t="s">
        <v>642</v>
      </c>
      <c r="C81" s="195" t="s">
        <v>741</v>
      </c>
      <c r="D81" s="193" t="s">
        <v>480</v>
      </c>
      <c r="E81" s="241">
        <f>E78+E79+E80</f>
        <v>18198</v>
      </c>
      <c r="F81" s="178">
        <f>F78+F79+F80</f>
        <v>20930.300000000003</v>
      </c>
      <c r="G81" s="178">
        <f>G78+G79+G80</f>
        <v>29978</v>
      </c>
      <c r="H81" s="178">
        <f>H78+H79+H80</f>
        <v>35826.299999999996</v>
      </c>
      <c r="M81" s="382" t="s">
        <v>1177</v>
      </c>
      <c r="N81" s="385">
        <f>E72</f>
        <v>62885.399999999994</v>
      </c>
      <c r="O81" s="385">
        <f>F72</f>
        <v>71640.899999999994</v>
      </c>
      <c r="P81" s="385">
        <f>G72</f>
        <v>62198.3</v>
      </c>
      <c r="Q81" s="385">
        <f>H72</f>
        <v>63930.7</v>
      </c>
    </row>
    <row r="82" spans="2:17" ht="30" customHeight="1" x14ac:dyDescent="0.35">
      <c r="B82" s="195" t="s">
        <v>643</v>
      </c>
      <c r="C82" s="195" t="s">
        <v>742</v>
      </c>
      <c r="D82" s="193" t="s">
        <v>480</v>
      </c>
      <c r="E82" s="241">
        <f>E81+E77</f>
        <v>24955</v>
      </c>
      <c r="F82" s="178">
        <f>F81+F77</f>
        <v>32344.300000000003</v>
      </c>
      <c r="G82" s="178">
        <f>G81+G77</f>
        <v>37777</v>
      </c>
      <c r="H82" s="178">
        <f>H81+H77</f>
        <v>43759.199999999997</v>
      </c>
    </row>
    <row r="83" spans="2:17" ht="16" customHeight="1" x14ac:dyDescent="0.35">
      <c r="B83" s="195" t="s">
        <v>644</v>
      </c>
      <c r="C83" s="195" t="s">
        <v>744</v>
      </c>
      <c r="D83" s="193" t="s">
        <v>480</v>
      </c>
      <c r="E83" s="241">
        <f>E80+E76</f>
        <v>4347</v>
      </c>
      <c r="F83" s="178">
        <f>F80+F76</f>
        <v>4141.8999999999996</v>
      </c>
      <c r="G83" s="178">
        <f>G80+G76</f>
        <v>3174.8</v>
      </c>
      <c r="H83" s="178">
        <f>H80+H76</f>
        <v>3085.8</v>
      </c>
      <c r="L83" s="129"/>
      <c r="M83" s="129"/>
      <c r="N83" s="129"/>
      <c r="O83" s="129"/>
    </row>
    <row r="84" spans="2:17" ht="17.5" x14ac:dyDescent="0.35">
      <c r="B84" s="246" t="s">
        <v>645</v>
      </c>
      <c r="C84" s="224"/>
      <c r="D84" s="223"/>
      <c r="E84" s="241"/>
      <c r="F84" s="241"/>
      <c r="G84" s="241"/>
      <c r="H84" s="241"/>
    </row>
    <row r="85" spans="2:17" ht="54" x14ac:dyDescent="0.35">
      <c r="B85" s="196" t="s">
        <v>646</v>
      </c>
      <c r="C85" s="155" t="s">
        <v>746</v>
      </c>
      <c r="D85" s="188" t="s">
        <v>480</v>
      </c>
      <c r="E85" s="264">
        <v>137</v>
      </c>
      <c r="F85" s="197">
        <v>127</v>
      </c>
      <c r="G85" s="197">
        <v>106</v>
      </c>
      <c r="H85" s="197">
        <v>127</v>
      </c>
    </row>
    <row r="86" spans="2:17" ht="54" x14ac:dyDescent="0.35">
      <c r="B86" s="196" t="s">
        <v>647</v>
      </c>
      <c r="C86" s="155" t="s">
        <v>748</v>
      </c>
      <c r="D86" s="188" t="s">
        <v>480</v>
      </c>
      <c r="E86" s="264">
        <v>920</v>
      </c>
      <c r="F86" s="197">
        <v>893</v>
      </c>
      <c r="G86" s="197">
        <v>925</v>
      </c>
      <c r="H86" s="197">
        <v>593</v>
      </c>
    </row>
    <row r="87" spans="2:17" ht="40.5" x14ac:dyDescent="0.35">
      <c r="B87" s="196" t="s">
        <v>648</v>
      </c>
      <c r="C87" s="155" t="s">
        <v>749</v>
      </c>
      <c r="D87" s="188" t="s">
        <v>480</v>
      </c>
      <c r="E87" s="264">
        <v>14130</v>
      </c>
      <c r="F87" s="197">
        <v>12309</v>
      </c>
      <c r="G87" s="190">
        <v>10646</v>
      </c>
      <c r="H87" s="190">
        <v>13385</v>
      </c>
    </row>
    <row r="88" spans="2:17" ht="40.5" x14ac:dyDescent="0.35">
      <c r="B88" s="196" t="s">
        <v>649</v>
      </c>
      <c r="C88" s="155" t="s">
        <v>750</v>
      </c>
      <c r="D88" s="188" t="s">
        <v>480</v>
      </c>
      <c r="E88" s="264">
        <v>22743</v>
      </c>
      <c r="F88" s="197">
        <v>25968</v>
      </c>
      <c r="G88" s="197">
        <v>12744</v>
      </c>
      <c r="H88" s="197">
        <v>6067</v>
      </c>
    </row>
    <row r="89" spans="2:17" ht="54" x14ac:dyDescent="0.35">
      <c r="B89" s="192" t="s">
        <v>650</v>
      </c>
      <c r="C89" s="195" t="s">
        <v>1178</v>
      </c>
      <c r="D89" s="193" t="s">
        <v>480</v>
      </c>
      <c r="E89" s="241">
        <f>E85+E86+E87+E88</f>
        <v>37930</v>
      </c>
      <c r="F89" s="178">
        <f>F85+F86+F87+F88</f>
        <v>39297</v>
      </c>
      <c r="G89" s="178">
        <f t="shared" ref="G89:H89" si="11">G85+G86+G87+G88</f>
        <v>24421</v>
      </c>
      <c r="H89" s="178">
        <f t="shared" si="11"/>
        <v>20172</v>
      </c>
      <c r="I89" s="129"/>
      <c r="J89" s="129"/>
      <c r="K89" s="90"/>
    </row>
    <row r="90" spans="2:17" x14ac:dyDescent="0.35">
      <c r="B90" s="196" t="s">
        <v>651</v>
      </c>
      <c r="C90" s="187" t="s">
        <v>753</v>
      </c>
      <c r="D90" s="188" t="s">
        <v>463</v>
      </c>
      <c r="E90" s="265">
        <f>E85/E72</f>
        <v>2.1785660900622405E-3</v>
      </c>
      <c r="F90" s="198">
        <f>F85/F72</f>
        <v>1.7727303816674554E-3</v>
      </c>
      <c r="G90" s="198">
        <f>G85/G72</f>
        <v>1.7042266428503672E-3</v>
      </c>
      <c r="H90" s="198">
        <f>H85/H72</f>
        <v>1.9865260352225143E-3</v>
      </c>
      <c r="I90" s="135"/>
      <c r="J90" s="135"/>
      <c r="K90" s="90"/>
    </row>
    <row r="91" spans="2:17" x14ac:dyDescent="0.35">
      <c r="B91" s="168" t="s">
        <v>652</v>
      </c>
      <c r="C91" s="187" t="s">
        <v>753</v>
      </c>
      <c r="D91" s="199" t="s">
        <v>463</v>
      </c>
      <c r="E91" s="265">
        <f>E86/E72</f>
        <v>1.4629786882169789E-2</v>
      </c>
      <c r="F91" s="198">
        <f>F86/F72</f>
        <v>1.2464946699441242E-2</v>
      </c>
      <c r="G91" s="198">
        <f>G86/G72</f>
        <v>1.4871789100345185E-2</v>
      </c>
      <c r="H91" s="198">
        <f>H86/H72</f>
        <v>9.2756688101334733E-3</v>
      </c>
    </row>
    <row r="92" spans="2:17" x14ac:dyDescent="0.35">
      <c r="B92" s="168" t="s">
        <v>653</v>
      </c>
      <c r="C92" s="187" t="s">
        <v>753</v>
      </c>
      <c r="D92" s="199" t="s">
        <v>463</v>
      </c>
      <c r="E92" s="265">
        <f>E89/E72</f>
        <v>0.60316067004423923</v>
      </c>
      <c r="F92" s="198">
        <f>F89/F72</f>
        <v>0.54852744731012593</v>
      </c>
      <c r="G92" s="198">
        <f>G89/G72</f>
        <v>0.39263130985895112</v>
      </c>
      <c r="H92" s="198">
        <f>H89/H72</f>
        <v>0.31552915891739025</v>
      </c>
    </row>
    <row r="93" spans="2:17" ht="17.5" x14ac:dyDescent="0.35">
      <c r="B93" s="246" t="s">
        <v>654</v>
      </c>
      <c r="C93" s="224"/>
      <c r="D93" s="223"/>
      <c r="E93" s="241"/>
      <c r="F93" s="241"/>
      <c r="G93" s="241"/>
      <c r="H93" s="241"/>
    </row>
    <row r="94" spans="2:17" ht="14.15" customHeight="1" x14ac:dyDescent="0.35">
      <c r="B94" s="215" t="s">
        <v>491</v>
      </c>
      <c r="C94" s="201" t="s">
        <v>757</v>
      </c>
      <c r="D94" s="188" t="s">
        <v>480</v>
      </c>
      <c r="E94" s="263">
        <f>E68+E70</f>
        <v>17307</v>
      </c>
      <c r="F94" s="202">
        <f>F68+F70</f>
        <v>17929.400000000001</v>
      </c>
      <c r="G94" s="202">
        <f>G68+G70</f>
        <v>14160.3</v>
      </c>
      <c r="H94" s="202">
        <f>H68+H70</f>
        <v>16099</v>
      </c>
    </row>
    <row r="95" spans="2:17" x14ac:dyDescent="0.35">
      <c r="B95" s="215" t="s">
        <v>655</v>
      </c>
      <c r="C95" s="187" t="s">
        <v>759</v>
      </c>
      <c r="D95" s="188" t="s">
        <v>480</v>
      </c>
      <c r="E95" s="266">
        <v>500</v>
      </c>
      <c r="F95" s="203">
        <v>531</v>
      </c>
      <c r="G95" s="203">
        <v>421</v>
      </c>
      <c r="H95" s="203">
        <v>221</v>
      </c>
    </row>
    <row r="96" spans="2:17" x14ac:dyDescent="0.35">
      <c r="B96" s="215" t="s">
        <v>656</v>
      </c>
      <c r="C96" s="187" t="s">
        <v>761</v>
      </c>
      <c r="D96" s="188" t="s">
        <v>480</v>
      </c>
      <c r="E96" s="266">
        <v>12438</v>
      </c>
      <c r="F96" s="203">
        <v>11970</v>
      </c>
      <c r="G96" s="207">
        <v>10278</v>
      </c>
      <c r="H96" s="207">
        <v>11791</v>
      </c>
    </row>
    <row r="97" spans="2:24" x14ac:dyDescent="0.35">
      <c r="B97" s="184" t="s">
        <v>490</v>
      </c>
      <c r="C97" s="187" t="s">
        <v>763</v>
      </c>
      <c r="D97" s="188" t="s">
        <v>480</v>
      </c>
      <c r="E97" s="241">
        <f>E94-E95-E96</f>
        <v>4369</v>
      </c>
      <c r="F97" s="205">
        <f t="shared" ref="F97:H97" si="12">F94-F95-F96</f>
        <v>5428.4000000000015</v>
      </c>
      <c r="G97" s="205">
        <f t="shared" si="12"/>
        <v>3461.2999999999993</v>
      </c>
      <c r="H97" s="205">
        <f t="shared" si="12"/>
        <v>4087</v>
      </c>
    </row>
    <row r="98" spans="2:24" x14ac:dyDescent="0.35">
      <c r="B98" s="500"/>
      <c r="C98" s="140"/>
      <c r="D98" s="141"/>
      <c r="E98" s="142"/>
      <c r="F98" s="142"/>
      <c r="G98" s="142"/>
      <c r="H98" s="142"/>
    </row>
    <row r="99" spans="2:24" ht="19.5" x14ac:dyDescent="0.35">
      <c r="B99" s="243" t="s">
        <v>764</v>
      </c>
      <c r="C99" s="244" t="s">
        <v>798</v>
      </c>
      <c r="D99" s="260" t="s">
        <v>430</v>
      </c>
      <c r="E99" s="245" t="s">
        <v>433</v>
      </c>
      <c r="F99" s="269" t="s">
        <v>434</v>
      </c>
      <c r="G99" s="270" t="s">
        <v>435</v>
      </c>
      <c r="H99" s="270" t="s">
        <v>436</v>
      </c>
    </row>
    <row r="100" spans="2:24" ht="46.5" x14ac:dyDescent="0.35">
      <c r="B100" s="188" t="s">
        <v>765</v>
      </c>
      <c r="C100" s="161" t="s">
        <v>766</v>
      </c>
      <c r="D100" s="188" t="s">
        <v>480</v>
      </c>
      <c r="E100" s="261">
        <v>336</v>
      </c>
      <c r="F100" s="206">
        <v>358</v>
      </c>
      <c r="G100" s="206">
        <v>338</v>
      </c>
      <c r="H100" s="206">
        <v>320</v>
      </c>
    </row>
    <row r="101" spans="2:24" ht="46.5" x14ac:dyDescent="0.35">
      <c r="B101" s="188" t="s">
        <v>767</v>
      </c>
      <c r="C101" s="161" t="s">
        <v>768</v>
      </c>
      <c r="D101" s="188" t="s">
        <v>480</v>
      </c>
      <c r="E101" s="261">
        <v>31</v>
      </c>
      <c r="F101" s="206">
        <v>73</v>
      </c>
      <c r="G101" s="206">
        <v>42</v>
      </c>
      <c r="H101" s="206">
        <v>16</v>
      </c>
    </row>
    <row r="102" spans="2:24" ht="54" x14ac:dyDescent="0.35">
      <c r="B102" s="188" t="s">
        <v>496</v>
      </c>
      <c r="C102" s="161" t="s">
        <v>769</v>
      </c>
      <c r="D102" s="188" t="s">
        <v>480</v>
      </c>
      <c r="E102" s="261">
        <v>42</v>
      </c>
      <c r="F102" s="206">
        <v>50</v>
      </c>
      <c r="G102" s="206">
        <v>39</v>
      </c>
      <c r="H102" s="206">
        <v>47</v>
      </c>
    </row>
    <row r="103" spans="2:24" ht="16.5" x14ac:dyDescent="0.35">
      <c r="B103" s="188" t="s">
        <v>770</v>
      </c>
      <c r="C103" s="161" t="s">
        <v>771</v>
      </c>
      <c r="D103" s="188" t="s">
        <v>463</v>
      </c>
      <c r="E103" s="262">
        <v>0.86</v>
      </c>
      <c r="F103" s="388">
        <v>0.85</v>
      </c>
      <c r="G103" s="389">
        <v>0.85</v>
      </c>
      <c r="H103" s="389">
        <v>0.82</v>
      </c>
    </row>
    <row r="104" spans="2:24" ht="16.5" x14ac:dyDescent="0.35">
      <c r="B104" s="188" t="s">
        <v>772</v>
      </c>
      <c r="C104" s="161" t="s">
        <v>773</v>
      </c>
      <c r="D104" s="188" t="s">
        <v>463</v>
      </c>
      <c r="E104" s="262">
        <v>0.36</v>
      </c>
      <c r="F104" s="388">
        <v>0.34</v>
      </c>
      <c r="G104" s="389">
        <v>0.36</v>
      </c>
      <c r="H104" s="389">
        <v>0.32</v>
      </c>
    </row>
    <row r="105" spans="2:24" x14ac:dyDescent="0.35">
      <c r="B105" s="188" t="s">
        <v>499</v>
      </c>
      <c r="C105" s="161" t="s">
        <v>774</v>
      </c>
      <c r="D105" s="188" t="s">
        <v>463</v>
      </c>
      <c r="E105" s="262">
        <v>0.56999999999999995</v>
      </c>
      <c r="F105" s="388">
        <v>0.56000000000000005</v>
      </c>
      <c r="G105" s="389">
        <v>0.54</v>
      </c>
      <c r="H105" s="389">
        <v>0.53</v>
      </c>
    </row>
    <row r="106" spans="2:24" x14ac:dyDescent="0.35">
      <c r="B106" s="120"/>
      <c r="C106" s="143"/>
      <c r="D106" s="59"/>
      <c r="E106" s="144"/>
      <c r="F106" s="145"/>
      <c r="G106" s="145"/>
      <c r="H106" s="59"/>
    </row>
    <row r="107" spans="2:24" ht="24.5" x14ac:dyDescent="0.35">
      <c r="B107" s="123" t="s">
        <v>590</v>
      </c>
      <c r="C107" s="107"/>
      <c r="D107" s="108"/>
      <c r="E107" s="108"/>
      <c r="F107" s="108"/>
      <c r="G107" s="1584"/>
      <c r="H107" s="1584"/>
      <c r="I107" s="1584"/>
      <c r="J107" s="1584"/>
      <c r="K107" s="1584"/>
      <c r="L107" s="1584"/>
      <c r="M107" s="1584"/>
      <c r="N107" s="1584"/>
      <c r="O107" s="1584"/>
    </row>
    <row r="108" spans="2:24" x14ac:dyDescent="0.35">
      <c r="B108" s="120"/>
      <c r="C108" s="119"/>
      <c r="D108" s="120"/>
      <c r="E108" s="120"/>
      <c r="F108" s="120"/>
      <c r="G108" s="121"/>
      <c r="H108" s="121"/>
      <c r="I108" s="121"/>
      <c r="J108" s="122"/>
      <c r="K108" s="122"/>
      <c r="L108" s="122"/>
      <c r="M108" s="101"/>
      <c r="N108" s="101"/>
      <c r="O108" s="101"/>
      <c r="P108" s="101"/>
      <c r="Q108" s="101"/>
      <c r="R108" s="101"/>
      <c r="S108" s="101"/>
      <c r="T108" s="101"/>
      <c r="U108" s="101"/>
      <c r="V108" s="101"/>
      <c r="W108" s="101"/>
      <c r="X108" s="101"/>
    </row>
    <row r="109" spans="2:24" ht="24" x14ac:dyDescent="0.35">
      <c r="B109" s="249" t="s">
        <v>448</v>
      </c>
      <c r="C109" s="247" t="s">
        <v>798</v>
      </c>
      <c r="D109" s="260" t="s">
        <v>430</v>
      </c>
      <c r="E109" s="1673" t="s">
        <v>433</v>
      </c>
      <c r="F109" s="1673"/>
      <c r="G109" s="1673"/>
      <c r="H109" s="1598" t="s">
        <v>434</v>
      </c>
      <c r="I109" s="1598"/>
      <c r="J109" s="1598"/>
      <c r="K109" s="1598" t="s">
        <v>435</v>
      </c>
      <c r="L109" s="1598"/>
      <c r="M109" s="1598"/>
      <c r="N109" s="251" t="s">
        <v>436</v>
      </c>
      <c r="O109" s="273" t="str">
        <f>I65</f>
        <v>Performance against prior year</v>
      </c>
      <c r="P109" s="101"/>
      <c r="T109" s="101"/>
      <c r="U109" s="101"/>
      <c r="V109" s="101"/>
      <c r="W109" s="101"/>
    </row>
    <row r="110" spans="2:24" ht="27" x14ac:dyDescent="0.35">
      <c r="B110" s="199"/>
      <c r="C110" s="209"/>
      <c r="D110" s="210"/>
      <c r="E110" s="254" t="s">
        <v>438</v>
      </c>
      <c r="F110" s="254" t="s">
        <v>676</v>
      </c>
      <c r="G110" s="254" t="s">
        <v>677</v>
      </c>
      <c r="H110" s="208" t="s">
        <v>438</v>
      </c>
      <c r="I110" s="208" t="s">
        <v>676</v>
      </c>
      <c r="J110" s="211" t="s">
        <v>677</v>
      </c>
      <c r="K110" s="208" t="s">
        <v>438</v>
      </c>
      <c r="L110" s="208" t="s">
        <v>676</v>
      </c>
      <c r="M110" s="211" t="s">
        <v>677</v>
      </c>
      <c r="N110" s="208" t="s">
        <v>438</v>
      </c>
      <c r="O110" s="274" t="s">
        <v>438</v>
      </c>
      <c r="P110" s="101"/>
      <c r="T110" s="101"/>
      <c r="U110" s="101"/>
      <c r="V110" s="101"/>
      <c r="W110" s="101"/>
    </row>
    <row r="111" spans="2:24" ht="67.5" x14ac:dyDescent="0.35">
      <c r="B111" s="210" t="s">
        <v>449</v>
      </c>
      <c r="C111" s="212" t="s">
        <v>775</v>
      </c>
      <c r="D111" s="213" t="s">
        <v>450</v>
      </c>
      <c r="E111" s="255">
        <f t="shared" ref="E111:N111" si="13">E127/1000</f>
        <v>1185612.237</v>
      </c>
      <c r="F111" s="255">
        <f t="shared" si="13"/>
        <v>337487.755</v>
      </c>
      <c r="G111" s="255">
        <f t="shared" si="13"/>
        <v>848124.48199999996</v>
      </c>
      <c r="H111" s="214">
        <f t="shared" si="13"/>
        <v>1241805.7790000001</v>
      </c>
      <c r="I111" s="214">
        <f t="shared" si="13"/>
        <v>373347.38799999998</v>
      </c>
      <c r="J111" s="214">
        <f t="shared" si="13"/>
        <v>868458.39099999995</v>
      </c>
      <c r="K111" s="214">
        <f t="shared" si="13"/>
        <v>1168337.6599999999</v>
      </c>
      <c r="L111" s="214">
        <f t="shared" si="13"/>
        <v>389386.26799999998</v>
      </c>
      <c r="M111" s="214">
        <f t="shared" si="13"/>
        <v>778951.39199999999</v>
      </c>
      <c r="N111" s="214">
        <f t="shared" si="13"/>
        <v>1202121.1410000001</v>
      </c>
      <c r="O111" s="275">
        <f>(E111-H111)/H111</f>
        <v>-4.5251474063240066E-2</v>
      </c>
      <c r="P111" s="101"/>
      <c r="T111" s="101"/>
      <c r="U111" s="101"/>
      <c r="V111" s="101"/>
      <c r="W111" s="101"/>
    </row>
    <row r="112" spans="2:24" x14ac:dyDescent="0.35">
      <c r="B112" s="210" t="s">
        <v>451</v>
      </c>
      <c r="C112" s="497" t="s">
        <v>1179</v>
      </c>
      <c r="D112" s="215" t="s">
        <v>452</v>
      </c>
      <c r="E112" s="256">
        <v>10.96</v>
      </c>
      <c r="F112" s="257">
        <v>74.2</v>
      </c>
      <c r="G112" s="257">
        <v>8.1999999999999993</v>
      </c>
      <c r="H112" s="216">
        <v>11.3</v>
      </c>
      <c r="I112" s="216">
        <v>70.7</v>
      </c>
      <c r="J112" s="216">
        <v>8.3000000000000007</v>
      </c>
      <c r="K112" s="216">
        <v>10.98</v>
      </c>
      <c r="L112" s="216">
        <v>39.56</v>
      </c>
      <c r="M112" s="216">
        <v>8.06</v>
      </c>
      <c r="N112" s="216">
        <v>10.61</v>
      </c>
      <c r="O112" s="275">
        <f>(E112-H112)/H112</f>
        <v>-3.0088495575221225E-2</v>
      </c>
      <c r="P112" s="101"/>
      <c r="T112" s="101"/>
      <c r="U112" s="101"/>
      <c r="V112" s="101"/>
      <c r="W112" s="101"/>
    </row>
    <row r="113" spans="2:22" x14ac:dyDescent="0.35">
      <c r="B113" s="146"/>
      <c r="C113" s="119"/>
      <c r="D113" s="120"/>
      <c r="E113" s="498"/>
      <c r="F113" s="120"/>
      <c r="G113" s="121"/>
      <c r="H113" s="121"/>
      <c r="I113" s="121"/>
      <c r="J113" s="122"/>
      <c r="K113" s="122"/>
      <c r="L113" s="122"/>
      <c r="M113" s="101"/>
      <c r="N113" s="101"/>
      <c r="O113" s="101"/>
      <c r="P113" s="101"/>
      <c r="T113" s="101"/>
      <c r="U113" s="101"/>
      <c r="V113" s="101"/>
    </row>
    <row r="114" spans="2:22" x14ac:dyDescent="0.35">
      <c r="B114" s="120"/>
      <c r="C114" s="119"/>
      <c r="D114" s="120"/>
      <c r="E114" s="120"/>
      <c r="F114" s="120"/>
      <c r="G114" s="121"/>
      <c r="H114" s="121"/>
      <c r="I114" s="121"/>
      <c r="J114" s="122"/>
      <c r="K114" s="122"/>
      <c r="L114" s="122"/>
      <c r="M114" s="101"/>
      <c r="N114" s="101"/>
      <c r="O114" s="101"/>
      <c r="P114" s="101"/>
      <c r="T114" s="101"/>
      <c r="U114" s="101"/>
      <c r="V114" s="101"/>
    </row>
    <row r="115" spans="2:22" ht="19.5" x14ac:dyDescent="0.35">
      <c r="B115" s="250" t="s">
        <v>777</v>
      </c>
      <c r="C115" s="247" t="s">
        <v>798</v>
      </c>
      <c r="D115" s="260" t="s">
        <v>430</v>
      </c>
      <c r="E115" s="1592" t="s">
        <v>433</v>
      </c>
      <c r="F115" s="1593"/>
      <c r="G115" s="1594"/>
      <c r="H115" s="1595" t="s">
        <v>434</v>
      </c>
      <c r="I115" s="1596"/>
      <c r="J115" s="1597"/>
      <c r="K115" s="1598" t="s">
        <v>435</v>
      </c>
      <c r="L115" s="1598"/>
      <c r="M115" s="1598"/>
      <c r="N115" s="251" t="s">
        <v>436</v>
      </c>
      <c r="O115" s="101"/>
      <c r="S115" s="101"/>
      <c r="T115" s="101"/>
      <c r="U115" s="101"/>
      <c r="V115" s="101"/>
    </row>
    <row r="116" spans="2:22" ht="28" customHeight="1" x14ac:dyDescent="0.35">
      <c r="B116" s="217"/>
      <c r="C116" s="217"/>
      <c r="D116" s="217"/>
      <c r="E116" s="252" t="s">
        <v>438</v>
      </c>
      <c r="F116" s="252" t="s">
        <v>676</v>
      </c>
      <c r="G116" s="252" t="s">
        <v>677</v>
      </c>
      <c r="H116" s="218" t="s">
        <v>438</v>
      </c>
      <c r="I116" s="218" t="s">
        <v>676</v>
      </c>
      <c r="J116" s="219" t="s">
        <v>677</v>
      </c>
      <c r="K116" s="218" t="s">
        <v>438</v>
      </c>
      <c r="L116" s="218" t="s">
        <v>676</v>
      </c>
      <c r="M116" s="219" t="s">
        <v>677</v>
      </c>
      <c r="N116" s="218" t="s">
        <v>438</v>
      </c>
      <c r="O116" s="101"/>
      <c r="S116" s="101"/>
      <c r="T116" s="101"/>
      <c r="U116" s="101"/>
      <c r="V116" s="101"/>
    </row>
    <row r="117" spans="2:22" ht="28" customHeight="1" x14ac:dyDescent="0.35">
      <c r="B117" s="188" t="s">
        <v>594</v>
      </c>
      <c r="C117" s="161" t="s">
        <v>1180</v>
      </c>
      <c r="D117" s="188" t="s">
        <v>595</v>
      </c>
      <c r="E117" s="253">
        <f t="shared" ref="E117:F119" si="14">E127*0.0036</f>
        <v>4268204.0532</v>
      </c>
      <c r="F117" s="253">
        <f t="shared" si="14"/>
        <v>1214955.9180000001</v>
      </c>
      <c r="G117" s="253">
        <f t="shared" ref="G117:G125" si="15">E117-F117</f>
        <v>3053248.1351999999</v>
      </c>
      <c r="H117" s="220">
        <f t="shared" ref="H117:N123" si="16">H127*0.0036</f>
        <v>4470500.8043999998</v>
      </c>
      <c r="I117" s="220">
        <f t="shared" si="16"/>
        <v>1344050.5967999999</v>
      </c>
      <c r="J117" s="220">
        <f t="shared" si="16"/>
        <v>3126450.2075999998</v>
      </c>
      <c r="K117" s="206">
        <f t="shared" si="16"/>
        <v>4206015.5760000004</v>
      </c>
      <c r="L117" s="220">
        <f t="shared" si="16"/>
        <v>1401790.5648000001</v>
      </c>
      <c r="M117" s="220">
        <f t="shared" si="16"/>
        <v>2804225.0112000001</v>
      </c>
      <c r="N117" s="206">
        <f t="shared" si="16"/>
        <v>4327636.1075999998</v>
      </c>
      <c r="O117" s="101"/>
      <c r="S117" s="101"/>
      <c r="T117" s="101"/>
      <c r="U117" s="101"/>
      <c r="V117" s="101"/>
    </row>
    <row r="118" spans="2:22" ht="28" customHeight="1" x14ac:dyDescent="0.35">
      <c r="B118" s="188" t="s">
        <v>596</v>
      </c>
      <c r="C118" s="161" t="s">
        <v>783</v>
      </c>
      <c r="D118" s="188" t="s">
        <v>595</v>
      </c>
      <c r="E118" s="253">
        <f t="shared" si="14"/>
        <v>1743716.4912</v>
      </c>
      <c r="F118" s="253">
        <f t="shared" si="14"/>
        <v>470103.46919999999</v>
      </c>
      <c r="G118" s="253">
        <f t="shared" si="15"/>
        <v>1273613.0220000001</v>
      </c>
      <c r="H118" s="220">
        <f t="shared" si="16"/>
        <v>1821488.5799999998</v>
      </c>
      <c r="I118" s="220">
        <f t="shared" si="16"/>
        <v>497308.47119999997</v>
      </c>
      <c r="J118" s="220">
        <f t="shared" si="16"/>
        <v>1324180.1088</v>
      </c>
      <c r="K118" s="206">
        <f t="shared" si="16"/>
        <v>1733498.5031999999</v>
      </c>
      <c r="L118" s="220">
        <f t="shared" si="16"/>
        <v>540267.77159999998</v>
      </c>
      <c r="M118" s="220">
        <f t="shared" si="16"/>
        <v>1193230.7316000001</v>
      </c>
      <c r="N118" s="206">
        <f t="shared" si="16"/>
        <v>1822669.8947999999</v>
      </c>
      <c r="O118" s="101"/>
      <c r="S118" s="101"/>
      <c r="T118" s="101"/>
      <c r="U118" s="101"/>
      <c r="V118" s="101"/>
    </row>
    <row r="119" spans="2:22" ht="28" customHeight="1" x14ac:dyDescent="0.35">
      <c r="B119" s="188" t="s">
        <v>597</v>
      </c>
      <c r="C119" s="161" t="s">
        <v>784</v>
      </c>
      <c r="D119" s="188" t="s">
        <v>595</v>
      </c>
      <c r="E119" s="253">
        <f t="shared" si="14"/>
        <v>2229315.804</v>
      </c>
      <c r="F119" s="253">
        <f t="shared" si="14"/>
        <v>779118.82920000004</v>
      </c>
      <c r="G119" s="253">
        <f t="shared" si="15"/>
        <v>1450196.9748</v>
      </c>
      <c r="H119" s="220">
        <f t="shared" si="16"/>
        <v>2303934.7752</v>
      </c>
      <c r="I119" s="220">
        <f t="shared" si="16"/>
        <v>882408.96360000002</v>
      </c>
      <c r="J119" s="220">
        <f t="shared" si="16"/>
        <v>1421525.8115999999</v>
      </c>
      <c r="K119" s="206">
        <f t="shared" si="16"/>
        <v>2164571.8560000001</v>
      </c>
      <c r="L119" s="220">
        <f t="shared" si="16"/>
        <v>912788.21880000003</v>
      </c>
      <c r="M119" s="220">
        <f t="shared" si="16"/>
        <v>1251783.6372</v>
      </c>
      <c r="N119" s="206">
        <f t="shared" si="16"/>
        <v>2201419.2347999997</v>
      </c>
      <c r="O119" s="101"/>
      <c r="S119" s="101"/>
      <c r="T119" s="101"/>
      <c r="U119" s="101"/>
      <c r="V119" s="101"/>
    </row>
    <row r="120" spans="2:22" ht="28" customHeight="1" x14ac:dyDescent="0.35">
      <c r="B120" s="188" t="s">
        <v>598</v>
      </c>
      <c r="C120" s="161" t="s">
        <v>1181</v>
      </c>
      <c r="D120" s="188" t="s">
        <v>595</v>
      </c>
      <c r="E120" s="253">
        <f>986948044*0.0036</f>
        <v>3553012.9583999999</v>
      </c>
      <c r="F120" s="253">
        <f t="shared" ref="F120:F125" si="17">F130*0.0036</f>
        <v>851885.96039999998</v>
      </c>
      <c r="G120" s="253">
        <f t="shared" si="15"/>
        <v>2701126.9979999997</v>
      </c>
      <c r="H120" s="220">
        <f t="shared" si="16"/>
        <v>3883081.4208</v>
      </c>
      <c r="I120" s="220">
        <f t="shared" si="16"/>
        <v>953590.43519999995</v>
      </c>
      <c r="J120" s="220">
        <f t="shared" si="16"/>
        <v>2929490.9855999998</v>
      </c>
      <c r="K120" s="206">
        <f t="shared" si="16"/>
        <v>3704763.6252000001</v>
      </c>
      <c r="L120" s="220">
        <f t="shared" si="16"/>
        <v>986494.08959999995</v>
      </c>
      <c r="M120" s="220">
        <f t="shared" si="16"/>
        <v>2718269.5356000001</v>
      </c>
      <c r="N120" s="206">
        <f t="shared" si="16"/>
        <v>3857710.6727999998</v>
      </c>
      <c r="O120" s="101"/>
      <c r="S120" s="101"/>
      <c r="T120" s="101"/>
      <c r="U120" s="101"/>
      <c r="V120" s="101"/>
    </row>
    <row r="121" spans="2:22" ht="28" customHeight="1" x14ac:dyDescent="0.35">
      <c r="B121" s="322" t="s">
        <v>599</v>
      </c>
      <c r="C121" s="161" t="s">
        <v>786</v>
      </c>
      <c r="D121" s="188" t="s">
        <v>595</v>
      </c>
      <c r="E121" s="253">
        <f>E131*0.0036</f>
        <v>2475308.5128000001</v>
      </c>
      <c r="F121" s="253">
        <f t="shared" si="17"/>
        <v>802475.77679999999</v>
      </c>
      <c r="G121" s="253">
        <f t="shared" si="15"/>
        <v>1672832.736</v>
      </c>
      <c r="H121" s="220">
        <f t="shared" si="16"/>
        <v>2605562.1683999998</v>
      </c>
      <c r="I121" s="220">
        <f t="shared" si="16"/>
        <v>904064.82120000001</v>
      </c>
      <c r="J121" s="220">
        <f t="shared" si="16"/>
        <v>1701497.3472</v>
      </c>
      <c r="K121" s="206">
        <f t="shared" si="16"/>
        <v>2460139.3043999998</v>
      </c>
      <c r="L121" s="220">
        <f t="shared" si="16"/>
        <v>936169.89480000001</v>
      </c>
      <c r="M121" s="220">
        <f t="shared" si="16"/>
        <v>1523969.4095999999</v>
      </c>
      <c r="N121" s="206">
        <f t="shared" si="16"/>
        <v>2480339.4839999997</v>
      </c>
      <c r="O121" s="101"/>
      <c r="S121" s="101"/>
      <c r="T121" s="101"/>
      <c r="U121" s="101"/>
      <c r="V121" s="101"/>
    </row>
    <row r="122" spans="2:22" ht="28" customHeight="1" x14ac:dyDescent="0.35">
      <c r="B122" s="322" t="s">
        <v>600</v>
      </c>
      <c r="C122" s="161" t="s">
        <v>787</v>
      </c>
      <c r="D122" s="188" t="s">
        <v>595</v>
      </c>
      <c r="E122" s="253">
        <f>E132*0.0036</f>
        <v>931420.57679999992</v>
      </c>
      <c r="F122" s="253">
        <f t="shared" si="17"/>
        <v>23946.552</v>
      </c>
      <c r="G122" s="253">
        <f t="shared" si="15"/>
        <v>907474.0247999999</v>
      </c>
      <c r="H122" s="220">
        <f t="shared" si="16"/>
        <v>1127469.6576</v>
      </c>
      <c r="I122" s="220">
        <f t="shared" si="16"/>
        <v>20683.699199999999</v>
      </c>
      <c r="J122" s="220">
        <f t="shared" si="16"/>
        <v>1106785.9583999999</v>
      </c>
      <c r="K122" s="206">
        <f t="shared" si="16"/>
        <v>1117471.3056000001</v>
      </c>
      <c r="L122" s="220">
        <f t="shared" si="16"/>
        <v>27600.84</v>
      </c>
      <c r="M122" s="220">
        <f t="shared" si="16"/>
        <v>1089870.4656</v>
      </c>
      <c r="N122" s="206">
        <f t="shared" si="16"/>
        <v>1257125.4683999999</v>
      </c>
      <c r="O122" s="101"/>
      <c r="S122" s="101"/>
      <c r="T122" s="101"/>
      <c r="U122" s="101"/>
      <c r="V122" s="101"/>
    </row>
    <row r="123" spans="2:22" ht="28" customHeight="1" x14ac:dyDescent="0.35">
      <c r="B123" s="323" t="s">
        <v>601</v>
      </c>
      <c r="C123" s="161" t="s">
        <v>788</v>
      </c>
      <c r="D123" s="188" t="s">
        <v>595</v>
      </c>
      <c r="E123" s="253">
        <f>E133*0.0036</f>
        <v>128724.8796</v>
      </c>
      <c r="F123" s="253">
        <f t="shared" si="17"/>
        <v>19250.449199999999</v>
      </c>
      <c r="G123" s="253">
        <f t="shared" si="15"/>
        <v>109474.4304</v>
      </c>
      <c r="H123" s="220">
        <f t="shared" si="16"/>
        <v>113543.96399999999</v>
      </c>
      <c r="I123" s="220">
        <f t="shared" si="16"/>
        <v>14086.619999999999</v>
      </c>
      <c r="J123" s="220">
        <f t="shared" si="16"/>
        <v>99457.343999999997</v>
      </c>
      <c r="K123" s="206">
        <f t="shared" si="16"/>
        <v>112445.03879999999</v>
      </c>
      <c r="L123" s="220">
        <f t="shared" si="16"/>
        <v>21111.778728000001</v>
      </c>
      <c r="M123" s="220">
        <f t="shared" si="16"/>
        <v>91333.26007199999</v>
      </c>
      <c r="N123" s="206">
        <f t="shared" si="16"/>
        <v>120245.72039999999</v>
      </c>
      <c r="O123" s="101"/>
      <c r="S123" s="101"/>
      <c r="T123" s="101"/>
      <c r="U123" s="101"/>
      <c r="V123" s="101"/>
    </row>
    <row r="124" spans="2:22" ht="28" customHeight="1" x14ac:dyDescent="0.35">
      <c r="B124" s="323" t="s">
        <v>602</v>
      </c>
      <c r="C124" s="161" t="s">
        <v>789</v>
      </c>
      <c r="D124" s="188" t="s">
        <v>595</v>
      </c>
      <c r="E124" s="253">
        <f>E134*0.0036</f>
        <v>17558.9928</v>
      </c>
      <c r="F124" s="253">
        <f t="shared" si="17"/>
        <v>6213.1823999999997</v>
      </c>
      <c r="G124" s="253">
        <f t="shared" ref="G124:M124" si="18">G134*0.0036</f>
        <v>11345.8104</v>
      </c>
      <c r="H124" s="220">
        <f t="shared" si="18"/>
        <v>36505.631231999992</v>
      </c>
      <c r="I124" s="220">
        <f t="shared" si="18"/>
        <v>14755.2948</v>
      </c>
      <c r="J124" s="220">
        <f t="shared" si="18"/>
        <v>21750.336431999996</v>
      </c>
      <c r="K124" s="220">
        <f t="shared" si="18"/>
        <v>14707.9746</v>
      </c>
      <c r="L124" s="220">
        <f t="shared" si="18"/>
        <v>1611.576</v>
      </c>
      <c r="M124" s="220">
        <f t="shared" si="18"/>
        <v>13096.3986</v>
      </c>
      <c r="N124" s="220" t="s">
        <v>603</v>
      </c>
      <c r="O124" s="101"/>
      <c r="S124" s="101"/>
      <c r="T124" s="101"/>
      <c r="U124" s="101"/>
      <c r="V124" s="101"/>
    </row>
    <row r="125" spans="2:22" ht="28" customHeight="1" x14ac:dyDescent="0.35">
      <c r="B125" s="221" t="s">
        <v>604</v>
      </c>
      <c r="C125" s="160" t="s">
        <v>790</v>
      </c>
      <c r="D125" s="188" t="s">
        <v>595</v>
      </c>
      <c r="E125" s="253">
        <f>E135*0.0036</f>
        <v>715191.09479999996</v>
      </c>
      <c r="F125" s="253">
        <f t="shared" si="17"/>
        <v>363069.95759999997</v>
      </c>
      <c r="G125" s="253">
        <f t="shared" si="15"/>
        <v>352121.1372</v>
      </c>
      <c r="H125" s="220">
        <f t="shared" ref="H125:N125" si="19">H135*0.0036</f>
        <v>587419.38359999994</v>
      </c>
      <c r="I125" s="220">
        <f t="shared" si="19"/>
        <v>390460.16159999999</v>
      </c>
      <c r="J125" s="220">
        <f t="shared" si="19"/>
        <v>196959.22200000001</v>
      </c>
      <c r="K125" s="206">
        <f t="shared" si="19"/>
        <v>501251.95439999999</v>
      </c>
      <c r="L125" s="220">
        <f t="shared" si="19"/>
        <v>415296.47519999999</v>
      </c>
      <c r="M125" s="220">
        <f t="shared" si="19"/>
        <v>85955.479200000002</v>
      </c>
      <c r="N125" s="206">
        <f t="shared" si="19"/>
        <v>469925.43479999999</v>
      </c>
      <c r="O125" s="101"/>
      <c r="S125" s="101"/>
      <c r="T125" s="101"/>
      <c r="U125" s="101"/>
      <c r="V125" s="101"/>
    </row>
    <row r="126" spans="2:22" x14ac:dyDescent="0.25">
      <c r="R126" s="7"/>
    </row>
    <row r="127" spans="2:22" ht="67.5" x14ac:dyDescent="0.25">
      <c r="B127" s="188" t="s">
        <v>594</v>
      </c>
      <c r="C127" s="161" t="s">
        <v>791</v>
      </c>
      <c r="D127" s="188" t="s">
        <v>465</v>
      </c>
      <c r="E127" s="253">
        <v>1185612237</v>
      </c>
      <c r="F127" s="253">
        <v>337487755</v>
      </c>
      <c r="G127" s="253">
        <f>E127-F127</f>
        <v>848124482</v>
      </c>
      <c r="H127" s="220">
        <v>1241805779</v>
      </c>
      <c r="I127" s="220">
        <v>373347388</v>
      </c>
      <c r="J127" s="220">
        <f t="shared" ref="J127:J135" si="20">H127-I127</f>
        <v>868458391</v>
      </c>
      <c r="K127" s="206">
        <v>1168337660</v>
      </c>
      <c r="L127" s="220">
        <v>389386268</v>
      </c>
      <c r="M127" s="220">
        <f t="shared" ref="M127:M135" si="21">K127-L127</f>
        <v>778951392</v>
      </c>
      <c r="N127" s="206">
        <v>1202121141</v>
      </c>
      <c r="O127" s="101"/>
      <c r="P127" s="501" t="s">
        <v>1182</v>
      </c>
      <c r="Q127" s="454">
        <f>E132/1000</f>
        <v>258727.93799999999</v>
      </c>
      <c r="R127" s="455">
        <f t="shared" ref="R127:R133" si="22">Q127/$Q$135</f>
        <v>0.21822306628383506</v>
      </c>
      <c r="S127" s="101"/>
      <c r="T127" s="101"/>
      <c r="U127" s="101"/>
      <c r="V127" s="101"/>
    </row>
    <row r="128" spans="2:22" ht="94.5" x14ac:dyDescent="0.25">
      <c r="B128" s="188" t="s">
        <v>596</v>
      </c>
      <c r="C128" s="161" t="s">
        <v>792</v>
      </c>
      <c r="D128" s="188" t="s">
        <v>465</v>
      </c>
      <c r="E128" s="253">
        <v>484365692</v>
      </c>
      <c r="F128" s="253">
        <v>130584297</v>
      </c>
      <c r="G128" s="253">
        <f>E128-F128</f>
        <v>353781395</v>
      </c>
      <c r="H128" s="220">
        <v>505969050</v>
      </c>
      <c r="I128" s="220">
        <v>138141242</v>
      </c>
      <c r="J128" s="220">
        <f t="shared" si="20"/>
        <v>367827808</v>
      </c>
      <c r="K128" s="206">
        <v>481527362</v>
      </c>
      <c r="L128" s="220">
        <v>150074381</v>
      </c>
      <c r="M128" s="220">
        <f t="shared" si="21"/>
        <v>331452981</v>
      </c>
      <c r="N128" s="206">
        <v>506297193</v>
      </c>
      <c r="O128" s="101"/>
      <c r="P128" s="501" t="s">
        <v>1183</v>
      </c>
      <c r="Q128" s="454">
        <f>191804345/1000</f>
        <v>191804.345</v>
      </c>
      <c r="R128" s="455">
        <f t="shared" si="22"/>
        <v>0.16177662380033564</v>
      </c>
      <c r="S128" s="101"/>
      <c r="T128" s="101"/>
      <c r="U128" s="101"/>
      <c r="V128" s="101"/>
    </row>
    <row r="129" spans="2:25" ht="54" x14ac:dyDescent="0.25">
      <c r="B129" s="188" t="s">
        <v>597</v>
      </c>
      <c r="C129" s="161" t="s">
        <v>793</v>
      </c>
      <c r="D129" s="188" t="s">
        <v>465</v>
      </c>
      <c r="E129" s="253">
        <v>619254390</v>
      </c>
      <c r="F129" s="253">
        <v>216421897</v>
      </c>
      <c r="G129" s="253">
        <f>E129-F129</f>
        <v>402832493</v>
      </c>
      <c r="H129" s="220">
        <v>639981882</v>
      </c>
      <c r="I129" s="220">
        <v>245113601</v>
      </c>
      <c r="J129" s="220">
        <f t="shared" si="20"/>
        <v>394868281</v>
      </c>
      <c r="K129" s="206">
        <v>601269960</v>
      </c>
      <c r="L129" s="220">
        <v>253552283</v>
      </c>
      <c r="M129" s="220">
        <f t="shared" si="21"/>
        <v>347717677</v>
      </c>
      <c r="N129" s="206">
        <v>611505343</v>
      </c>
      <c r="O129" s="101"/>
      <c r="P129" s="501" t="s">
        <v>1184</v>
      </c>
      <c r="Q129" s="454">
        <f>6859848/1000</f>
        <v>6859.848</v>
      </c>
      <c r="R129" s="455">
        <f t="shared" si="22"/>
        <v>5.7859119365803987E-3</v>
      </c>
      <c r="S129" s="101"/>
      <c r="T129" s="101"/>
      <c r="U129" s="101"/>
      <c r="V129" s="101"/>
    </row>
    <row r="130" spans="2:25" ht="114.75" customHeight="1" x14ac:dyDescent="0.25">
      <c r="B130" s="188" t="s">
        <v>598</v>
      </c>
      <c r="C130" s="161" t="s">
        <v>794</v>
      </c>
      <c r="D130" s="188" t="s">
        <v>465</v>
      </c>
      <c r="E130" s="237">
        <v>986948044</v>
      </c>
      <c r="F130" s="253">
        <v>236634989</v>
      </c>
      <c r="G130" s="253">
        <f>986948044-F130</f>
        <v>750313055</v>
      </c>
      <c r="H130" s="220">
        <v>1078633728</v>
      </c>
      <c r="I130" s="220">
        <v>264886232</v>
      </c>
      <c r="J130" s="220">
        <f t="shared" si="20"/>
        <v>813747496</v>
      </c>
      <c r="K130" s="206">
        <v>1029101007</v>
      </c>
      <c r="L130" s="220">
        <v>274026136</v>
      </c>
      <c r="M130" s="220">
        <f t="shared" si="21"/>
        <v>755074871</v>
      </c>
      <c r="N130" s="206">
        <v>1071586298</v>
      </c>
      <c r="O130" s="101"/>
      <c r="P130" s="501" t="s">
        <v>1185</v>
      </c>
      <c r="Q130" s="454">
        <f>E129/1000</f>
        <v>619254.39</v>
      </c>
      <c r="R130" s="455">
        <f t="shared" si="22"/>
        <v>0.52230769061950255</v>
      </c>
      <c r="S130" s="101"/>
      <c r="T130" s="101"/>
      <c r="U130" s="101"/>
      <c r="V130" s="101"/>
    </row>
    <row r="131" spans="2:25" ht="54" x14ac:dyDescent="0.25">
      <c r="B131" s="322" t="s">
        <v>599</v>
      </c>
      <c r="C131" s="161" t="s">
        <v>786</v>
      </c>
      <c r="D131" s="188" t="s">
        <v>465</v>
      </c>
      <c r="E131" s="253">
        <v>687585698</v>
      </c>
      <c r="F131" s="253">
        <v>222909938</v>
      </c>
      <c r="G131" s="253">
        <f>E131-F131</f>
        <v>464675760</v>
      </c>
      <c r="H131" s="220">
        <v>723767269</v>
      </c>
      <c r="I131" s="220">
        <v>251129117</v>
      </c>
      <c r="J131" s="220">
        <f t="shared" si="20"/>
        <v>472638152</v>
      </c>
      <c r="K131" s="206">
        <v>683372029</v>
      </c>
      <c r="L131" s="220">
        <v>260047193</v>
      </c>
      <c r="M131" s="220">
        <f t="shared" si="21"/>
        <v>423324836</v>
      </c>
      <c r="N131" s="206">
        <v>688983190</v>
      </c>
      <c r="O131" s="101"/>
      <c r="P131" s="501" t="s">
        <v>1186</v>
      </c>
      <c r="Q131" s="454">
        <f>(E131-E129)/1000</f>
        <v>68331.308000000005</v>
      </c>
      <c r="R131" s="455">
        <f t="shared" si="22"/>
        <v>5.7633774188488099E-2</v>
      </c>
      <c r="S131" s="101"/>
      <c r="T131" s="101"/>
      <c r="U131" s="101"/>
      <c r="V131" s="101"/>
    </row>
    <row r="132" spans="2:25" ht="27" x14ac:dyDescent="0.25">
      <c r="B132" s="322" t="s">
        <v>600</v>
      </c>
      <c r="C132" s="161" t="s">
        <v>795</v>
      </c>
      <c r="D132" s="188" t="s">
        <v>465</v>
      </c>
      <c r="E132" s="253">
        <v>258727938</v>
      </c>
      <c r="F132" s="253">
        <v>6651820</v>
      </c>
      <c r="G132" s="253">
        <f>E132-F132</f>
        <v>252076118</v>
      </c>
      <c r="H132" s="220">
        <v>313186016</v>
      </c>
      <c r="I132" s="220">
        <v>5745472</v>
      </c>
      <c r="J132" s="220">
        <f t="shared" si="20"/>
        <v>307440544</v>
      </c>
      <c r="K132" s="206">
        <v>310408696</v>
      </c>
      <c r="L132" s="220">
        <v>7666900</v>
      </c>
      <c r="M132" s="220">
        <f t="shared" si="21"/>
        <v>302741796</v>
      </c>
      <c r="N132" s="206">
        <v>349201519</v>
      </c>
      <c r="O132" s="101"/>
      <c r="P132" s="501" t="s">
        <v>1187</v>
      </c>
      <c r="Q132" s="454">
        <f>E133/1000</f>
        <v>35756.911</v>
      </c>
      <c r="R132" s="455">
        <f t="shared" si="22"/>
        <v>3.0159026580493176E-2</v>
      </c>
      <c r="S132" s="101"/>
      <c r="T132" s="101"/>
      <c r="U132" s="101"/>
      <c r="V132" s="101"/>
    </row>
    <row r="133" spans="2:25" ht="40.5" x14ac:dyDescent="0.25">
      <c r="B133" s="323" t="s">
        <v>601</v>
      </c>
      <c r="C133" s="161" t="s">
        <v>796</v>
      </c>
      <c r="D133" s="188" t="s">
        <v>465</v>
      </c>
      <c r="E133" s="253">
        <v>35756911</v>
      </c>
      <c r="F133" s="253">
        <v>5347347</v>
      </c>
      <c r="G133" s="253">
        <f>E133-F133</f>
        <v>30409564</v>
      </c>
      <c r="H133" s="220">
        <v>31539990</v>
      </c>
      <c r="I133" s="220">
        <v>3912950</v>
      </c>
      <c r="J133" s="220">
        <f t="shared" si="20"/>
        <v>27627040</v>
      </c>
      <c r="K133" s="206">
        <v>31234733</v>
      </c>
      <c r="L133" s="220">
        <v>5864382.9800000004</v>
      </c>
      <c r="M133" s="220">
        <f t="shared" si="21"/>
        <v>25370350.02</v>
      </c>
      <c r="N133" s="206">
        <v>33401589</v>
      </c>
      <c r="O133" s="101"/>
      <c r="P133" s="501" t="s">
        <v>1188</v>
      </c>
      <c r="Q133" s="454">
        <f>E134/1000</f>
        <v>4877.4979999999996</v>
      </c>
      <c r="R133" s="455">
        <f t="shared" si="22"/>
        <v>4.1139065907651335E-3</v>
      </c>
      <c r="S133" s="101"/>
      <c r="T133" s="101"/>
      <c r="U133" s="101"/>
      <c r="V133" s="101"/>
    </row>
    <row r="134" spans="2:25" ht="33.75" customHeight="1" x14ac:dyDescent="0.25">
      <c r="B134" s="323" t="s">
        <v>602</v>
      </c>
      <c r="C134" s="161" t="s">
        <v>789</v>
      </c>
      <c r="D134" s="188" t="s">
        <v>465</v>
      </c>
      <c r="E134" s="253">
        <v>4877498</v>
      </c>
      <c r="F134" s="253">
        <v>1725884</v>
      </c>
      <c r="G134" s="253">
        <f>E134-F134</f>
        <v>3151614</v>
      </c>
      <c r="H134" s="220">
        <v>10140453.119999999</v>
      </c>
      <c r="I134" s="220">
        <v>4098693</v>
      </c>
      <c r="J134" s="220">
        <f>H134-I134</f>
        <v>6041760.1199999992</v>
      </c>
      <c r="K134" s="206">
        <v>4085548.5</v>
      </c>
      <c r="L134" s="220">
        <v>447660</v>
      </c>
      <c r="M134" s="220">
        <f>K134-L134</f>
        <v>3637888.5</v>
      </c>
      <c r="N134" s="324">
        <f>N130-N131-N132-N133</f>
        <v>0</v>
      </c>
      <c r="O134" s="101"/>
      <c r="P134" s="456"/>
      <c r="Q134" s="501"/>
      <c r="R134" s="457"/>
      <c r="S134" s="101"/>
      <c r="T134" s="101"/>
      <c r="U134" s="101"/>
      <c r="V134" s="101"/>
    </row>
    <row r="135" spans="2:25" ht="27" x14ac:dyDescent="0.25">
      <c r="B135" s="221" t="s">
        <v>604</v>
      </c>
      <c r="C135" s="161" t="s">
        <v>790</v>
      </c>
      <c r="D135" s="188" t="s">
        <v>465</v>
      </c>
      <c r="E135" s="253">
        <v>198664193</v>
      </c>
      <c r="F135" s="253">
        <v>100852766</v>
      </c>
      <c r="G135" s="253">
        <f>E135-F135</f>
        <v>97811427</v>
      </c>
      <c r="H135" s="220">
        <v>163172051</v>
      </c>
      <c r="I135" s="220">
        <v>108461156</v>
      </c>
      <c r="J135" s="220">
        <f t="shared" si="20"/>
        <v>54710895</v>
      </c>
      <c r="K135" s="206">
        <v>139236654</v>
      </c>
      <c r="L135" s="220">
        <v>115360132</v>
      </c>
      <c r="M135" s="220">
        <f t="shared" si="21"/>
        <v>23876522</v>
      </c>
      <c r="N135" s="206">
        <v>130534843</v>
      </c>
      <c r="O135" s="101"/>
      <c r="P135" s="501" t="s">
        <v>1189</v>
      </c>
      <c r="Q135" s="502">
        <f>SUM(Q127:Q133)</f>
        <v>1185612.2379999999</v>
      </c>
      <c r="R135" s="457">
        <f>SUM(R127:R134)</f>
        <v>1</v>
      </c>
      <c r="S135" s="101"/>
      <c r="T135" s="101"/>
      <c r="U135" s="101"/>
      <c r="V135" s="101"/>
    </row>
    <row r="137" spans="2:25" ht="40.5" x14ac:dyDescent="0.35">
      <c r="B137" s="221" t="s">
        <v>467</v>
      </c>
      <c r="C137" s="160" t="s">
        <v>797</v>
      </c>
      <c r="D137" s="188" t="s">
        <v>591</v>
      </c>
      <c r="E137" s="258">
        <f>E135/E128</f>
        <v>0.41015331242742104</v>
      </c>
      <c r="F137" s="258">
        <f>F135/F128</f>
        <v>0.77231924754321724</v>
      </c>
      <c r="G137" s="258">
        <f>G135/G128</f>
        <v>0.27647419672818013</v>
      </c>
      <c r="H137" s="222">
        <v>0.32269999999999999</v>
      </c>
      <c r="I137" s="222">
        <f>I135/I128</f>
        <v>0.78514681372272588</v>
      </c>
      <c r="J137" s="222">
        <f>J135/J128</f>
        <v>0.14874050794985028</v>
      </c>
      <c r="K137" s="222">
        <v>0.2893</v>
      </c>
      <c r="L137" s="222">
        <f>L135/L128</f>
        <v>0.76868637559131425</v>
      </c>
      <c r="M137" s="222">
        <f>M135/M128</f>
        <v>7.2035924757605369E-2</v>
      </c>
      <c r="N137" s="222">
        <v>0.25790000000000002</v>
      </c>
      <c r="O137" s="101"/>
      <c r="P137" s="101"/>
      <c r="R137" s="58">
        <f>21.8+16.2+0.6+52.2+5.8+3+0.4</f>
        <v>100.00000000000001</v>
      </c>
      <c r="S137" s="101"/>
      <c r="T137" s="101"/>
      <c r="U137" s="101"/>
      <c r="V137" s="101"/>
    </row>
    <row r="138" spans="2:25" x14ac:dyDescent="0.35">
      <c r="B138" s="119"/>
      <c r="C138" s="119"/>
      <c r="D138" s="120"/>
      <c r="E138" s="120"/>
      <c r="F138" s="120"/>
      <c r="G138" s="120"/>
      <c r="H138" s="121"/>
      <c r="I138" s="121"/>
      <c r="J138" s="121"/>
      <c r="K138" s="122"/>
      <c r="L138" s="122"/>
      <c r="M138" s="122"/>
      <c r="N138" s="101"/>
      <c r="O138" s="101"/>
      <c r="P138" s="101"/>
      <c r="S138" s="101"/>
      <c r="T138" s="101"/>
      <c r="U138" s="101"/>
      <c r="V138" s="101"/>
      <c r="W138" s="101"/>
      <c r="X138" s="101"/>
      <c r="Y138" s="101"/>
    </row>
    <row r="139" spans="2:25" ht="19.5" x14ac:dyDescent="0.35">
      <c r="B139" s="99"/>
      <c r="C139" s="99"/>
      <c r="D139" s="120"/>
      <c r="E139" s="147"/>
      <c r="F139" s="120"/>
      <c r="G139" s="120"/>
      <c r="H139" s="121"/>
      <c r="I139" s="121"/>
      <c r="J139" s="121"/>
      <c r="K139" s="122"/>
      <c r="L139" s="122"/>
      <c r="M139" s="122"/>
      <c r="N139" s="101"/>
      <c r="O139" s="101"/>
      <c r="P139" s="101"/>
      <c r="S139" s="101"/>
      <c r="T139" s="101"/>
      <c r="U139" s="101"/>
      <c r="V139" s="101"/>
      <c r="W139" s="101"/>
      <c r="X139" s="101"/>
      <c r="Y139" s="101"/>
    </row>
    <row r="140" spans="2:25" ht="19.5" x14ac:dyDescent="0.35">
      <c r="B140" s="243" t="s">
        <v>667</v>
      </c>
      <c r="C140" s="244" t="s">
        <v>798</v>
      </c>
      <c r="D140" s="260" t="s">
        <v>430</v>
      </c>
      <c r="E140" s="245" t="s">
        <v>433</v>
      </c>
    </row>
    <row r="141" spans="2:25" x14ac:dyDescent="0.35">
      <c r="B141" s="188" t="s">
        <v>669</v>
      </c>
      <c r="C141" s="161" t="s">
        <v>799</v>
      </c>
      <c r="D141" s="188" t="s">
        <v>670</v>
      </c>
      <c r="E141" s="259">
        <v>0</v>
      </c>
    </row>
    <row r="147" spans="8:14" x14ac:dyDescent="0.35">
      <c r="H147" s="101"/>
    </row>
    <row r="148" spans="8:14" x14ac:dyDescent="0.25">
      <c r="L148" s="101"/>
      <c r="N148" s="7"/>
    </row>
  </sheetData>
  <mergeCells count="18">
    <mergeCell ref="E115:G115"/>
    <mergeCell ref="H115:J115"/>
    <mergeCell ref="K115:M115"/>
    <mergeCell ref="G45:I45"/>
    <mergeCell ref="G107:I107"/>
    <mergeCell ref="J107:O107"/>
    <mergeCell ref="E109:G109"/>
    <mergeCell ref="H109:J109"/>
    <mergeCell ref="K109:M109"/>
    <mergeCell ref="B2:N2"/>
    <mergeCell ref="B4:L4"/>
    <mergeCell ref="G6:I6"/>
    <mergeCell ref="E8:G8"/>
    <mergeCell ref="H8:J8"/>
    <mergeCell ref="K8:M8"/>
    <mergeCell ref="B8:B9"/>
    <mergeCell ref="C8:C9"/>
    <mergeCell ref="D8:D9"/>
  </mergeCells>
  <pageMargins left="0.25" right="0.25" top="0.75" bottom="0.75" header="0.3" footer="0.3"/>
  <pageSetup paperSize="9" scale="30" fitToHeight="0"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2C0-729B-4E4A-A86E-48E914A1F7E5}">
  <sheetPr codeName="Sheet23"/>
  <dimension ref="A1:R182"/>
  <sheetViews>
    <sheetView workbookViewId="0"/>
  </sheetViews>
  <sheetFormatPr defaultColWidth="8.81640625" defaultRowHeight="13.5" x14ac:dyDescent="0.25"/>
  <cols>
    <col min="1" max="1" width="21.453125" style="2" customWidth="1"/>
    <col min="2" max="2" width="52.81640625" style="9" customWidth="1"/>
    <col min="3" max="3" width="83.453125" style="9" customWidth="1"/>
    <col min="4" max="4" width="14.81640625" style="9" customWidth="1"/>
    <col min="5" max="5" width="15.453125" style="9" customWidth="1"/>
    <col min="6" max="6" width="15.1796875" style="9" customWidth="1"/>
    <col min="7" max="8" width="14.81640625" style="9" customWidth="1"/>
    <col min="9" max="9" width="16.81640625" style="9" customWidth="1"/>
    <col min="10" max="13" width="14.81640625" style="9" customWidth="1"/>
    <col min="14" max="14" width="13.1796875" style="9" customWidth="1"/>
    <col min="15" max="15" width="9.1796875" style="9" customWidth="1"/>
    <col min="16" max="18" width="9.1796875" style="2" customWidth="1"/>
    <col min="19" max="16384" width="8.81640625" style="2"/>
  </cols>
  <sheetData>
    <row r="1" spans="1:18" ht="34" x14ac:dyDescent="0.6">
      <c r="A1" s="60"/>
    </row>
    <row r="2" spans="1:18" ht="34" x14ac:dyDescent="0.6">
      <c r="A2" s="60"/>
      <c r="B2" s="1665" t="s">
        <v>23</v>
      </c>
      <c r="C2" s="1665"/>
      <c r="D2" s="1665"/>
      <c r="E2" s="1665"/>
      <c r="F2" s="1665"/>
      <c r="G2" s="1665"/>
      <c r="H2" s="1665"/>
      <c r="I2" s="1665"/>
      <c r="J2" s="1665"/>
      <c r="K2" s="1665"/>
      <c r="L2" s="1665"/>
      <c r="M2" s="1665"/>
      <c r="N2" s="1665"/>
      <c r="O2" s="1665"/>
      <c r="P2" s="1665"/>
      <c r="Q2" s="1665"/>
      <c r="R2" s="1665"/>
    </row>
    <row r="4" spans="1:18" ht="22.5" customHeight="1" x14ac:dyDescent="0.25">
      <c r="B4" s="1743" t="s">
        <v>1190</v>
      </c>
      <c r="C4" s="1743"/>
      <c r="D4" s="1743"/>
      <c r="E4" s="1743"/>
      <c r="F4" s="1743"/>
      <c r="G4" s="1743"/>
      <c r="H4" s="1743"/>
      <c r="I4" s="1743"/>
      <c r="J4" s="1743"/>
      <c r="K4" s="1743"/>
      <c r="L4" s="1743"/>
      <c r="M4" s="1743"/>
      <c r="N4" s="1743"/>
      <c r="O4" s="1743"/>
    </row>
    <row r="5" spans="1:18" x14ac:dyDescent="0.25">
      <c r="B5" s="61"/>
      <c r="C5" s="61"/>
      <c r="D5" s="61"/>
      <c r="E5" s="61"/>
      <c r="F5" s="61"/>
      <c r="G5" s="61"/>
      <c r="H5" s="61"/>
      <c r="I5" s="61"/>
      <c r="J5" s="61"/>
      <c r="K5" s="61"/>
      <c r="L5" s="61"/>
      <c r="M5" s="61"/>
      <c r="N5" s="61"/>
      <c r="O5" s="61"/>
    </row>
    <row r="6" spans="1:18" ht="17.5" customHeight="1" x14ac:dyDescent="0.25">
      <c r="B6" s="284" t="s">
        <v>1191</v>
      </c>
      <c r="C6" s="469" t="s">
        <v>1192</v>
      </c>
      <c r="D6" s="1744" t="s">
        <v>433</v>
      </c>
      <c r="E6" s="1744"/>
      <c r="F6" s="1744"/>
      <c r="G6" s="1744" t="s">
        <v>434</v>
      </c>
      <c r="H6" s="1744"/>
      <c r="I6" s="1744"/>
      <c r="J6" s="1744" t="s">
        <v>435</v>
      </c>
      <c r="K6" s="1744"/>
      <c r="L6" s="1745"/>
      <c r="M6" s="1746" t="s">
        <v>1193</v>
      </c>
      <c r="N6" s="1746" t="s">
        <v>1194</v>
      </c>
      <c r="O6" s="61"/>
      <c r="P6" s="61"/>
    </row>
    <row r="7" spans="1:18" ht="31" customHeight="1" x14ac:dyDescent="0.25">
      <c r="A7" s="9"/>
      <c r="B7" s="285" t="s">
        <v>809</v>
      </c>
      <c r="C7" s="286" t="s">
        <v>1195</v>
      </c>
      <c r="D7" s="287" t="s">
        <v>810</v>
      </c>
      <c r="E7" s="287" t="s">
        <v>811</v>
      </c>
      <c r="F7" s="287" t="s">
        <v>708</v>
      </c>
      <c r="G7" s="287" t="s">
        <v>810</v>
      </c>
      <c r="H7" s="287" t="s">
        <v>811</v>
      </c>
      <c r="I7" s="287" t="s">
        <v>708</v>
      </c>
      <c r="J7" s="287" t="s">
        <v>810</v>
      </c>
      <c r="K7" s="287" t="s">
        <v>811</v>
      </c>
      <c r="L7" s="321" t="s">
        <v>708</v>
      </c>
      <c r="M7" s="1747"/>
      <c r="N7" s="1747"/>
      <c r="O7" s="92" t="s">
        <v>813</v>
      </c>
    </row>
    <row r="8" spans="1:18" x14ac:dyDescent="0.25">
      <c r="B8" s="193" t="s">
        <v>814</v>
      </c>
      <c r="C8" s="473"/>
      <c r="D8" s="283"/>
      <c r="E8" s="283"/>
      <c r="F8" s="283"/>
      <c r="G8" s="283"/>
      <c r="H8" s="283"/>
      <c r="I8" s="283"/>
      <c r="J8" s="283"/>
      <c r="K8" s="283"/>
      <c r="L8" s="283"/>
      <c r="M8" s="344"/>
      <c r="N8" s="92"/>
      <c r="O8" s="92"/>
    </row>
    <row r="9" spans="1:18" x14ac:dyDescent="0.25">
      <c r="B9" s="288" t="s">
        <v>815</v>
      </c>
      <c r="C9" s="1710" t="s">
        <v>1196</v>
      </c>
      <c r="D9" s="472">
        <v>1116</v>
      </c>
      <c r="E9" s="472">
        <v>2798</v>
      </c>
      <c r="F9" s="472">
        <f>SUM(D9:E9)</f>
        <v>3914</v>
      </c>
      <c r="G9" s="1698">
        <v>2333</v>
      </c>
      <c r="H9" s="1698">
        <v>4901</v>
      </c>
      <c r="I9" s="1698">
        <f>SUM(G9:H9)</f>
        <v>7234</v>
      </c>
      <c r="J9" s="1698">
        <v>2344</v>
      </c>
      <c r="K9" s="1698">
        <v>5229</v>
      </c>
      <c r="L9" s="1698">
        <f>J9+K9</f>
        <v>7573</v>
      </c>
      <c r="M9" s="343">
        <f t="shared" ref="M9:M14" si="0">D9/F9</f>
        <v>0.28513030148185997</v>
      </c>
      <c r="N9" s="1612"/>
      <c r="O9" s="1612"/>
      <c r="P9" s="2" t="str">
        <f>B9</f>
        <v xml:space="preserve">UK </v>
      </c>
      <c r="Q9" s="89">
        <f>F9+F16</f>
        <v>4079</v>
      </c>
    </row>
    <row r="10" spans="1:18" x14ac:dyDescent="0.25">
      <c r="B10" s="288" t="s">
        <v>816</v>
      </c>
      <c r="C10" s="1710"/>
      <c r="D10" s="472">
        <v>1088</v>
      </c>
      <c r="E10" s="472">
        <v>1602</v>
      </c>
      <c r="F10" s="472">
        <f>SUM(D10:E10)</f>
        <v>2690</v>
      </c>
      <c r="G10" s="1698"/>
      <c r="H10" s="1698"/>
      <c r="I10" s="1698"/>
      <c r="J10" s="1698"/>
      <c r="K10" s="1698"/>
      <c r="L10" s="1698"/>
      <c r="M10" s="343">
        <f t="shared" si="0"/>
        <v>0.40446096654275093</v>
      </c>
      <c r="N10" s="1736"/>
      <c r="O10" s="1736"/>
      <c r="P10" s="2" t="str">
        <f>B10</f>
        <v>Rest of Europe</v>
      </c>
      <c r="Q10" s="89">
        <f>F10+F17</f>
        <v>2858</v>
      </c>
    </row>
    <row r="11" spans="1:18" x14ac:dyDescent="0.25">
      <c r="B11" s="288" t="s">
        <v>817</v>
      </c>
      <c r="C11" s="1710"/>
      <c r="D11" s="472">
        <v>554</v>
      </c>
      <c r="E11" s="472">
        <v>1606</v>
      </c>
      <c r="F11" s="472">
        <f>SUM(D11:E11)</f>
        <v>2160</v>
      </c>
      <c r="G11" s="472">
        <v>685</v>
      </c>
      <c r="H11" s="472">
        <v>2076</v>
      </c>
      <c r="I11" s="472">
        <f>SUM(G11:H11)</f>
        <v>2761</v>
      </c>
      <c r="J11" s="472">
        <v>660</v>
      </c>
      <c r="K11" s="472">
        <v>2078</v>
      </c>
      <c r="L11" s="472">
        <f>J11+K11</f>
        <v>2738</v>
      </c>
      <c r="M11" s="343">
        <f t="shared" si="0"/>
        <v>0.25648148148148148</v>
      </c>
      <c r="N11" s="94"/>
      <c r="O11" s="94"/>
      <c r="P11" s="2" t="str">
        <f>B11</f>
        <v>North America</v>
      </c>
      <c r="Q11" s="89">
        <f>F11+F18</f>
        <v>2186</v>
      </c>
    </row>
    <row r="12" spans="1:18" x14ac:dyDescent="0.25">
      <c r="B12" s="288" t="s">
        <v>818</v>
      </c>
      <c r="C12" s="1710"/>
      <c r="D12" s="472">
        <v>537</v>
      </c>
      <c r="E12" s="472">
        <v>1902</v>
      </c>
      <c r="F12" s="472">
        <f>SUM(D12:E12)</f>
        <v>2439</v>
      </c>
      <c r="G12" s="472">
        <v>510</v>
      </c>
      <c r="H12" s="472">
        <v>1965</v>
      </c>
      <c r="I12" s="472">
        <f>SUM(G12:H12)</f>
        <v>2475</v>
      </c>
      <c r="J12" s="472">
        <v>441</v>
      </c>
      <c r="K12" s="472">
        <v>1913</v>
      </c>
      <c r="L12" s="472">
        <f>J12+K12</f>
        <v>2354</v>
      </c>
      <c r="M12" s="343">
        <f t="shared" si="0"/>
        <v>0.22017220172201721</v>
      </c>
      <c r="N12" s="94"/>
      <c r="O12" s="94"/>
      <c r="P12" s="2" t="str">
        <f>B12</f>
        <v>Asia</v>
      </c>
      <c r="Q12" s="89">
        <f>F12+F19</f>
        <v>2459</v>
      </c>
    </row>
    <row r="13" spans="1:18" x14ac:dyDescent="0.25">
      <c r="B13" s="288" t="s">
        <v>819</v>
      </c>
      <c r="C13" s="1710"/>
      <c r="D13" s="472">
        <v>280</v>
      </c>
      <c r="E13" s="472">
        <v>701</v>
      </c>
      <c r="F13" s="472">
        <f>SUM(D13:E13)</f>
        <v>981</v>
      </c>
      <c r="G13" s="472">
        <v>200</v>
      </c>
      <c r="H13" s="472">
        <v>410</v>
      </c>
      <c r="I13" s="472">
        <f>SUM(G13:H13)</f>
        <v>610</v>
      </c>
      <c r="J13" s="472">
        <v>198</v>
      </c>
      <c r="K13" s="472">
        <v>396</v>
      </c>
      <c r="L13" s="472">
        <f>J13+K13</f>
        <v>594</v>
      </c>
      <c r="M13" s="343">
        <f t="shared" si="0"/>
        <v>0.2854230377166157</v>
      </c>
      <c r="N13" s="94"/>
      <c r="O13" s="94"/>
      <c r="P13" s="2" t="str">
        <f>B13</f>
        <v>Rest of World</v>
      </c>
      <c r="Q13" s="89">
        <f>F13+F20</f>
        <v>1056</v>
      </c>
    </row>
    <row r="14" spans="1:18" x14ac:dyDescent="0.25">
      <c r="B14" s="424" t="s">
        <v>820</v>
      </c>
      <c r="C14" s="1710"/>
      <c r="D14" s="472">
        <f t="shared" ref="D14:L14" si="1">SUM(D9:D13)</f>
        <v>3575</v>
      </c>
      <c r="E14" s="472">
        <f t="shared" si="1"/>
        <v>8609</v>
      </c>
      <c r="F14" s="472">
        <f t="shared" si="1"/>
        <v>12184</v>
      </c>
      <c r="G14" s="472">
        <f t="shared" si="1"/>
        <v>3728</v>
      </c>
      <c r="H14" s="472">
        <f t="shared" si="1"/>
        <v>9352</v>
      </c>
      <c r="I14" s="472">
        <f t="shared" si="1"/>
        <v>13080</v>
      </c>
      <c r="J14" s="472">
        <f t="shared" si="1"/>
        <v>3643</v>
      </c>
      <c r="K14" s="472">
        <f t="shared" si="1"/>
        <v>9616</v>
      </c>
      <c r="L14" s="472">
        <f t="shared" si="1"/>
        <v>13259</v>
      </c>
      <c r="M14" s="343">
        <f t="shared" si="0"/>
        <v>0.29341759684832569</v>
      </c>
      <c r="N14" s="95"/>
      <c r="O14" s="95"/>
      <c r="Q14" s="89"/>
    </row>
    <row r="15" spans="1:18" x14ac:dyDescent="0.25">
      <c r="B15" s="328" t="s">
        <v>821</v>
      </c>
      <c r="C15" s="334"/>
      <c r="D15" s="335"/>
      <c r="E15" s="335"/>
      <c r="F15" s="335"/>
      <c r="G15" s="335"/>
      <c r="H15" s="335"/>
      <c r="I15" s="335"/>
      <c r="J15" s="335"/>
      <c r="K15" s="335"/>
      <c r="L15" s="335"/>
      <c r="M15" s="343"/>
      <c r="N15" s="92"/>
      <c r="O15" s="92"/>
    </row>
    <row r="16" spans="1:18" ht="14.5" x14ac:dyDescent="0.35">
      <c r="B16" s="336" t="s">
        <v>815</v>
      </c>
      <c r="C16" s="1740" t="s">
        <v>1197</v>
      </c>
      <c r="D16" s="470">
        <v>64</v>
      </c>
      <c r="E16" s="470">
        <v>101</v>
      </c>
      <c r="F16" s="470">
        <f>SUM(D16:E16)</f>
        <v>165</v>
      </c>
      <c r="G16" s="1742">
        <v>102</v>
      </c>
      <c r="H16" s="1742">
        <v>104</v>
      </c>
      <c r="I16" s="1742">
        <f>SUM(G16:H16)</f>
        <v>206</v>
      </c>
      <c r="J16" s="1742">
        <v>103</v>
      </c>
      <c r="K16" s="1742">
        <v>154</v>
      </c>
      <c r="L16" s="1742">
        <f>J16+K16</f>
        <v>257</v>
      </c>
      <c r="M16" s="343">
        <f t="shared" ref="M16:M21" si="2">D16/F16</f>
        <v>0.38787878787878788</v>
      </c>
      <c r="N16" s="92"/>
      <c r="O16" s="92"/>
      <c r="P16" t="s">
        <v>822</v>
      </c>
      <c r="Q16" s="378">
        <v>0.54900000000000004</v>
      </c>
      <c r="R16" s="379">
        <v>0.55000000000000004</v>
      </c>
    </row>
    <row r="17" spans="1:18" x14ac:dyDescent="0.25">
      <c r="B17" s="336" t="s">
        <v>816</v>
      </c>
      <c r="C17" s="1740"/>
      <c r="D17" s="470">
        <v>77</v>
      </c>
      <c r="E17" s="470">
        <v>91</v>
      </c>
      <c r="F17" s="470">
        <f>SUM(D17:E17)</f>
        <v>168</v>
      </c>
      <c r="G17" s="1742"/>
      <c r="H17" s="1742"/>
      <c r="I17" s="1742"/>
      <c r="J17" s="1742"/>
      <c r="K17" s="1742"/>
      <c r="L17" s="1742"/>
      <c r="M17" s="343">
        <f t="shared" si="2"/>
        <v>0.45833333333333331</v>
      </c>
      <c r="N17" s="93"/>
      <c r="O17" s="93"/>
      <c r="P17" s="2" t="s">
        <v>823</v>
      </c>
      <c r="Q17" s="378">
        <v>8.3000000000000004E-2</v>
      </c>
      <c r="R17" s="379">
        <v>0.08</v>
      </c>
    </row>
    <row r="18" spans="1:18" x14ac:dyDescent="0.25">
      <c r="B18" s="336" t="s">
        <v>817</v>
      </c>
      <c r="C18" s="1740"/>
      <c r="D18" s="470">
        <v>13</v>
      </c>
      <c r="E18" s="470">
        <v>13</v>
      </c>
      <c r="F18" s="470">
        <f>SUM(D18:E18)</f>
        <v>26</v>
      </c>
      <c r="G18" s="470">
        <v>30</v>
      </c>
      <c r="H18" s="470">
        <v>44</v>
      </c>
      <c r="I18" s="470">
        <f>SUM(G18:H18)</f>
        <v>74</v>
      </c>
      <c r="J18" s="470">
        <v>4</v>
      </c>
      <c r="K18" s="470">
        <v>51</v>
      </c>
      <c r="L18" s="470">
        <f>J18+K18</f>
        <v>55</v>
      </c>
      <c r="M18" s="343">
        <f t="shared" si="2"/>
        <v>0.5</v>
      </c>
      <c r="N18" s="93"/>
      <c r="O18" s="93"/>
      <c r="P18" s="2" t="s">
        <v>824</v>
      </c>
      <c r="Q18" s="378">
        <v>0.111</v>
      </c>
      <c r="R18" s="379">
        <v>0.11</v>
      </c>
    </row>
    <row r="19" spans="1:18" x14ac:dyDescent="0.25">
      <c r="B19" s="336" t="s">
        <v>818</v>
      </c>
      <c r="C19" s="1740"/>
      <c r="D19" s="470">
        <v>10</v>
      </c>
      <c r="E19" s="470">
        <v>10</v>
      </c>
      <c r="F19" s="470">
        <f>SUM(D19:E19)</f>
        <v>20</v>
      </c>
      <c r="G19" s="470">
        <v>10</v>
      </c>
      <c r="H19" s="470">
        <v>12</v>
      </c>
      <c r="I19" s="470">
        <f>SUM(G19:H19)</f>
        <v>22</v>
      </c>
      <c r="J19" s="470">
        <v>14</v>
      </c>
      <c r="K19" s="470">
        <v>13</v>
      </c>
      <c r="L19" s="470">
        <f>J19+K19</f>
        <v>27</v>
      </c>
      <c r="M19" s="343">
        <f t="shared" si="2"/>
        <v>0.5</v>
      </c>
      <c r="N19" s="93"/>
      <c r="O19" s="93"/>
      <c r="P19" s="2" t="s">
        <v>817</v>
      </c>
      <c r="Q19" s="378">
        <v>0.17299999999999999</v>
      </c>
      <c r="R19" s="379">
        <v>0.17</v>
      </c>
    </row>
    <row r="20" spans="1:18" x14ac:dyDescent="0.25">
      <c r="B20" s="336" t="s">
        <v>819</v>
      </c>
      <c r="C20" s="1740"/>
      <c r="D20" s="470">
        <v>34</v>
      </c>
      <c r="E20" s="470">
        <v>41</v>
      </c>
      <c r="F20" s="470">
        <f>SUM(D20:E20)</f>
        <v>75</v>
      </c>
      <c r="G20" s="470">
        <v>28</v>
      </c>
      <c r="H20" s="470">
        <v>20</v>
      </c>
      <c r="I20" s="470">
        <f>SUM(G20:H20)</f>
        <v>48</v>
      </c>
      <c r="J20" s="470">
        <v>19</v>
      </c>
      <c r="K20" s="470">
        <v>24</v>
      </c>
      <c r="L20" s="470">
        <f>J20+K20</f>
        <v>43</v>
      </c>
      <c r="M20" s="343">
        <f t="shared" si="2"/>
        <v>0.45333333333333331</v>
      </c>
      <c r="N20" s="93"/>
      <c r="O20" s="93"/>
      <c r="P20" s="2" t="s">
        <v>819</v>
      </c>
      <c r="Q20" s="378">
        <v>8.4000000000000005E-2</v>
      </c>
      <c r="R20" s="379">
        <v>0.09</v>
      </c>
    </row>
    <row r="21" spans="1:18" x14ac:dyDescent="0.25">
      <c r="B21" s="423" t="s">
        <v>820</v>
      </c>
      <c r="C21" s="1741"/>
      <c r="D21" s="413">
        <f t="shared" ref="D21:K21" si="3">SUM(D16:D20)</f>
        <v>198</v>
      </c>
      <c r="E21" s="413">
        <f t="shared" si="3"/>
        <v>256</v>
      </c>
      <c r="F21" s="413">
        <f t="shared" si="3"/>
        <v>454</v>
      </c>
      <c r="G21" s="413">
        <f t="shared" si="3"/>
        <v>170</v>
      </c>
      <c r="H21" s="413">
        <f t="shared" si="3"/>
        <v>180</v>
      </c>
      <c r="I21" s="413">
        <f t="shared" si="3"/>
        <v>350</v>
      </c>
      <c r="J21" s="413">
        <f t="shared" si="3"/>
        <v>140</v>
      </c>
      <c r="K21" s="413">
        <f t="shared" si="3"/>
        <v>242</v>
      </c>
      <c r="L21" s="413">
        <f>J21+K21</f>
        <v>382</v>
      </c>
      <c r="M21" s="414">
        <f t="shared" si="2"/>
        <v>0.43612334801762115</v>
      </c>
      <c r="N21" s="61"/>
      <c r="O21" s="61"/>
      <c r="Q21" s="378">
        <f>SUM(Q16:Q20)</f>
        <v>0.99999999999999989</v>
      </c>
      <c r="R21" s="342">
        <f>SUM(R16:R20)</f>
        <v>1</v>
      </c>
    </row>
    <row r="22" spans="1:18" x14ac:dyDescent="0.25">
      <c r="B22" s="416" t="s">
        <v>825</v>
      </c>
      <c r="C22" s="417"/>
      <c r="D22" s="418"/>
      <c r="E22" s="418"/>
      <c r="F22" s="418"/>
      <c r="G22" s="418"/>
      <c r="H22" s="418"/>
      <c r="I22" s="418"/>
      <c r="J22" s="418"/>
      <c r="K22" s="418"/>
      <c r="L22" s="418"/>
      <c r="M22" s="418"/>
      <c r="N22" s="61"/>
      <c r="O22" s="61"/>
    </row>
    <row r="23" spans="1:18" x14ac:dyDescent="0.25">
      <c r="B23" s="419" t="s">
        <v>815</v>
      </c>
      <c r="C23" s="1739" t="s">
        <v>1198</v>
      </c>
      <c r="D23" s="430">
        <f t="shared" ref="D23:L23" si="4">D9+D16</f>
        <v>1180</v>
      </c>
      <c r="E23" s="430">
        <f t="shared" si="4"/>
        <v>2899</v>
      </c>
      <c r="F23" s="430">
        <f t="shared" si="4"/>
        <v>4079</v>
      </c>
      <c r="G23" s="1734">
        <f t="shared" si="4"/>
        <v>2435</v>
      </c>
      <c r="H23" s="1734">
        <f t="shared" si="4"/>
        <v>5005</v>
      </c>
      <c r="I23" s="1734">
        <f t="shared" si="4"/>
        <v>7440</v>
      </c>
      <c r="J23" s="1734">
        <f t="shared" si="4"/>
        <v>2447</v>
      </c>
      <c r="K23" s="1734">
        <f t="shared" si="4"/>
        <v>5383</v>
      </c>
      <c r="L23" s="1734">
        <f t="shared" si="4"/>
        <v>7830</v>
      </c>
      <c r="M23" s="421">
        <f t="shared" ref="M23:M28" si="5">D23/F23</f>
        <v>0.28928658985045352</v>
      </c>
      <c r="N23" s="61"/>
      <c r="O23" s="61"/>
    </row>
    <row r="24" spans="1:18" x14ac:dyDescent="0.25">
      <c r="B24" s="419" t="s">
        <v>816</v>
      </c>
      <c r="C24" s="1739"/>
      <c r="D24" s="430">
        <f t="shared" ref="D24:F27" si="6">D10+D17</f>
        <v>1165</v>
      </c>
      <c r="E24" s="430">
        <f t="shared" si="6"/>
        <v>1693</v>
      </c>
      <c r="F24" s="430">
        <f t="shared" si="6"/>
        <v>2858</v>
      </c>
      <c r="G24" s="1735"/>
      <c r="H24" s="1735"/>
      <c r="I24" s="1735"/>
      <c r="J24" s="1735"/>
      <c r="K24" s="1735"/>
      <c r="L24" s="1735"/>
      <c r="M24" s="421">
        <f t="shared" si="5"/>
        <v>0.40762771168649403</v>
      </c>
      <c r="N24" s="61"/>
      <c r="O24" s="61"/>
    </row>
    <row r="25" spans="1:18" x14ac:dyDescent="0.25">
      <c r="B25" s="419" t="s">
        <v>817</v>
      </c>
      <c r="C25" s="1739"/>
      <c r="D25" s="430">
        <f t="shared" si="6"/>
        <v>567</v>
      </c>
      <c r="E25" s="430">
        <f t="shared" si="6"/>
        <v>1619</v>
      </c>
      <c r="F25" s="430">
        <f t="shared" si="6"/>
        <v>2186</v>
      </c>
      <c r="G25" s="430">
        <f t="shared" ref="G25:L27" si="7">G11+G18</f>
        <v>715</v>
      </c>
      <c r="H25" s="430">
        <f t="shared" si="7"/>
        <v>2120</v>
      </c>
      <c r="I25" s="430">
        <f t="shared" si="7"/>
        <v>2835</v>
      </c>
      <c r="J25" s="430">
        <f t="shared" si="7"/>
        <v>664</v>
      </c>
      <c r="K25" s="430">
        <f t="shared" si="7"/>
        <v>2129</v>
      </c>
      <c r="L25" s="430">
        <f t="shared" si="7"/>
        <v>2793</v>
      </c>
      <c r="M25" s="421">
        <f t="shared" si="5"/>
        <v>0.25937785910338518</v>
      </c>
      <c r="N25" s="61"/>
      <c r="O25" s="61"/>
    </row>
    <row r="26" spans="1:18" x14ac:dyDescent="0.25">
      <c r="B26" s="419" t="s">
        <v>818</v>
      </c>
      <c r="C26" s="1739"/>
      <c r="D26" s="430">
        <f t="shared" si="6"/>
        <v>547</v>
      </c>
      <c r="E26" s="430">
        <f t="shared" si="6"/>
        <v>1912</v>
      </c>
      <c r="F26" s="430">
        <f t="shared" si="6"/>
        <v>2459</v>
      </c>
      <c r="G26" s="430">
        <f t="shared" si="7"/>
        <v>520</v>
      </c>
      <c r="H26" s="430">
        <f t="shared" si="7"/>
        <v>1977</v>
      </c>
      <c r="I26" s="430">
        <f t="shared" si="7"/>
        <v>2497</v>
      </c>
      <c r="J26" s="430">
        <f t="shared" si="7"/>
        <v>455</v>
      </c>
      <c r="K26" s="430">
        <f t="shared" si="7"/>
        <v>1926</v>
      </c>
      <c r="L26" s="430">
        <f t="shared" si="7"/>
        <v>2381</v>
      </c>
      <c r="M26" s="421">
        <f t="shared" si="5"/>
        <v>0.22244814965433102</v>
      </c>
      <c r="N26" s="61"/>
      <c r="O26" s="61"/>
    </row>
    <row r="27" spans="1:18" x14ac:dyDescent="0.25">
      <c r="B27" s="419" t="s">
        <v>819</v>
      </c>
      <c r="C27" s="1739"/>
      <c r="D27" s="430">
        <f t="shared" si="6"/>
        <v>314</v>
      </c>
      <c r="E27" s="430">
        <f t="shared" si="6"/>
        <v>742</v>
      </c>
      <c r="F27" s="430">
        <f t="shared" si="6"/>
        <v>1056</v>
      </c>
      <c r="G27" s="430">
        <f t="shared" si="7"/>
        <v>228</v>
      </c>
      <c r="H27" s="430">
        <f t="shared" si="7"/>
        <v>430</v>
      </c>
      <c r="I27" s="430">
        <f t="shared" si="7"/>
        <v>658</v>
      </c>
      <c r="J27" s="430">
        <f t="shared" si="7"/>
        <v>217</v>
      </c>
      <c r="K27" s="430">
        <f t="shared" si="7"/>
        <v>420</v>
      </c>
      <c r="L27" s="430">
        <f t="shared" si="7"/>
        <v>637</v>
      </c>
      <c r="M27" s="421">
        <f t="shared" si="5"/>
        <v>0.29734848484848486</v>
      </c>
      <c r="N27" s="61"/>
      <c r="O27" s="61"/>
    </row>
    <row r="28" spans="1:18" x14ac:dyDescent="0.25">
      <c r="B28" s="422" t="s">
        <v>820</v>
      </c>
      <c r="C28" s="1739"/>
      <c r="D28" s="420">
        <f>D14+D21</f>
        <v>3773</v>
      </c>
      <c r="E28" s="420">
        <f>E14+E21</f>
        <v>8865</v>
      </c>
      <c r="F28" s="420">
        <f>D28+E28</f>
        <v>12638</v>
      </c>
      <c r="G28" s="420">
        <f>G14+G21</f>
        <v>3898</v>
      </c>
      <c r="H28" s="420">
        <f>H14+H21</f>
        <v>9532</v>
      </c>
      <c r="I28" s="420">
        <f>G28+H28</f>
        <v>13430</v>
      </c>
      <c r="J28" s="420">
        <f>J14+J21</f>
        <v>3783</v>
      </c>
      <c r="K28" s="420">
        <f>K14+K21</f>
        <v>9858</v>
      </c>
      <c r="L28" s="420">
        <f>J28+K28</f>
        <v>13641</v>
      </c>
      <c r="M28" s="421">
        <f t="shared" si="5"/>
        <v>0.29854407342934008</v>
      </c>
      <c r="N28" s="61"/>
      <c r="O28" s="61"/>
    </row>
    <row r="29" spans="1:18" x14ac:dyDescent="0.25">
      <c r="B29" s="340"/>
      <c r="C29" s="341"/>
      <c r="D29" s="519"/>
      <c r="E29" s="519"/>
      <c r="F29" s="519"/>
      <c r="G29" s="519"/>
      <c r="H29" s="519"/>
      <c r="I29" s="519"/>
      <c r="J29" s="519"/>
      <c r="K29" s="519"/>
      <c r="L29" s="519"/>
      <c r="M29" s="519"/>
      <c r="N29" s="1612"/>
      <c r="O29" s="61"/>
    </row>
    <row r="30" spans="1:18" x14ac:dyDescent="0.25">
      <c r="B30" s="428" t="s">
        <v>827</v>
      </c>
      <c r="C30" s="429" t="s">
        <v>1199</v>
      </c>
      <c r="D30" s="430">
        <v>3</v>
      </c>
      <c r="E30" s="430">
        <v>6</v>
      </c>
      <c r="F30" s="430">
        <f t="shared" ref="F30:F35" si="8">D30+E30</f>
        <v>9</v>
      </c>
      <c r="G30" s="430">
        <v>3</v>
      </c>
      <c r="H30" s="430">
        <v>6</v>
      </c>
      <c r="I30" s="430">
        <f t="shared" ref="I30:I35" si="9">G30+H30</f>
        <v>9</v>
      </c>
      <c r="J30" s="430">
        <v>2</v>
      </c>
      <c r="K30" s="430">
        <v>5</v>
      </c>
      <c r="L30" s="430">
        <f t="shared" ref="L30:L35" si="10">J30+K30</f>
        <v>7</v>
      </c>
      <c r="M30" s="421">
        <f t="shared" ref="M30:M35" si="11">D30/F30</f>
        <v>0.33333333333333331</v>
      </c>
      <c r="N30" s="1736"/>
      <c r="O30" s="61"/>
    </row>
    <row r="31" spans="1:18" x14ac:dyDescent="0.25">
      <c r="B31" s="428" t="s">
        <v>828</v>
      </c>
      <c r="C31" s="429" t="s">
        <v>1200</v>
      </c>
      <c r="D31" s="430">
        <v>3</v>
      </c>
      <c r="E31" s="430">
        <v>9</v>
      </c>
      <c r="F31" s="430">
        <f t="shared" si="8"/>
        <v>12</v>
      </c>
      <c r="G31" s="430">
        <v>2</v>
      </c>
      <c r="H31" s="430">
        <v>6</v>
      </c>
      <c r="I31" s="430">
        <f t="shared" si="9"/>
        <v>8</v>
      </c>
      <c r="J31" s="430">
        <v>4</v>
      </c>
      <c r="K31" s="430">
        <v>5</v>
      </c>
      <c r="L31" s="430">
        <f t="shared" si="10"/>
        <v>9</v>
      </c>
      <c r="M31" s="421">
        <f t="shared" si="11"/>
        <v>0.25</v>
      </c>
      <c r="O31" s="61"/>
    </row>
    <row r="32" spans="1:18" s="9" customFormat="1" ht="28" customHeight="1" x14ac:dyDescent="0.25">
      <c r="A32" s="2"/>
      <c r="B32" s="426" t="s">
        <v>829</v>
      </c>
      <c r="C32" s="427" t="s">
        <v>1201</v>
      </c>
      <c r="D32" s="425">
        <v>13</v>
      </c>
      <c r="E32" s="425">
        <v>86</v>
      </c>
      <c r="F32" s="425">
        <f t="shared" si="8"/>
        <v>99</v>
      </c>
      <c r="G32" s="425">
        <v>17</v>
      </c>
      <c r="H32" s="425">
        <v>100</v>
      </c>
      <c r="I32" s="425">
        <f t="shared" si="9"/>
        <v>117</v>
      </c>
      <c r="J32" s="425">
        <v>16</v>
      </c>
      <c r="K32" s="425">
        <v>95</v>
      </c>
      <c r="L32" s="425">
        <f t="shared" si="10"/>
        <v>111</v>
      </c>
      <c r="M32" s="415">
        <f t="shared" si="11"/>
        <v>0.13131313131313133</v>
      </c>
      <c r="O32" s="61"/>
    </row>
    <row r="33" spans="1:15" x14ac:dyDescent="0.25">
      <c r="B33" s="332" t="s">
        <v>830</v>
      </c>
      <c r="C33" s="333" t="s">
        <v>1202</v>
      </c>
      <c r="D33" s="331">
        <v>31</v>
      </c>
      <c r="E33" s="331">
        <v>52</v>
      </c>
      <c r="F33" s="331">
        <f t="shared" si="8"/>
        <v>83</v>
      </c>
      <c r="G33" s="331">
        <v>22</v>
      </c>
      <c r="H33" s="331">
        <v>38</v>
      </c>
      <c r="I33" s="331">
        <f t="shared" si="9"/>
        <v>60</v>
      </c>
      <c r="J33" s="331">
        <v>21</v>
      </c>
      <c r="K33" s="331">
        <v>41</v>
      </c>
      <c r="L33" s="331">
        <f t="shared" si="10"/>
        <v>62</v>
      </c>
      <c r="M33" s="343">
        <f t="shared" si="11"/>
        <v>0.37349397590361444</v>
      </c>
      <c r="O33" s="61"/>
    </row>
    <row r="34" spans="1:15" ht="54" x14ac:dyDescent="0.25">
      <c r="B34" s="345" t="s">
        <v>1203</v>
      </c>
      <c r="C34" s="346" t="s">
        <v>1204</v>
      </c>
      <c r="D34" s="337">
        <v>478</v>
      </c>
      <c r="E34" s="337">
        <v>1223</v>
      </c>
      <c r="F34" s="337">
        <f t="shared" si="8"/>
        <v>1701</v>
      </c>
      <c r="G34" s="337">
        <v>487</v>
      </c>
      <c r="H34" s="337">
        <v>1302</v>
      </c>
      <c r="I34" s="337">
        <f t="shared" si="9"/>
        <v>1789</v>
      </c>
      <c r="J34" s="347"/>
      <c r="K34" s="347"/>
      <c r="L34" s="348">
        <f t="shared" si="10"/>
        <v>0</v>
      </c>
      <c r="M34" s="409">
        <f t="shared" si="11"/>
        <v>0.28101116990005881</v>
      </c>
      <c r="N34" s="410">
        <f>(M34-0.3)/(0.4-0.3)</f>
        <v>-0.18988830099941173</v>
      </c>
      <c r="O34" s="71"/>
    </row>
    <row r="35" spans="1:15" x14ac:dyDescent="0.25">
      <c r="B35" s="329" t="s">
        <v>832</v>
      </c>
      <c r="C35" s="330"/>
      <c r="D35" s="331">
        <v>748</v>
      </c>
      <c r="E35" s="331">
        <v>1496</v>
      </c>
      <c r="F35" s="331">
        <f t="shared" si="8"/>
        <v>2244</v>
      </c>
      <c r="G35" s="331">
        <v>718</v>
      </c>
      <c r="H35" s="331">
        <v>1355</v>
      </c>
      <c r="I35" s="331">
        <f t="shared" si="9"/>
        <v>2073</v>
      </c>
      <c r="J35" s="331">
        <v>475</v>
      </c>
      <c r="K35" s="331">
        <v>1117</v>
      </c>
      <c r="L35" s="331">
        <f t="shared" si="10"/>
        <v>1592</v>
      </c>
      <c r="M35" s="343">
        <f t="shared" si="11"/>
        <v>0.33333333333333331</v>
      </c>
      <c r="O35" s="61"/>
    </row>
    <row r="36" spans="1:15" x14ac:dyDescent="0.25">
      <c r="C36" s="64"/>
      <c r="D36" s="520"/>
      <c r="E36" s="520"/>
      <c r="F36" s="521"/>
      <c r="G36" s="522"/>
      <c r="H36" s="522"/>
      <c r="I36" s="522"/>
      <c r="J36" s="520"/>
      <c r="K36" s="520"/>
      <c r="L36" s="520"/>
      <c r="M36" s="61"/>
      <c r="O36" s="61"/>
    </row>
    <row r="37" spans="1:15" x14ac:dyDescent="0.25">
      <c r="B37" s="313" t="s">
        <v>835</v>
      </c>
      <c r="C37" s="296"/>
      <c r="D37" s="291">
        <v>0</v>
      </c>
      <c r="E37" s="291">
        <v>0</v>
      </c>
      <c r="F37" s="291">
        <f>D37+E37</f>
        <v>0</v>
      </c>
      <c r="G37" s="291">
        <v>0</v>
      </c>
      <c r="H37" s="291">
        <v>0</v>
      </c>
      <c r="I37" s="291">
        <f>G37+H37</f>
        <v>0</v>
      </c>
      <c r="J37" s="291">
        <v>1</v>
      </c>
      <c r="K37" s="291">
        <v>0</v>
      </c>
      <c r="L37" s="291">
        <v>1</v>
      </c>
      <c r="M37" s="61"/>
      <c r="O37" s="61"/>
    </row>
    <row r="38" spans="1:15" x14ac:dyDescent="0.25">
      <c r="B38" s="313" t="s">
        <v>837</v>
      </c>
      <c r="C38" s="296"/>
      <c r="D38" s="291">
        <v>0</v>
      </c>
      <c r="E38" s="291">
        <v>3</v>
      </c>
      <c r="F38" s="291">
        <f>D38+E38</f>
        <v>3</v>
      </c>
      <c r="G38" s="291">
        <v>0</v>
      </c>
      <c r="H38" s="291">
        <v>3</v>
      </c>
      <c r="I38" s="291">
        <f>G38+H38</f>
        <v>3</v>
      </c>
      <c r="J38" s="291">
        <v>0</v>
      </c>
      <c r="K38" s="291">
        <v>2</v>
      </c>
      <c r="L38" s="291">
        <v>2</v>
      </c>
      <c r="M38" s="61"/>
      <c r="O38" s="61"/>
    </row>
    <row r="39" spans="1:15" x14ac:dyDescent="0.25">
      <c r="B39" s="313" t="s">
        <v>838</v>
      </c>
      <c r="C39" s="296"/>
      <c r="D39" s="291">
        <v>0</v>
      </c>
      <c r="E39" s="291">
        <v>2</v>
      </c>
      <c r="F39" s="291">
        <f>D39+E39</f>
        <v>2</v>
      </c>
      <c r="G39" s="291">
        <v>0</v>
      </c>
      <c r="H39" s="291">
        <v>2</v>
      </c>
      <c r="I39" s="291">
        <f>G39+H39</f>
        <v>2</v>
      </c>
      <c r="J39" s="291">
        <v>2</v>
      </c>
      <c r="K39" s="291">
        <v>4</v>
      </c>
      <c r="L39" s="291">
        <v>6</v>
      </c>
      <c r="M39" s="61"/>
      <c r="O39" s="61"/>
    </row>
    <row r="40" spans="1:15" x14ac:dyDescent="0.25">
      <c r="B40" s="313" t="s">
        <v>839</v>
      </c>
      <c r="C40" s="296"/>
      <c r="D40" s="291">
        <v>3</v>
      </c>
      <c r="E40" s="291">
        <v>1</v>
      </c>
      <c r="F40" s="291">
        <f>D40+E40</f>
        <v>4</v>
      </c>
      <c r="G40" s="291">
        <v>3</v>
      </c>
      <c r="H40" s="291">
        <v>1</v>
      </c>
      <c r="I40" s="291">
        <f>G40+H40</f>
        <v>4</v>
      </c>
      <c r="J40" s="291">
        <v>0</v>
      </c>
      <c r="K40" s="291">
        <v>0</v>
      </c>
      <c r="L40" s="291">
        <v>0</v>
      </c>
      <c r="M40" s="61"/>
      <c r="O40" s="61"/>
    </row>
    <row r="41" spans="1:15" x14ac:dyDescent="0.25">
      <c r="B41" s="314" t="s">
        <v>840</v>
      </c>
      <c r="C41" s="315"/>
      <c r="D41" s="293">
        <f t="shared" ref="D41:K41" si="12">SUM(D37:D40)</f>
        <v>3</v>
      </c>
      <c r="E41" s="293">
        <f t="shared" si="12"/>
        <v>6</v>
      </c>
      <c r="F41" s="293">
        <f t="shared" si="12"/>
        <v>9</v>
      </c>
      <c r="G41" s="293">
        <f t="shared" si="12"/>
        <v>3</v>
      </c>
      <c r="H41" s="293">
        <f t="shared" si="12"/>
        <v>6</v>
      </c>
      <c r="I41" s="293">
        <f t="shared" si="12"/>
        <v>9</v>
      </c>
      <c r="J41" s="293">
        <f t="shared" si="12"/>
        <v>3</v>
      </c>
      <c r="K41" s="293">
        <f t="shared" si="12"/>
        <v>6</v>
      </c>
      <c r="L41" s="293">
        <v>9</v>
      </c>
      <c r="M41" s="343">
        <f>D41/F41</f>
        <v>0.33333333333333331</v>
      </c>
      <c r="O41" s="61"/>
    </row>
    <row r="42" spans="1:15" x14ac:dyDescent="0.25">
      <c r="C42" s="64"/>
      <c r="D42" s="523"/>
      <c r="E42" s="523"/>
      <c r="F42" s="521"/>
      <c r="G42" s="521"/>
      <c r="H42" s="521"/>
      <c r="I42" s="521"/>
      <c r="J42" s="523"/>
      <c r="K42" s="523"/>
      <c r="L42" s="523"/>
      <c r="M42" s="61"/>
      <c r="O42" s="61"/>
    </row>
    <row r="43" spans="1:15" ht="21.65" customHeight="1" x14ac:dyDescent="0.25">
      <c r="B43" s="272" t="s">
        <v>841</v>
      </c>
      <c r="C43" s="1716" t="s">
        <v>1205</v>
      </c>
      <c r="D43" s="291">
        <v>640</v>
      </c>
      <c r="E43" s="291">
        <v>1388</v>
      </c>
      <c r="F43" s="291">
        <f>D43+E43</f>
        <v>2028</v>
      </c>
      <c r="G43" s="352">
        <v>719</v>
      </c>
      <c r="H43" s="352">
        <v>1509</v>
      </c>
      <c r="I43" s="352">
        <f>G43+H43</f>
        <v>2228</v>
      </c>
      <c r="J43" s="352">
        <v>730</v>
      </c>
      <c r="K43" s="352">
        <v>1608</v>
      </c>
      <c r="L43" s="352">
        <f>J43+K43</f>
        <v>2338</v>
      </c>
      <c r="M43" s="343">
        <f>D43/F43</f>
        <v>0.31558185404339251</v>
      </c>
      <c r="O43" s="61"/>
    </row>
    <row r="44" spans="1:15" ht="21.65" customHeight="1" x14ac:dyDescent="0.25">
      <c r="B44" s="272" t="s">
        <v>1206</v>
      </c>
      <c r="C44" s="1716"/>
      <c r="D44" s="291">
        <v>1971</v>
      </c>
      <c r="E44" s="291">
        <v>4463</v>
      </c>
      <c r="F44" s="291">
        <f>D44+E44</f>
        <v>6434</v>
      </c>
      <c r="G44" s="1737">
        <v>2477</v>
      </c>
      <c r="H44" s="1737">
        <v>6050</v>
      </c>
      <c r="I44" s="1737">
        <f>G44+H44</f>
        <v>8527</v>
      </c>
      <c r="J44" s="1737">
        <v>2331</v>
      </c>
      <c r="K44" s="1737">
        <v>5927</v>
      </c>
      <c r="L44" s="1737">
        <f>J44+K44</f>
        <v>8258</v>
      </c>
      <c r="M44" s="343">
        <f>D44/F44</f>
        <v>0.30634131178116258</v>
      </c>
      <c r="O44" s="61"/>
    </row>
    <row r="45" spans="1:15" ht="21.65" customHeight="1" x14ac:dyDescent="0.25">
      <c r="A45" s="6"/>
      <c r="B45" s="272" t="s">
        <v>843</v>
      </c>
      <c r="C45" s="1716"/>
      <c r="D45" s="291">
        <v>962</v>
      </c>
      <c r="E45" s="291">
        <v>2456</v>
      </c>
      <c r="F45" s="291">
        <f>D45+E45</f>
        <v>3418</v>
      </c>
      <c r="G45" s="1738"/>
      <c r="H45" s="1738"/>
      <c r="I45" s="1738"/>
      <c r="J45" s="1738"/>
      <c r="K45" s="1738"/>
      <c r="L45" s="1738"/>
      <c r="M45" s="343">
        <f>D45/F45</f>
        <v>0.28145114101813928</v>
      </c>
      <c r="O45" s="61"/>
    </row>
    <row r="46" spans="1:15" ht="21.65" customHeight="1" x14ac:dyDescent="0.25">
      <c r="A46" s="370"/>
      <c r="B46" s="272" t="s">
        <v>844</v>
      </c>
      <c r="C46" s="1716"/>
      <c r="D46" s="291">
        <v>123</v>
      </c>
      <c r="E46" s="291">
        <v>434</v>
      </c>
      <c r="F46" s="291">
        <f>D46+E46</f>
        <v>557</v>
      </c>
      <c r="G46" s="352">
        <v>703</v>
      </c>
      <c r="H46" s="352">
        <v>1972</v>
      </c>
      <c r="I46" s="352">
        <f>G46+H46</f>
        <v>2675</v>
      </c>
      <c r="J46" s="352">
        <v>722</v>
      </c>
      <c r="K46" s="352">
        <v>2322</v>
      </c>
      <c r="L46" s="352">
        <f>J46+K46</f>
        <v>3044</v>
      </c>
      <c r="M46" s="343">
        <f>D46/F46</f>
        <v>0.22082585278276481</v>
      </c>
      <c r="O46" s="61"/>
    </row>
    <row r="47" spans="1:15" s="72" customFormat="1" ht="27" x14ac:dyDescent="0.25">
      <c r="A47" s="371"/>
      <c r="B47" s="193" t="s">
        <v>825</v>
      </c>
      <c r="C47" s="292" t="s">
        <v>1207</v>
      </c>
      <c r="D47" s="297">
        <f t="shared" ref="D47:L47" si="13">SUM(D43:D46)</f>
        <v>3696</v>
      </c>
      <c r="E47" s="297">
        <f t="shared" si="13"/>
        <v>8741</v>
      </c>
      <c r="F47" s="297">
        <f t="shared" si="13"/>
        <v>12437</v>
      </c>
      <c r="G47" s="353">
        <f t="shared" si="13"/>
        <v>3899</v>
      </c>
      <c r="H47" s="353">
        <f t="shared" si="13"/>
        <v>9531</v>
      </c>
      <c r="I47" s="353">
        <f t="shared" si="13"/>
        <v>13430</v>
      </c>
      <c r="J47" s="353">
        <f t="shared" si="13"/>
        <v>3783</v>
      </c>
      <c r="K47" s="353">
        <f t="shared" si="13"/>
        <v>9857</v>
      </c>
      <c r="L47" s="353">
        <f t="shared" si="13"/>
        <v>13640</v>
      </c>
      <c r="M47" s="343">
        <f>D47/F47</f>
        <v>0.2971777759909946</v>
      </c>
      <c r="O47" s="73"/>
    </row>
    <row r="48" spans="1:15" x14ac:dyDescent="0.25">
      <c r="B48" s="96"/>
      <c r="C48" s="311"/>
      <c r="D48" s="521"/>
      <c r="E48" s="521"/>
      <c r="F48" s="521"/>
      <c r="G48" s="521"/>
      <c r="H48" s="521"/>
      <c r="I48" s="521"/>
      <c r="J48" s="523"/>
      <c r="K48" s="523"/>
      <c r="L48" s="523"/>
      <c r="M48" s="61"/>
      <c r="O48" s="61"/>
    </row>
    <row r="49" spans="2:16" ht="16.5" customHeight="1" x14ac:dyDescent="0.25">
      <c r="B49" s="168" t="s">
        <v>832</v>
      </c>
      <c r="C49" s="473" t="s">
        <v>1208</v>
      </c>
      <c r="D49" s="299">
        <v>748</v>
      </c>
      <c r="E49" s="299">
        <v>1496</v>
      </c>
      <c r="F49" s="300">
        <f>D49+E49</f>
        <v>2244</v>
      </c>
      <c r="G49" s="291">
        <v>718</v>
      </c>
      <c r="H49" s="291">
        <v>1355</v>
      </c>
      <c r="I49" s="291">
        <f>G49+H49</f>
        <v>2073</v>
      </c>
      <c r="J49" s="291">
        <v>475</v>
      </c>
      <c r="K49" s="291">
        <v>1117</v>
      </c>
      <c r="L49" s="291">
        <f>J49+K49</f>
        <v>1592</v>
      </c>
      <c r="M49" s="61"/>
      <c r="O49" s="61"/>
    </row>
    <row r="50" spans="2:16" ht="17.25" customHeight="1" x14ac:dyDescent="0.25">
      <c r="B50" s="168" t="s">
        <v>872</v>
      </c>
      <c r="C50" s="473" t="s">
        <v>1209</v>
      </c>
      <c r="D50" s="301">
        <v>449</v>
      </c>
      <c r="E50" s="301">
        <v>1082</v>
      </c>
      <c r="F50" s="300">
        <f>D50+E50</f>
        <v>1531</v>
      </c>
      <c r="G50" s="295">
        <v>444</v>
      </c>
      <c r="H50" s="295">
        <v>1115</v>
      </c>
      <c r="I50" s="295">
        <f>G50+H50</f>
        <v>1559</v>
      </c>
      <c r="J50" s="295">
        <v>317</v>
      </c>
      <c r="K50" s="295">
        <v>797</v>
      </c>
      <c r="L50" s="295">
        <f>J50+K50</f>
        <v>1114</v>
      </c>
      <c r="M50" s="61"/>
      <c r="O50" s="61"/>
    </row>
    <row r="51" spans="2:16" ht="23.25" customHeight="1" x14ac:dyDescent="0.25">
      <c r="B51" s="168" t="s">
        <v>874</v>
      </c>
      <c r="C51" s="1716" t="s">
        <v>1210</v>
      </c>
      <c r="D51" s="301">
        <v>375</v>
      </c>
      <c r="E51" s="301">
        <v>996</v>
      </c>
      <c r="F51" s="300">
        <f>D51+E51</f>
        <v>1371</v>
      </c>
      <c r="G51" s="295">
        <v>115</v>
      </c>
      <c r="H51" s="295">
        <v>396</v>
      </c>
      <c r="I51" s="295">
        <f>G51+H51</f>
        <v>511</v>
      </c>
      <c r="J51" s="295">
        <v>230</v>
      </c>
      <c r="K51" s="295">
        <v>782</v>
      </c>
      <c r="L51" s="295">
        <f>J51+K51</f>
        <v>1012</v>
      </c>
      <c r="M51" s="61"/>
      <c r="O51" s="61"/>
    </row>
    <row r="52" spans="2:16" ht="26.25" customHeight="1" x14ac:dyDescent="0.25">
      <c r="B52" s="201" t="s">
        <v>1211</v>
      </c>
      <c r="C52" s="1716"/>
      <c r="D52" s="359">
        <v>125</v>
      </c>
      <c r="E52" s="359">
        <v>375</v>
      </c>
      <c r="F52" s="359">
        <f>D52+E52</f>
        <v>500</v>
      </c>
      <c r="G52" s="1717"/>
      <c r="H52" s="1718"/>
      <c r="I52" s="1719"/>
      <c r="J52" s="1717"/>
      <c r="K52" s="1718"/>
      <c r="L52" s="1719"/>
      <c r="M52" s="61"/>
      <c r="O52" s="61"/>
    </row>
    <row r="53" spans="2:16" ht="40.5" x14ac:dyDescent="0.25">
      <c r="B53" s="201" t="s">
        <v>876</v>
      </c>
      <c r="C53" s="473" t="s">
        <v>1212</v>
      </c>
      <c r="D53" s="302">
        <v>0.123</v>
      </c>
      <c r="E53" s="302">
        <v>0.121</v>
      </c>
      <c r="F53" s="302">
        <v>0.122</v>
      </c>
      <c r="G53" s="1720">
        <v>0.11550000000000001</v>
      </c>
      <c r="H53" s="1721"/>
      <c r="I53" s="1722"/>
      <c r="J53" s="1720">
        <v>8.2000000000000003E-2</v>
      </c>
      <c r="K53" s="1721"/>
      <c r="L53" s="1722"/>
      <c r="M53" s="61"/>
      <c r="O53" s="61"/>
    </row>
    <row r="54" spans="2:16" ht="28.5" customHeight="1" x14ac:dyDescent="0.25">
      <c r="B54" s="201" t="s">
        <v>1213</v>
      </c>
      <c r="C54" s="1716" t="s">
        <v>1214</v>
      </c>
      <c r="D54" s="302">
        <v>0.10299999999999999</v>
      </c>
      <c r="E54" s="302">
        <v>0.111</v>
      </c>
      <c r="F54" s="302">
        <v>0.109</v>
      </c>
      <c r="G54" s="1720">
        <v>3.7900000000000003E-2</v>
      </c>
      <c r="H54" s="1721"/>
      <c r="I54" s="1722"/>
      <c r="J54" s="1720">
        <v>7.4999999999999997E-2</v>
      </c>
      <c r="K54" s="1721"/>
      <c r="L54" s="1722"/>
      <c r="M54" s="61"/>
      <c r="O54" s="61"/>
    </row>
    <row r="55" spans="2:16" ht="35.15" customHeight="1" x14ac:dyDescent="0.25">
      <c r="B55" s="201" t="s">
        <v>1215</v>
      </c>
      <c r="C55" s="1716"/>
      <c r="D55" s="360">
        <v>3.4000000000000002E-2</v>
      </c>
      <c r="E55" s="360">
        <v>3.7999999999999999E-2</v>
      </c>
      <c r="F55" s="360">
        <v>3.6999999999999998E-2</v>
      </c>
      <c r="G55" s="1723">
        <v>3.8199999999999998E-2</v>
      </c>
      <c r="H55" s="1724"/>
      <c r="I55" s="1725"/>
      <c r="J55" s="1726">
        <v>7.5999999999999998E-2</v>
      </c>
      <c r="K55" s="1727"/>
      <c r="L55" s="1728"/>
      <c r="M55" s="61"/>
      <c r="O55" s="61"/>
    </row>
    <row r="56" spans="2:16" ht="30" customHeight="1" x14ac:dyDescent="0.25">
      <c r="B56" s="201" t="s">
        <v>1216</v>
      </c>
      <c r="C56" s="1729" t="s">
        <v>1217</v>
      </c>
      <c r="D56" s="302">
        <f>D53+D54</f>
        <v>0.22599999999999998</v>
      </c>
      <c r="E56" s="302">
        <f>E53+E54</f>
        <v>0.23199999999999998</v>
      </c>
      <c r="F56" s="302">
        <f>F53+F54</f>
        <v>0.23099999999999998</v>
      </c>
      <c r="G56" s="1731">
        <f>G53+G54</f>
        <v>0.15340000000000001</v>
      </c>
      <c r="H56" s="1732"/>
      <c r="I56" s="1733"/>
      <c r="J56" s="1731">
        <f>J53+J54</f>
        <v>0.157</v>
      </c>
      <c r="K56" s="1732"/>
      <c r="L56" s="1733"/>
      <c r="M56" s="61"/>
      <c r="O56" s="61"/>
    </row>
    <row r="57" spans="2:16" ht="30" customHeight="1" x14ac:dyDescent="0.25">
      <c r="B57" s="201" t="s">
        <v>1218</v>
      </c>
      <c r="C57" s="1730"/>
      <c r="D57" s="360">
        <f>D53+D55</f>
        <v>0.157</v>
      </c>
      <c r="E57" s="360">
        <f>E53+E55</f>
        <v>0.159</v>
      </c>
      <c r="F57" s="360">
        <f>F53+F55</f>
        <v>0.159</v>
      </c>
      <c r="G57" s="1723">
        <f>G53+G55</f>
        <v>0.1537</v>
      </c>
      <c r="H57" s="1724"/>
      <c r="I57" s="1725"/>
      <c r="J57" s="1723">
        <f>J53+J55</f>
        <v>0.158</v>
      </c>
      <c r="K57" s="1724"/>
      <c r="L57" s="1725"/>
      <c r="M57" s="61"/>
      <c r="O57" s="61"/>
    </row>
    <row r="58" spans="2:16" x14ac:dyDescent="0.25">
      <c r="B58" s="62" t="s">
        <v>1219</v>
      </c>
      <c r="C58" s="96"/>
      <c r="D58" s="63"/>
      <c r="E58" s="63"/>
      <c r="F58" s="63"/>
      <c r="G58" s="63"/>
      <c r="H58" s="63"/>
      <c r="I58" s="63"/>
      <c r="J58" s="63"/>
      <c r="K58" s="63"/>
      <c r="L58" s="63"/>
      <c r="M58" s="63"/>
      <c r="O58" s="61"/>
      <c r="P58" s="61"/>
    </row>
    <row r="59" spans="2:16" x14ac:dyDescent="0.25">
      <c r="B59" s="61"/>
      <c r="C59" s="61"/>
      <c r="D59" s="61"/>
      <c r="E59" s="61"/>
      <c r="F59" s="61"/>
      <c r="G59" s="61"/>
      <c r="H59" s="61"/>
      <c r="I59" s="61"/>
      <c r="J59" s="61"/>
      <c r="K59" s="61"/>
      <c r="L59" s="61"/>
      <c r="M59" s="61"/>
      <c r="O59" s="61"/>
    </row>
    <row r="60" spans="2:16" s="81" customFormat="1" ht="17.5" hidden="1" customHeight="1" x14ac:dyDescent="0.25">
      <c r="B60" s="75" t="s">
        <v>1220</v>
      </c>
      <c r="C60" s="76" t="s">
        <v>1192</v>
      </c>
      <c r="D60" s="77" t="s">
        <v>433</v>
      </c>
      <c r="E60" s="77" t="s">
        <v>434</v>
      </c>
      <c r="F60" s="77" t="s">
        <v>435</v>
      </c>
      <c r="G60" s="78"/>
      <c r="H60" s="79"/>
      <c r="I60" s="79"/>
      <c r="J60" s="78"/>
      <c r="K60" s="79"/>
      <c r="L60" s="79"/>
      <c r="M60" s="80"/>
      <c r="O60" s="80"/>
    </row>
    <row r="61" spans="2:16" s="81" customFormat="1" ht="17.5" hidden="1" customHeight="1" x14ac:dyDescent="0.25">
      <c r="B61" s="82" t="s">
        <v>1221</v>
      </c>
      <c r="C61" s="76"/>
      <c r="D61" s="83"/>
      <c r="E61" s="83"/>
      <c r="F61" s="83"/>
      <c r="G61" s="78"/>
      <c r="H61" s="79"/>
      <c r="I61" s="79"/>
      <c r="J61" s="78"/>
      <c r="K61" s="79"/>
      <c r="L61" s="79"/>
      <c r="M61" s="80"/>
      <c r="O61" s="80"/>
    </row>
    <row r="62" spans="2:16" s="81" customFormat="1" ht="17.5" hidden="1" customHeight="1" x14ac:dyDescent="0.25">
      <c r="B62" s="84" t="s">
        <v>815</v>
      </c>
      <c r="C62" s="1713" t="s">
        <v>1222</v>
      </c>
      <c r="D62" s="85"/>
      <c r="E62" s="85"/>
      <c r="F62" s="85"/>
      <c r="G62" s="80"/>
      <c r="H62" s="80"/>
      <c r="I62" s="80"/>
      <c r="J62" s="80"/>
      <c r="K62" s="80"/>
      <c r="L62" s="80"/>
      <c r="M62" s="80"/>
      <c r="O62" s="80"/>
    </row>
    <row r="63" spans="2:16" s="81" customFormat="1" ht="17.5" hidden="1" customHeight="1" x14ac:dyDescent="0.25">
      <c r="B63" s="84" t="s">
        <v>816</v>
      </c>
      <c r="C63" s="1713"/>
      <c r="D63" s="85"/>
      <c r="E63" s="85"/>
      <c r="F63" s="85"/>
      <c r="G63" s="80"/>
      <c r="H63" s="80"/>
      <c r="I63" s="80"/>
      <c r="J63" s="80"/>
      <c r="K63" s="80"/>
      <c r="L63" s="80"/>
      <c r="M63" s="80"/>
      <c r="O63" s="80"/>
    </row>
    <row r="64" spans="2:16" s="81" customFormat="1" ht="17.5" hidden="1" customHeight="1" x14ac:dyDescent="0.25">
      <c r="B64" s="84" t="s">
        <v>817</v>
      </c>
      <c r="C64" s="1713"/>
      <c r="D64" s="85"/>
      <c r="E64" s="85"/>
      <c r="F64" s="85"/>
      <c r="G64" s="80"/>
      <c r="H64" s="80"/>
      <c r="I64" s="80"/>
      <c r="J64" s="80"/>
      <c r="K64" s="80"/>
      <c r="L64" s="80"/>
      <c r="M64" s="80"/>
      <c r="O64" s="80"/>
    </row>
    <row r="65" spans="2:15" s="81" customFormat="1" ht="17.5" hidden="1" customHeight="1" x14ac:dyDescent="0.25">
      <c r="B65" s="84" t="s">
        <v>818</v>
      </c>
      <c r="C65" s="1713"/>
      <c r="D65" s="85"/>
      <c r="E65" s="85"/>
      <c r="F65" s="85"/>
      <c r="G65" s="80"/>
      <c r="H65" s="80"/>
      <c r="I65" s="80"/>
      <c r="J65" s="80"/>
      <c r="K65" s="80"/>
      <c r="L65" s="80"/>
      <c r="M65" s="80"/>
      <c r="O65" s="80"/>
    </row>
    <row r="66" spans="2:15" s="81" customFormat="1" ht="17.5" hidden="1" customHeight="1" x14ac:dyDescent="0.25">
      <c r="B66" s="84" t="s">
        <v>819</v>
      </c>
      <c r="C66" s="1713"/>
      <c r="D66" s="85"/>
      <c r="E66" s="85"/>
      <c r="F66" s="85"/>
      <c r="G66" s="80"/>
      <c r="H66" s="80"/>
      <c r="I66" s="80"/>
      <c r="J66" s="80"/>
      <c r="K66" s="80"/>
      <c r="L66" s="80"/>
      <c r="M66" s="80"/>
      <c r="O66" s="80"/>
    </row>
    <row r="67" spans="2:15" s="81" customFormat="1" ht="17.5" hidden="1" customHeight="1" x14ac:dyDescent="0.25">
      <c r="B67" s="86" t="s">
        <v>820</v>
      </c>
      <c r="C67" s="1713"/>
      <c r="D67" s="85">
        <f>SUM(D62:D66)</f>
        <v>0</v>
      </c>
      <c r="E67" s="85">
        <f>SUM(E62:E66)</f>
        <v>0</v>
      </c>
      <c r="F67" s="85">
        <f>SUM(F62:F66)</f>
        <v>0</v>
      </c>
      <c r="G67" s="80"/>
      <c r="H67" s="80"/>
      <c r="I67" s="80"/>
      <c r="J67" s="80"/>
      <c r="K67" s="80"/>
      <c r="L67" s="80"/>
      <c r="M67" s="80"/>
      <c r="O67" s="80"/>
    </row>
    <row r="68" spans="2:15" s="81" customFormat="1" ht="17.5" hidden="1" customHeight="1" x14ac:dyDescent="0.25">
      <c r="B68" s="87" t="s">
        <v>1223</v>
      </c>
      <c r="C68" s="475"/>
      <c r="D68" s="85"/>
      <c r="E68" s="85"/>
      <c r="F68" s="85"/>
      <c r="G68" s="80"/>
      <c r="H68" s="80"/>
      <c r="I68" s="80"/>
      <c r="J68" s="80"/>
      <c r="K68" s="80"/>
      <c r="L68" s="80"/>
      <c r="M68" s="80"/>
      <c r="O68" s="80"/>
    </row>
    <row r="69" spans="2:15" s="81" customFormat="1" ht="17.5" hidden="1" customHeight="1" x14ac:dyDescent="0.25">
      <c r="B69" s="84" t="s">
        <v>815</v>
      </c>
      <c r="C69" s="1713" t="s">
        <v>1224</v>
      </c>
      <c r="D69" s="85">
        <v>376</v>
      </c>
      <c r="E69" s="85"/>
      <c r="F69" s="85"/>
      <c r="G69" s="80"/>
      <c r="H69" s="80"/>
      <c r="I69" s="80"/>
      <c r="J69" s="80"/>
      <c r="K69" s="80"/>
      <c r="L69" s="80"/>
      <c r="M69" s="80"/>
      <c r="O69" s="80"/>
    </row>
    <row r="70" spans="2:15" s="81" customFormat="1" ht="17.5" hidden="1" customHeight="1" x14ac:dyDescent="0.25">
      <c r="B70" s="84" t="s">
        <v>816</v>
      </c>
      <c r="C70" s="1713"/>
      <c r="D70" s="85">
        <v>316</v>
      </c>
      <c r="E70" s="85"/>
      <c r="F70" s="85"/>
      <c r="G70" s="80"/>
      <c r="H70" s="80"/>
      <c r="I70" s="80"/>
      <c r="J70" s="80"/>
      <c r="K70" s="80"/>
      <c r="L70" s="80"/>
      <c r="M70" s="80"/>
      <c r="O70" s="80"/>
    </row>
    <row r="71" spans="2:15" s="81" customFormat="1" ht="17.5" hidden="1" customHeight="1" x14ac:dyDescent="0.25">
      <c r="B71" s="84" t="s">
        <v>817</v>
      </c>
      <c r="C71" s="1713"/>
      <c r="D71" s="85">
        <v>72</v>
      </c>
      <c r="E71" s="85"/>
      <c r="F71" s="85"/>
      <c r="G71" s="80"/>
      <c r="H71" s="80"/>
      <c r="I71" s="80"/>
      <c r="J71" s="80"/>
      <c r="K71" s="80"/>
      <c r="L71" s="80"/>
      <c r="M71" s="80"/>
      <c r="O71" s="80"/>
    </row>
    <row r="72" spans="2:15" s="81" customFormat="1" ht="17.5" hidden="1" customHeight="1" x14ac:dyDescent="0.25">
      <c r="B72" s="84" t="s">
        <v>818</v>
      </c>
      <c r="C72" s="1713"/>
      <c r="D72" s="85">
        <v>142</v>
      </c>
      <c r="E72" s="85"/>
      <c r="F72" s="85"/>
      <c r="G72" s="80"/>
      <c r="H72" s="80"/>
      <c r="I72" s="80"/>
      <c r="J72" s="80"/>
      <c r="K72" s="80"/>
      <c r="L72" s="80"/>
      <c r="M72" s="80"/>
      <c r="O72" s="80"/>
    </row>
    <row r="73" spans="2:15" s="81" customFormat="1" ht="17.5" hidden="1" customHeight="1" x14ac:dyDescent="0.25">
      <c r="B73" s="84" t="s">
        <v>819</v>
      </c>
      <c r="C73" s="1713"/>
      <c r="D73" s="85">
        <v>43</v>
      </c>
      <c r="E73" s="85"/>
      <c r="F73" s="85"/>
      <c r="G73" s="80"/>
      <c r="H73" s="80"/>
      <c r="I73" s="80"/>
      <c r="J73" s="80"/>
      <c r="K73" s="80"/>
      <c r="L73" s="80"/>
      <c r="M73" s="80"/>
      <c r="O73" s="80"/>
    </row>
    <row r="74" spans="2:15" s="81" customFormat="1" ht="17.5" hidden="1" customHeight="1" x14ac:dyDescent="0.25">
      <c r="B74" s="86" t="s">
        <v>820</v>
      </c>
      <c r="C74" s="1713"/>
      <c r="D74" s="85">
        <f>SUM(D69:D73)</f>
        <v>949</v>
      </c>
      <c r="E74" s="85">
        <f>SUM(E69:E73)</f>
        <v>0</v>
      </c>
      <c r="F74" s="85">
        <f>SUM(F69:F73)</f>
        <v>0</v>
      </c>
      <c r="G74" s="80"/>
      <c r="H74" s="80"/>
      <c r="I74" s="80"/>
      <c r="J74" s="80"/>
      <c r="K74" s="80"/>
      <c r="L74" s="80"/>
      <c r="M74" s="80"/>
      <c r="O74" s="80"/>
    </row>
    <row r="75" spans="2:15" s="81" customFormat="1" ht="17.5" hidden="1" customHeight="1" x14ac:dyDescent="0.25">
      <c r="B75" s="87" t="s">
        <v>1225</v>
      </c>
      <c r="C75" s="475"/>
      <c r="D75" s="85"/>
      <c r="E75" s="85"/>
      <c r="F75" s="85"/>
      <c r="G75" s="80"/>
      <c r="H75" s="80"/>
      <c r="I75" s="80"/>
      <c r="J75" s="80"/>
      <c r="K75" s="80"/>
      <c r="L75" s="80"/>
      <c r="M75" s="80"/>
      <c r="O75" s="80"/>
    </row>
    <row r="76" spans="2:15" s="81" customFormat="1" ht="17.5" hidden="1" customHeight="1" x14ac:dyDescent="0.25">
      <c r="B76" s="84" t="s">
        <v>815</v>
      </c>
      <c r="C76" s="1713" t="s">
        <v>1226</v>
      </c>
      <c r="D76" s="85"/>
      <c r="E76" s="85"/>
      <c r="F76" s="85"/>
      <c r="G76" s="80"/>
      <c r="H76" s="80"/>
      <c r="I76" s="80"/>
      <c r="J76" s="80"/>
      <c r="K76" s="80"/>
      <c r="L76" s="80"/>
      <c r="M76" s="80"/>
      <c r="O76" s="80"/>
    </row>
    <row r="77" spans="2:15" s="81" customFormat="1" ht="17.5" hidden="1" customHeight="1" x14ac:dyDescent="0.25">
      <c r="B77" s="84" t="s">
        <v>816</v>
      </c>
      <c r="C77" s="1713"/>
      <c r="D77" s="85"/>
      <c r="E77" s="85"/>
      <c r="F77" s="85"/>
      <c r="G77" s="80"/>
      <c r="H77" s="80"/>
      <c r="I77" s="80"/>
      <c r="J77" s="80"/>
      <c r="K77" s="80"/>
      <c r="L77" s="80"/>
      <c r="M77" s="80"/>
      <c r="O77" s="80"/>
    </row>
    <row r="78" spans="2:15" s="81" customFormat="1" ht="17.5" hidden="1" customHeight="1" x14ac:dyDescent="0.25">
      <c r="B78" s="84" t="s">
        <v>817</v>
      </c>
      <c r="C78" s="1713"/>
      <c r="D78" s="85"/>
      <c r="E78" s="85"/>
      <c r="F78" s="85"/>
      <c r="G78" s="80"/>
      <c r="H78" s="80"/>
      <c r="I78" s="80"/>
      <c r="J78" s="80"/>
      <c r="K78" s="80"/>
      <c r="L78" s="80"/>
      <c r="M78" s="80"/>
      <c r="O78" s="80"/>
    </row>
    <row r="79" spans="2:15" s="81" customFormat="1" ht="17.5" hidden="1" customHeight="1" x14ac:dyDescent="0.25">
      <c r="B79" s="84" t="s">
        <v>818</v>
      </c>
      <c r="C79" s="1713"/>
      <c r="D79" s="85"/>
      <c r="E79" s="85"/>
      <c r="F79" s="85"/>
      <c r="G79" s="80"/>
      <c r="H79" s="80"/>
      <c r="I79" s="80"/>
      <c r="J79" s="80"/>
      <c r="K79" s="80"/>
      <c r="L79" s="80"/>
      <c r="M79" s="80"/>
      <c r="O79" s="80"/>
    </row>
    <row r="80" spans="2:15" s="81" customFormat="1" ht="17.5" hidden="1" customHeight="1" x14ac:dyDescent="0.25">
      <c r="B80" s="84" t="s">
        <v>819</v>
      </c>
      <c r="C80" s="1713"/>
      <c r="D80" s="85"/>
      <c r="E80" s="85"/>
      <c r="F80" s="85"/>
      <c r="G80" s="80"/>
      <c r="H80" s="80"/>
      <c r="I80" s="80"/>
      <c r="J80" s="80"/>
      <c r="K80" s="80"/>
      <c r="L80" s="80"/>
      <c r="M80" s="80"/>
      <c r="O80" s="80"/>
    </row>
    <row r="81" spans="1:15" s="81" customFormat="1" ht="17.5" hidden="1" customHeight="1" x14ac:dyDescent="0.25">
      <c r="B81" s="86" t="s">
        <v>820</v>
      </c>
      <c r="C81" s="1713"/>
      <c r="D81" s="85">
        <f>SUM(D76:D80)</f>
        <v>0</v>
      </c>
      <c r="E81" s="85">
        <f>SUM(E76:E80)</f>
        <v>0</v>
      </c>
      <c r="F81" s="85">
        <f>SUM(F76:F80)</f>
        <v>0</v>
      </c>
      <c r="G81" s="80"/>
      <c r="H81" s="80"/>
      <c r="I81" s="80"/>
      <c r="J81" s="80"/>
      <c r="K81" s="80"/>
      <c r="L81" s="80"/>
      <c r="M81" s="80"/>
      <c r="O81" s="80"/>
    </row>
    <row r="82" spans="1:15" s="81" customFormat="1" ht="17.5" hidden="1" customHeight="1" x14ac:dyDescent="0.25">
      <c r="B82" s="88" t="s">
        <v>1227</v>
      </c>
      <c r="C82" s="475"/>
      <c r="D82" s="85">
        <f>D67+D74+D81</f>
        <v>949</v>
      </c>
      <c r="E82" s="85">
        <f>E67+E74+E81</f>
        <v>0</v>
      </c>
      <c r="F82" s="85">
        <f>F67+F74+F81</f>
        <v>0</v>
      </c>
      <c r="G82" s="80"/>
      <c r="H82" s="80"/>
      <c r="I82" s="80"/>
      <c r="J82" s="80"/>
      <c r="K82" s="80"/>
      <c r="L82" s="80"/>
      <c r="M82" s="80"/>
      <c r="O82" s="80"/>
    </row>
    <row r="83" spans="1:15" ht="23.15" customHeight="1" x14ac:dyDescent="0.25">
      <c r="A83" s="1714" t="s">
        <v>1228</v>
      </c>
      <c r="B83" s="308" t="s">
        <v>1220</v>
      </c>
      <c r="C83" s="310" t="s">
        <v>1192</v>
      </c>
      <c r="D83" s="479" t="s">
        <v>433</v>
      </c>
      <c r="E83" s="479" t="s">
        <v>434</v>
      </c>
      <c r="F83" s="479" t="s">
        <v>435</v>
      </c>
      <c r="G83" s="61"/>
      <c r="H83" s="61"/>
      <c r="I83" s="61"/>
      <c r="J83" s="61"/>
      <c r="K83" s="61"/>
      <c r="L83" s="61"/>
      <c r="M83" s="61"/>
      <c r="O83" s="61"/>
    </row>
    <row r="84" spans="1:15" x14ac:dyDescent="0.25">
      <c r="A84" s="1714"/>
      <c r="B84" s="288" t="s">
        <v>815</v>
      </c>
      <c r="C84" s="1715" t="s">
        <v>1229</v>
      </c>
      <c r="D84" s="303">
        <v>376</v>
      </c>
      <c r="E84" s="304"/>
      <c r="F84" s="304"/>
      <c r="G84" s="61"/>
      <c r="H84" s="61"/>
      <c r="I84" s="61"/>
      <c r="J84" s="61"/>
      <c r="K84" s="61"/>
      <c r="L84" s="61"/>
      <c r="M84" s="61"/>
      <c r="O84" s="61"/>
    </row>
    <row r="85" spans="1:15" x14ac:dyDescent="0.25">
      <c r="A85" s="1714"/>
      <c r="B85" s="288" t="s">
        <v>816</v>
      </c>
      <c r="C85" s="1715"/>
      <c r="D85" s="303">
        <v>316</v>
      </c>
      <c r="E85" s="304"/>
      <c r="F85" s="304"/>
      <c r="G85" s="61"/>
      <c r="H85" s="61"/>
      <c r="I85" s="61"/>
      <c r="J85" s="61"/>
      <c r="K85" s="61"/>
      <c r="L85" s="61"/>
      <c r="M85" s="61"/>
      <c r="O85" s="61"/>
    </row>
    <row r="86" spans="1:15" x14ac:dyDescent="0.25">
      <c r="A86" s="1714"/>
      <c r="B86" s="288" t="s">
        <v>817</v>
      </c>
      <c r="C86" s="1715"/>
      <c r="D86" s="303">
        <v>72</v>
      </c>
      <c r="E86" s="304"/>
      <c r="F86" s="304"/>
      <c r="G86" s="61"/>
      <c r="H86" s="61"/>
      <c r="I86" s="61"/>
      <c r="J86" s="61"/>
      <c r="K86" s="61"/>
      <c r="L86" s="61"/>
      <c r="M86" s="61"/>
      <c r="O86" s="61"/>
    </row>
    <row r="87" spans="1:15" x14ac:dyDescent="0.25">
      <c r="A87" s="1714"/>
      <c r="B87" s="288" t="s">
        <v>818</v>
      </c>
      <c r="C87" s="1715"/>
      <c r="D87" s="303">
        <v>142</v>
      </c>
      <c r="E87" s="304"/>
      <c r="F87" s="304"/>
      <c r="G87" s="61"/>
      <c r="H87" s="61"/>
      <c r="I87" s="61"/>
      <c r="J87" s="61"/>
      <c r="K87" s="61"/>
      <c r="L87" s="61"/>
      <c r="M87" s="61"/>
      <c r="O87" s="61"/>
    </row>
    <row r="88" spans="1:15" x14ac:dyDescent="0.25">
      <c r="A88" s="1714"/>
      <c r="B88" s="288" t="s">
        <v>819</v>
      </c>
      <c r="C88" s="1715"/>
      <c r="D88" s="303">
        <v>43</v>
      </c>
      <c r="E88" s="304"/>
      <c r="F88" s="304"/>
      <c r="G88" s="61"/>
      <c r="H88" s="61"/>
      <c r="I88" s="61"/>
      <c r="J88" s="61"/>
      <c r="K88" s="61"/>
      <c r="L88" s="61"/>
      <c r="M88" s="61"/>
      <c r="O88" s="61"/>
    </row>
    <row r="89" spans="1:15" x14ac:dyDescent="0.25">
      <c r="A89" s="1714"/>
      <c r="B89" s="289" t="s">
        <v>820</v>
      </c>
      <c r="C89" s="1715"/>
      <c r="D89" s="303">
        <f>SUM(D84:D88)</f>
        <v>949</v>
      </c>
      <c r="E89" s="304">
        <f>SUM(E84:E88)</f>
        <v>0</v>
      </c>
      <c r="F89" s="304">
        <f>SUM(F84:F88)</f>
        <v>0</v>
      </c>
      <c r="G89" s="61"/>
      <c r="H89" s="61"/>
      <c r="I89" s="61"/>
      <c r="J89" s="61"/>
      <c r="K89" s="61"/>
      <c r="L89" s="61"/>
      <c r="M89" s="61"/>
      <c r="O89" s="61"/>
    </row>
    <row r="90" spans="1:15" x14ac:dyDescent="0.25">
      <c r="C90" s="64"/>
      <c r="D90" s="474"/>
      <c r="E90" s="474"/>
      <c r="F90" s="474"/>
      <c r="G90" s="61"/>
      <c r="H90" s="61"/>
      <c r="I90" s="61"/>
      <c r="J90" s="61"/>
      <c r="K90" s="61"/>
      <c r="L90" s="61"/>
      <c r="M90" s="61"/>
      <c r="O90" s="61"/>
    </row>
    <row r="91" spans="1:15" ht="17.5" x14ac:dyDescent="0.25">
      <c r="B91" s="477" t="s">
        <v>1230</v>
      </c>
      <c r="C91" s="310" t="s">
        <v>1192</v>
      </c>
      <c r="D91" s="282" t="s">
        <v>433</v>
      </c>
      <c r="E91" s="282" t="s">
        <v>434</v>
      </c>
      <c r="F91" s="282" t="s">
        <v>435</v>
      </c>
      <c r="G91" s="61"/>
      <c r="H91" s="61"/>
      <c r="I91" s="61"/>
      <c r="J91" s="61"/>
      <c r="K91" s="61"/>
      <c r="L91" s="61"/>
      <c r="M91" s="61"/>
      <c r="O91" s="61"/>
    </row>
    <row r="92" spans="1:15" ht="27" x14ac:dyDescent="0.25">
      <c r="B92" s="327" t="s">
        <v>1231</v>
      </c>
      <c r="C92" s="305" t="s">
        <v>1232</v>
      </c>
      <c r="D92" s="354">
        <f>D89+F28</f>
        <v>13587</v>
      </c>
      <c r="E92" s="354">
        <f>E89+I28</f>
        <v>13430</v>
      </c>
      <c r="F92" s="355">
        <f>F89+L28</f>
        <v>13641</v>
      </c>
      <c r="G92" s="61"/>
      <c r="H92" s="61"/>
      <c r="I92" s="61"/>
      <c r="J92" s="61"/>
      <c r="K92" s="61"/>
      <c r="L92" s="61"/>
      <c r="M92" s="61"/>
      <c r="O92" s="61"/>
    </row>
    <row r="93" spans="1:15" x14ac:dyDescent="0.25">
      <c r="B93" s="168" t="s">
        <v>1233</v>
      </c>
      <c r="C93" s="307" t="s">
        <v>1198</v>
      </c>
      <c r="D93" s="173">
        <v>12666</v>
      </c>
      <c r="E93" s="173">
        <v>13497</v>
      </c>
      <c r="F93" s="173">
        <v>13546</v>
      </c>
      <c r="G93" s="61"/>
      <c r="H93" s="61"/>
      <c r="I93" s="61"/>
      <c r="J93" s="61"/>
      <c r="K93" s="61"/>
      <c r="L93" s="61"/>
      <c r="M93" s="61"/>
      <c r="O93" s="61"/>
    </row>
    <row r="94" spans="1:15" x14ac:dyDescent="0.25">
      <c r="B94" s="168" t="s">
        <v>1234</v>
      </c>
      <c r="C94" s="307" t="s">
        <v>1198</v>
      </c>
      <c r="D94" s="316">
        <v>12510</v>
      </c>
      <c r="E94" s="349"/>
      <c r="F94" s="349"/>
      <c r="G94" s="61"/>
      <c r="H94" s="61"/>
      <c r="I94" s="61"/>
      <c r="J94" s="61"/>
      <c r="K94" s="61"/>
      <c r="L94" s="61"/>
      <c r="M94" s="61"/>
      <c r="O94" s="61"/>
    </row>
    <row r="95" spans="1:15" x14ac:dyDescent="0.25">
      <c r="B95" s="61"/>
      <c r="C95" s="61"/>
      <c r="D95" s="61"/>
      <c r="E95" s="61"/>
      <c r="F95" s="61"/>
      <c r="G95" s="61"/>
      <c r="H95" s="61"/>
      <c r="I95" s="61"/>
      <c r="J95" s="61"/>
      <c r="K95" s="61"/>
      <c r="L95" s="61"/>
      <c r="M95" s="61"/>
      <c r="O95" s="61"/>
    </row>
    <row r="96" spans="1:15" ht="17.5" x14ac:dyDescent="0.25">
      <c r="B96" s="477" t="s">
        <v>1235</v>
      </c>
      <c r="C96" s="310" t="s">
        <v>1192</v>
      </c>
      <c r="D96" s="1708" t="s">
        <v>433</v>
      </c>
      <c r="E96" s="1708"/>
      <c r="F96" s="1708"/>
      <c r="G96" s="1708" t="s">
        <v>434</v>
      </c>
      <c r="H96" s="1708"/>
      <c r="I96" s="1708"/>
      <c r="J96" s="1708" t="s">
        <v>435</v>
      </c>
      <c r="K96" s="1708"/>
      <c r="L96" s="1709"/>
      <c r="M96" s="61"/>
      <c r="O96" s="61"/>
    </row>
    <row r="97" spans="1:15" ht="27" x14ac:dyDescent="0.25">
      <c r="B97" s="285" t="s">
        <v>809</v>
      </c>
      <c r="C97" s="286" t="s">
        <v>1195</v>
      </c>
      <c r="D97" s="287" t="s">
        <v>810</v>
      </c>
      <c r="E97" s="287" t="s">
        <v>811</v>
      </c>
      <c r="F97" s="287" t="s">
        <v>708</v>
      </c>
      <c r="G97" s="287" t="s">
        <v>810</v>
      </c>
      <c r="H97" s="287" t="s">
        <v>811</v>
      </c>
      <c r="I97" s="287" t="s">
        <v>708</v>
      </c>
      <c r="J97" s="287" t="s">
        <v>810</v>
      </c>
      <c r="K97" s="287" t="s">
        <v>811</v>
      </c>
      <c r="L97" s="321" t="s">
        <v>708</v>
      </c>
      <c r="M97" s="61"/>
      <c r="O97" s="61"/>
    </row>
    <row r="98" spans="1:15" x14ac:dyDescent="0.25">
      <c r="A98" s="74"/>
      <c r="B98" s="193" t="s">
        <v>806</v>
      </c>
      <c r="C98" s="290"/>
      <c r="D98" s="472"/>
      <c r="E98" s="472"/>
      <c r="F98" s="472"/>
      <c r="G98" s="472"/>
      <c r="H98" s="472"/>
      <c r="I98" s="472"/>
      <c r="J98" s="472"/>
      <c r="K98" s="472"/>
      <c r="L98" s="472"/>
      <c r="M98" s="61"/>
      <c r="O98" s="61"/>
    </row>
    <row r="99" spans="1:15" x14ac:dyDescent="0.25">
      <c r="A99" s="74"/>
      <c r="B99" s="288" t="s">
        <v>815</v>
      </c>
      <c r="C99" s="1710" t="s">
        <v>1236</v>
      </c>
      <c r="D99" s="1711">
        <v>289</v>
      </c>
      <c r="E99" s="1711">
        <v>270</v>
      </c>
      <c r="F99" s="1711">
        <f>SUM(D99:E99)</f>
        <v>559</v>
      </c>
      <c r="G99" s="1698">
        <v>342</v>
      </c>
      <c r="H99" s="1698">
        <v>407</v>
      </c>
      <c r="I99" s="1698">
        <f>SUM(G99:H99)</f>
        <v>749</v>
      </c>
      <c r="J99" s="1698">
        <v>258</v>
      </c>
      <c r="K99" s="1698">
        <v>476</v>
      </c>
      <c r="L99" s="1698">
        <v>734</v>
      </c>
      <c r="M99" s="61"/>
      <c r="O99" s="61"/>
    </row>
    <row r="100" spans="1:15" x14ac:dyDescent="0.25">
      <c r="A100" s="74"/>
      <c r="B100" s="288" t="s">
        <v>816</v>
      </c>
      <c r="C100" s="1710"/>
      <c r="D100" s="1712"/>
      <c r="E100" s="1712"/>
      <c r="F100" s="1712"/>
      <c r="G100" s="1698"/>
      <c r="H100" s="1698"/>
      <c r="I100" s="1698"/>
      <c r="J100" s="1698"/>
      <c r="K100" s="1698"/>
      <c r="L100" s="1698"/>
      <c r="M100" s="61"/>
      <c r="O100" s="61"/>
    </row>
    <row r="101" spans="1:15" x14ac:dyDescent="0.25">
      <c r="A101" s="74"/>
      <c r="B101" s="288" t="s">
        <v>817</v>
      </c>
      <c r="C101" s="1710"/>
      <c r="D101" s="294">
        <v>21</v>
      </c>
      <c r="E101" s="294">
        <v>49</v>
      </c>
      <c r="F101" s="294">
        <f>SUM(D101:E101)</f>
        <v>70</v>
      </c>
      <c r="G101" s="472">
        <v>3</v>
      </c>
      <c r="H101" s="472">
        <v>8</v>
      </c>
      <c r="I101" s="472">
        <f>SUM(G101:H101)</f>
        <v>11</v>
      </c>
      <c r="J101" s="472">
        <v>12</v>
      </c>
      <c r="K101" s="472">
        <v>26</v>
      </c>
      <c r="L101" s="472">
        <v>38</v>
      </c>
      <c r="M101" s="61"/>
      <c r="O101" s="61"/>
    </row>
    <row r="102" spans="1:15" x14ac:dyDescent="0.25">
      <c r="A102" s="74"/>
      <c r="B102" s="288" t="s">
        <v>818</v>
      </c>
      <c r="C102" s="1710"/>
      <c r="D102" s="294">
        <v>16</v>
      </c>
      <c r="E102" s="294">
        <v>235</v>
      </c>
      <c r="F102" s="294">
        <f>SUM(D102:E102)</f>
        <v>251</v>
      </c>
      <c r="G102" s="472">
        <v>18</v>
      </c>
      <c r="H102" s="472">
        <v>124</v>
      </c>
      <c r="I102" s="472">
        <f>SUM(G102:H102)</f>
        <v>142</v>
      </c>
      <c r="J102" s="472">
        <v>34</v>
      </c>
      <c r="K102" s="472">
        <v>135</v>
      </c>
      <c r="L102" s="472">
        <v>169</v>
      </c>
      <c r="M102" s="61"/>
      <c r="O102" s="61"/>
    </row>
    <row r="103" spans="1:15" x14ac:dyDescent="0.25">
      <c r="A103" s="74"/>
      <c r="B103" s="288" t="s">
        <v>819</v>
      </c>
      <c r="C103" s="1710"/>
      <c r="D103" s="294">
        <v>1</v>
      </c>
      <c r="E103" s="294">
        <v>4</v>
      </c>
      <c r="F103" s="294">
        <f>SUM(D103:E103)</f>
        <v>5</v>
      </c>
      <c r="G103" s="472">
        <v>4</v>
      </c>
      <c r="H103" s="472">
        <v>9</v>
      </c>
      <c r="I103" s="472">
        <f>SUM(G103:H103)</f>
        <v>13</v>
      </c>
      <c r="J103" s="472">
        <v>1</v>
      </c>
      <c r="K103" s="472"/>
      <c r="L103" s="472">
        <v>1</v>
      </c>
      <c r="M103" s="61"/>
      <c r="O103" s="61"/>
    </row>
    <row r="104" spans="1:15" x14ac:dyDescent="0.25">
      <c r="A104" s="74"/>
      <c r="B104" s="289" t="s">
        <v>820</v>
      </c>
      <c r="C104" s="1710"/>
      <c r="D104" s="294">
        <f t="shared" ref="D104:L104" si="14">SUM(D99:D103)</f>
        <v>327</v>
      </c>
      <c r="E104" s="294">
        <f t="shared" si="14"/>
        <v>558</v>
      </c>
      <c r="F104" s="294">
        <f t="shared" si="14"/>
        <v>885</v>
      </c>
      <c r="G104" s="472">
        <f t="shared" si="14"/>
        <v>367</v>
      </c>
      <c r="H104" s="472">
        <f t="shared" si="14"/>
        <v>548</v>
      </c>
      <c r="I104" s="472">
        <f t="shared" si="14"/>
        <v>915</v>
      </c>
      <c r="J104" s="472">
        <f t="shared" si="14"/>
        <v>305</v>
      </c>
      <c r="K104" s="472">
        <f t="shared" si="14"/>
        <v>637</v>
      </c>
      <c r="L104" s="472">
        <f t="shared" si="14"/>
        <v>942</v>
      </c>
      <c r="M104" s="61"/>
      <c r="O104" s="61"/>
    </row>
    <row r="105" spans="1:15" x14ac:dyDescent="0.25">
      <c r="B105" s="61"/>
      <c r="C105" s="61"/>
      <c r="D105" s="61"/>
      <c r="E105" s="61"/>
      <c r="F105" s="61"/>
      <c r="G105" s="61"/>
      <c r="H105" s="61"/>
      <c r="I105" s="61"/>
      <c r="J105" s="61"/>
      <c r="K105" s="61"/>
      <c r="L105" s="61"/>
      <c r="M105" s="61"/>
      <c r="O105" s="61"/>
    </row>
    <row r="106" spans="1:15" x14ac:dyDescent="0.25">
      <c r="B106" s="1699" t="s">
        <v>881</v>
      </c>
      <c r="C106" s="1701" t="s">
        <v>1192</v>
      </c>
      <c r="D106" s="1703" t="s">
        <v>433</v>
      </c>
      <c r="E106" s="1704"/>
      <c r="F106" s="1705"/>
      <c r="G106" s="1706" t="s">
        <v>434</v>
      </c>
      <c r="H106" s="1707"/>
      <c r="I106" s="1706" t="s">
        <v>435</v>
      </c>
      <c r="J106" s="1707"/>
      <c r="K106" s="63"/>
      <c r="L106" s="63"/>
      <c r="M106" s="63"/>
      <c r="O106" s="63"/>
    </row>
    <row r="107" spans="1:15" ht="81" x14ac:dyDescent="0.25">
      <c r="B107" s="1700"/>
      <c r="C107" s="1702"/>
      <c r="D107" s="433" t="s">
        <v>1237</v>
      </c>
      <c r="E107" s="480" t="s">
        <v>883</v>
      </c>
      <c r="F107" s="480" t="s">
        <v>884</v>
      </c>
      <c r="G107" s="480" t="s">
        <v>883</v>
      </c>
      <c r="H107" s="480" t="s">
        <v>884</v>
      </c>
      <c r="I107" s="480" t="s">
        <v>883</v>
      </c>
      <c r="J107" s="480" t="s">
        <v>884</v>
      </c>
      <c r="K107" s="63"/>
      <c r="L107" s="63"/>
      <c r="O107" s="63"/>
    </row>
    <row r="108" spans="1:15" x14ac:dyDescent="0.25">
      <c r="B108" s="418" t="s">
        <v>815</v>
      </c>
      <c r="C108" s="1689" t="s">
        <v>1238</v>
      </c>
      <c r="D108" s="434">
        <v>4162</v>
      </c>
      <c r="E108" s="431">
        <v>893</v>
      </c>
      <c r="F108" s="435">
        <f t="shared" ref="F108:F113" si="15">E108/(D108)</f>
        <v>0.2145603075444498</v>
      </c>
      <c r="G108" s="1690">
        <v>2468</v>
      </c>
      <c r="H108" s="1691">
        <v>0.32</v>
      </c>
      <c r="I108" s="1693">
        <v>2134</v>
      </c>
      <c r="J108" s="1691">
        <v>0.27</v>
      </c>
      <c r="K108" s="63"/>
      <c r="L108" s="63"/>
      <c r="M108" s="63"/>
      <c r="N108" s="63"/>
      <c r="O108" s="63"/>
    </row>
    <row r="109" spans="1:15" x14ac:dyDescent="0.25">
      <c r="B109" s="418" t="s">
        <v>816</v>
      </c>
      <c r="C109" s="1689"/>
      <c r="D109" s="434">
        <v>2734</v>
      </c>
      <c r="E109" s="431">
        <v>668</v>
      </c>
      <c r="F109" s="435">
        <f t="shared" si="15"/>
        <v>0.24433065106071689</v>
      </c>
      <c r="G109" s="1690"/>
      <c r="H109" s="1692"/>
      <c r="I109" s="1694"/>
      <c r="J109" s="1692"/>
      <c r="K109" s="351"/>
      <c r="L109" s="63"/>
      <c r="M109" s="63"/>
      <c r="N109" s="63"/>
      <c r="O109" s="63"/>
    </row>
    <row r="110" spans="1:15" x14ac:dyDescent="0.25">
      <c r="B110" s="418" t="s">
        <v>817</v>
      </c>
      <c r="C110" s="1689"/>
      <c r="D110" s="434">
        <v>2271</v>
      </c>
      <c r="E110" s="431">
        <v>397</v>
      </c>
      <c r="F110" s="435">
        <f t="shared" si="15"/>
        <v>0.17481285777190664</v>
      </c>
      <c r="G110" s="476">
        <v>502</v>
      </c>
      <c r="H110" s="448">
        <v>0.18</v>
      </c>
      <c r="I110" s="476">
        <v>494</v>
      </c>
      <c r="J110" s="448">
        <v>0.21</v>
      </c>
      <c r="K110" s="351"/>
      <c r="L110" s="63"/>
      <c r="M110" s="63"/>
      <c r="N110" s="63"/>
      <c r="O110" s="63"/>
    </row>
    <row r="111" spans="1:15" x14ac:dyDescent="0.25">
      <c r="B111" s="418" t="s">
        <v>818</v>
      </c>
      <c r="C111" s="1689"/>
      <c r="D111" s="434">
        <v>2442</v>
      </c>
      <c r="E111" s="524">
        <v>660</v>
      </c>
      <c r="F111" s="435">
        <f t="shared" si="15"/>
        <v>0.27027027027027029</v>
      </c>
      <c r="G111" s="476">
        <v>149</v>
      </c>
      <c r="H111" s="448">
        <v>0.06</v>
      </c>
      <c r="I111" s="476">
        <v>118</v>
      </c>
      <c r="J111" s="448">
        <v>0.05</v>
      </c>
      <c r="K111" s="351"/>
      <c r="L111" s="63"/>
      <c r="M111" s="63"/>
      <c r="N111" s="63"/>
      <c r="O111" s="63"/>
    </row>
    <row r="112" spans="1:15" x14ac:dyDescent="0.25">
      <c r="B112" s="418" t="s">
        <v>819</v>
      </c>
      <c r="C112" s="1689"/>
      <c r="D112" s="434">
        <v>1057</v>
      </c>
      <c r="E112" s="431">
        <v>545</v>
      </c>
      <c r="F112" s="435">
        <f t="shared" si="15"/>
        <v>0.51561021759697256</v>
      </c>
      <c r="G112" s="476">
        <v>295</v>
      </c>
      <c r="H112" s="449">
        <v>0.49</v>
      </c>
      <c r="I112" s="450">
        <v>252</v>
      </c>
      <c r="J112" s="449">
        <v>0.4</v>
      </c>
      <c r="K112" s="351"/>
      <c r="L112" s="63"/>
      <c r="M112" s="63"/>
      <c r="N112" s="63"/>
      <c r="O112" s="63"/>
    </row>
    <row r="113" spans="1:15" x14ac:dyDescent="0.25">
      <c r="B113" s="432" t="s">
        <v>885</v>
      </c>
      <c r="C113" s="1689"/>
      <c r="D113" s="431">
        <f>SUM(D108:D112)</f>
        <v>12666</v>
      </c>
      <c r="E113" s="431">
        <f>SUM(E108:E112)</f>
        <v>3163</v>
      </c>
      <c r="F113" s="435">
        <f t="shared" si="15"/>
        <v>0.24972366966682458</v>
      </c>
      <c r="G113" s="476">
        <f>G108+G110+G111+G112</f>
        <v>3414</v>
      </c>
      <c r="H113" s="448">
        <v>0.25</v>
      </c>
      <c r="I113" s="476">
        <f>I108+I110+I111+I112</f>
        <v>2998</v>
      </c>
      <c r="J113" s="448">
        <v>0.22</v>
      </c>
      <c r="K113" s="351"/>
      <c r="L113" s="63"/>
      <c r="M113" s="63"/>
      <c r="N113" s="63"/>
      <c r="O113" s="63"/>
    </row>
    <row r="114" spans="1:15" x14ac:dyDescent="0.25">
      <c r="C114" s="91"/>
    </row>
    <row r="115" spans="1:15" ht="17.5" x14ac:dyDescent="0.25">
      <c r="B115" s="478" t="s">
        <v>887</v>
      </c>
      <c r="C115" s="439" t="s">
        <v>1192</v>
      </c>
      <c r="D115" s="1695" t="s">
        <v>433</v>
      </c>
      <c r="E115" s="1696"/>
      <c r="F115" s="1696"/>
      <c r="G115" s="1697"/>
    </row>
    <row r="116" spans="1:15" ht="26.25" customHeight="1" x14ac:dyDescent="0.25">
      <c r="B116" s="376" t="s">
        <v>809</v>
      </c>
      <c r="C116" s="377" t="s">
        <v>1195</v>
      </c>
      <c r="D116" s="440" t="s">
        <v>810</v>
      </c>
      <c r="E116" s="440" t="s">
        <v>811</v>
      </c>
      <c r="F116" s="440" t="s">
        <v>708</v>
      </c>
      <c r="G116" s="440" t="s">
        <v>888</v>
      </c>
    </row>
    <row r="117" spans="1:15" x14ac:dyDescent="0.25">
      <c r="B117" s="418" t="s">
        <v>815</v>
      </c>
      <c r="C117" s="1681" t="s">
        <v>1239</v>
      </c>
      <c r="D117" s="436">
        <v>215</v>
      </c>
      <c r="E117" s="436">
        <v>370</v>
      </c>
      <c r="F117" s="436">
        <v>585</v>
      </c>
      <c r="G117" s="441">
        <f t="shared" ref="G117:G122" si="16">F117/F23</f>
        <v>0.14341750429026723</v>
      </c>
    </row>
    <row r="118" spans="1:15" x14ac:dyDescent="0.25">
      <c r="B118" s="418" t="s">
        <v>816</v>
      </c>
      <c r="C118" s="1682"/>
      <c r="D118" s="436">
        <v>83</v>
      </c>
      <c r="E118" s="436">
        <v>102</v>
      </c>
      <c r="F118" s="436">
        <v>185</v>
      </c>
      <c r="G118" s="441">
        <f t="shared" si="16"/>
        <v>6.4730580825752268E-2</v>
      </c>
    </row>
    <row r="119" spans="1:15" x14ac:dyDescent="0.25">
      <c r="B119" s="418" t="s">
        <v>817</v>
      </c>
      <c r="C119" s="1682"/>
      <c r="D119" s="436">
        <v>99</v>
      </c>
      <c r="E119" s="436">
        <v>205</v>
      </c>
      <c r="F119" s="436">
        <v>304</v>
      </c>
      <c r="G119" s="441">
        <f t="shared" si="16"/>
        <v>0.13906678865507777</v>
      </c>
    </row>
    <row r="120" spans="1:15" x14ac:dyDescent="0.25">
      <c r="B120" s="418" t="s">
        <v>818</v>
      </c>
      <c r="C120" s="1682"/>
      <c r="D120" s="436">
        <v>42</v>
      </c>
      <c r="E120" s="436">
        <v>111</v>
      </c>
      <c r="F120" s="436">
        <v>153</v>
      </c>
      <c r="G120" s="441">
        <f t="shared" si="16"/>
        <v>6.2220414802765349E-2</v>
      </c>
    </row>
    <row r="121" spans="1:15" x14ac:dyDescent="0.25">
      <c r="B121" s="418" t="s">
        <v>819</v>
      </c>
      <c r="C121" s="1682"/>
      <c r="D121" s="436">
        <v>13</v>
      </c>
      <c r="E121" s="436">
        <v>38</v>
      </c>
      <c r="F121" s="436">
        <v>51</v>
      </c>
      <c r="G121" s="441">
        <f t="shared" si="16"/>
        <v>4.8295454545454544E-2</v>
      </c>
    </row>
    <row r="122" spans="1:15" x14ac:dyDescent="0.25">
      <c r="B122" s="432" t="s">
        <v>885</v>
      </c>
      <c r="C122" s="1682"/>
      <c r="D122" s="437">
        <f>SUM(D117:D121)</f>
        <v>452</v>
      </c>
      <c r="E122" s="437">
        <f>SUM(E117:E121)</f>
        <v>826</v>
      </c>
      <c r="F122" s="438">
        <f>SUM(F117:F121)</f>
        <v>1278</v>
      </c>
      <c r="G122" s="441">
        <f t="shared" si="16"/>
        <v>0.10112359550561797</v>
      </c>
    </row>
    <row r="123" spans="1:15" x14ac:dyDescent="0.25">
      <c r="C123" s="91"/>
    </row>
    <row r="124" spans="1:15" ht="17.5" x14ac:dyDescent="0.25">
      <c r="A124" s="2" t="s">
        <v>1240</v>
      </c>
      <c r="B124" s="451" t="s">
        <v>889</v>
      </c>
      <c r="C124" s="458" t="s">
        <v>1192</v>
      </c>
      <c r="D124" s="1683" t="s">
        <v>433</v>
      </c>
      <c r="E124" s="1683"/>
      <c r="F124" s="1683"/>
    </row>
    <row r="125" spans="1:15" ht="27" x14ac:dyDescent="0.25">
      <c r="A125" s="9" t="s">
        <v>1241</v>
      </c>
      <c r="B125" s="459" t="s">
        <v>809</v>
      </c>
      <c r="C125" s="460" t="s">
        <v>1195</v>
      </c>
      <c r="D125" s="461" t="s">
        <v>810</v>
      </c>
      <c r="E125" s="461" t="s">
        <v>811</v>
      </c>
      <c r="F125" s="461" t="s">
        <v>708</v>
      </c>
    </row>
    <row r="126" spans="1:15" ht="27" x14ac:dyDescent="0.25">
      <c r="B126" s="462" t="s">
        <v>1242</v>
      </c>
      <c r="C126" s="463"/>
      <c r="D126" s="510"/>
      <c r="E126" s="510"/>
      <c r="F126" s="510"/>
    </row>
    <row r="127" spans="1:15" ht="27" x14ac:dyDescent="0.25">
      <c r="B127" s="462" t="s">
        <v>890</v>
      </c>
      <c r="C127" s="463"/>
      <c r="D127" s="510">
        <v>20</v>
      </c>
      <c r="E127" s="510">
        <v>6</v>
      </c>
      <c r="F127" s="510">
        <v>26</v>
      </c>
    </row>
    <row r="128" spans="1:15" ht="37.5" customHeight="1" x14ac:dyDescent="0.25">
      <c r="B128" s="462" t="s">
        <v>891</v>
      </c>
      <c r="C128" s="465" t="s">
        <v>1243</v>
      </c>
      <c r="D128" s="510">
        <v>0</v>
      </c>
      <c r="E128" s="510">
        <v>2</v>
      </c>
      <c r="F128" s="510">
        <v>2</v>
      </c>
    </row>
    <row r="129" spans="1:9" ht="49" customHeight="1" x14ac:dyDescent="0.25">
      <c r="B129" s="462" t="s">
        <v>892</v>
      </c>
      <c r="C129" s="465" t="s">
        <v>1244</v>
      </c>
      <c r="D129" s="510"/>
      <c r="E129" s="510"/>
      <c r="F129" s="510"/>
    </row>
    <row r="130" spans="1:9" ht="27" x14ac:dyDescent="0.25">
      <c r="B130" s="462" t="s">
        <v>893</v>
      </c>
      <c r="C130" s="465" t="s">
        <v>1243</v>
      </c>
      <c r="D130" s="511" t="s">
        <v>1245</v>
      </c>
      <c r="E130" s="511" t="s">
        <v>1246</v>
      </c>
      <c r="F130" s="510"/>
    </row>
    <row r="131" spans="1:9" ht="14.25" customHeight="1" x14ac:dyDescent="0.25">
      <c r="C131" s="91"/>
    </row>
    <row r="132" spans="1:9" ht="32.15" customHeight="1" x14ac:dyDescent="0.25">
      <c r="A132" s="2" t="s">
        <v>1240</v>
      </c>
      <c r="B132" s="451" t="s">
        <v>896</v>
      </c>
      <c r="C132" s="512" t="s">
        <v>1192</v>
      </c>
      <c r="D132" s="1684" t="s">
        <v>433</v>
      </c>
      <c r="E132" s="1684"/>
      <c r="F132" s="1684"/>
      <c r="G132" s="1684" t="s">
        <v>433</v>
      </c>
      <c r="H132" s="1684"/>
      <c r="I132" s="1684"/>
    </row>
    <row r="133" spans="1:9" ht="27" x14ac:dyDescent="0.25">
      <c r="A133" s="1685" t="s">
        <v>1247</v>
      </c>
      <c r="B133" s="459" t="s">
        <v>809</v>
      </c>
      <c r="C133" s="460" t="s">
        <v>1195</v>
      </c>
      <c r="D133" s="461" t="s">
        <v>810</v>
      </c>
      <c r="E133" s="461" t="s">
        <v>811</v>
      </c>
      <c r="F133" s="461" t="s">
        <v>708</v>
      </c>
      <c r="G133" s="461" t="s">
        <v>810</v>
      </c>
      <c r="H133" s="461" t="s">
        <v>811</v>
      </c>
      <c r="I133" s="461" t="s">
        <v>708</v>
      </c>
    </row>
    <row r="134" spans="1:9" x14ac:dyDescent="0.25">
      <c r="A134" s="1685"/>
      <c r="B134" s="462" t="s">
        <v>897</v>
      </c>
      <c r="C134" s="1686" t="s">
        <v>1248</v>
      </c>
      <c r="D134" s="464">
        <v>3509</v>
      </c>
      <c r="E134" s="464">
        <v>7737</v>
      </c>
      <c r="F134" s="464">
        <v>11246</v>
      </c>
      <c r="G134" s="509">
        <v>0.98199999999999998</v>
      </c>
      <c r="H134" s="509">
        <v>0.89900000000000002</v>
      </c>
      <c r="I134" s="509">
        <v>0.92300000000000004</v>
      </c>
    </row>
    <row r="135" spans="1:9" x14ac:dyDescent="0.25">
      <c r="B135" s="442" t="s">
        <v>898</v>
      </c>
      <c r="C135" s="1687"/>
      <c r="D135" s="464">
        <v>182</v>
      </c>
      <c r="E135" s="464">
        <v>230</v>
      </c>
      <c r="F135" s="464">
        <v>412</v>
      </c>
      <c r="G135" s="509">
        <v>0.91900000000000004</v>
      </c>
      <c r="H135" s="509">
        <v>0.89800000000000002</v>
      </c>
      <c r="I135" s="509">
        <v>0.90700000000000003</v>
      </c>
    </row>
    <row r="136" spans="1:9" x14ac:dyDescent="0.25">
      <c r="B136" s="442" t="s">
        <v>899</v>
      </c>
      <c r="C136" s="1688"/>
      <c r="D136" s="464">
        <v>3691</v>
      </c>
      <c r="E136" s="464">
        <v>7967</v>
      </c>
      <c r="F136" s="464">
        <v>11658</v>
      </c>
      <c r="G136" s="509">
        <v>0.97799999999999998</v>
      </c>
      <c r="H136" s="509">
        <v>0.89900000000000002</v>
      </c>
      <c r="I136" s="509">
        <v>0.92200000000000004</v>
      </c>
    </row>
    <row r="137" spans="1:9" ht="14.25" customHeight="1" x14ac:dyDescent="0.25">
      <c r="C137" s="91"/>
    </row>
    <row r="138" spans="1:9" ht="22.5" customHeight="1" x14ac:dyDescent="0.25">
      <c r="B138" s="1674" t="s">
        <v>896</v>
      </c>
      <c r="C138" s="1676" t="s">
        <v>1192</v>
      </c>
      <c r="D138" s="1678" t="s">
        <v>433</v>
      </c>
      <c r="E138" s="1679"/>
      <c r="F138" s="63"/>
      <c r="G138" s="63"/>
    </row>
    <row r="139" spans="1:9" ht="22.5" customHeight="1" x14ac:dyDescent="0.25">
      <c r="B139" s="1675"/>
      <c r="C139" s="1677"/>
      <c r="D139" s="310" t="s">
        <v>708</v>
      </c>
      <c r="E139" s="310" t="s">
        <v>463</v>
      </c>
      <c r="F139" s="63"/>
      <c r="G139" s="63"/>
    </row>
    <row r="140" spans="1:9" ht="67.5" x14ac:dyDescent="0.25">
      <c r="B140" s="442" t="s">
        <v>826</v>
      </c>
      <c r="C140" s="515" t="s">
        <v>1249</v>
      </c>
      <c r="D140" s="513">
        <f>F28-980</f>
        <v>11658</v>
      </c>
      <c r="E140" s="514">
        <v>0.92200000000000004</v>
      </c>
      <c r="F140" s="467"/>
      <c r="G140" s="466"/>
      <c r="I140" s="466"/>
    </row>
    <row r="141" spans="1:9" ht="14.25" customHeight="1" x14ac:dyDescent="0.25">
      <c r="C141" s="91"/>
    </row>
    <row r="142" spans="1:9" ht="27" x14ac:dyDescent="0.25">
      <c r="A142" s="10" t="s">
        <v>1250</v>
      </c>
      <c r="B142" s="308" t="s">
        <v>915</v>
      </c>
      <c r="C142" s="310" t="s">
        <v>1192</v>
      </c>
      <c r="D142" s="309" t="s">
        <v>433</v>
      </c>
      <c r="E142" s="309" t="s">
        <v>434</v>
      </c>
      <c r="F142" s="309" t="s">
        <v>435</v>
      </c>
      <c r="G142" s="309" t="s">
        <v>436</v>
      </c>
    </row>
    <row r="143" spans="1:9" x14ac:dyDescent="0.25">
      <c r="A143" s="2" t="s">
        <v>1251</v>
      </c>
      <c r="B143" s="271" t="s">
        <v>916</v>
      </c>
      <c r="C143" s="473" t="s">
        <v>1252</v>
      </c>
      <c r="D143" s="306">
        <v>0.75</v>
      </c>
      <c r="E143" s="306" t="s">
        <v>917</v>
      </c>
      <c r="F143" s="525">
        <v>0.74</v>
      </c>
      <c r="G143" s="525">
        <v>0.64</v>
      </c>
    </row>
    <row r="144" spans="1:9" x14ac:dyDescent="0.25">
      <c r="B144" s="298" t="s">
        <v>918</v>
      </c>
      <c r="C144" s="473"/>
      <c r="D144" s="306"/>
      <c r="E144" s="306" t="s">
        <v>917</v>
      </c>
      <c r="F144" s="525">
        <v>0.65</v>
      </c>
      <c r="G144" s="525">
        <v>0.63</v>
      </c>
    </row>
    <row r="145" spans="1:15" ht="27" x14ac:dyDescent="0.25">
      <c r="B145" s="298" t="s">
        <v>919</v>
      </c>
      <c r="C145" s="473" t="s">
        <v>1253</v>
      </c>
      <c r="D145" s="298">
        <v>6.9</v>
      </c>
      <c r="E145" s="306" t="s">
        <v>917</v>
      </c>
      <c r="F145" s="526"/>
      <c r="G145" s="526"/>
    </row>
    <row r="146" spans="1:15" x14ac:dyDescent="0.25">
      <c r="C146" s="64"/>
      <c r="O146" s="2"/>
    </row>
    <row r="147" spans="1:15" ht="17.5" x14ac:dyDescent="0.25">
      <c r="B147" s="308" t="s">
        <v>900</v>
      </c>
      <c r="C147" s="310" t="s">
        <v>1192</v>
      </c>
      <c r="D147" s="309" t="s">
        <v>433</v>
      </c>
    </row>
    <row r="148" spans="1:15" ht="46.5" customHeight="1" x14ac:dyDescent="0.3">
      <c r="A148" s="312" t="s">
        <v>1254</v>
      </c>
      <c r="B148" s="339" t="s">
        <v>1255</v>
      </c>
      <c r="C148" s="330" t="s">
        <v>1256</v>
      </c>
      <c r="D148" s="350">
        <v>25.52</v>
      </c>
      <c r="N148" s="61"/>
      <c r="O148" s="61"/>
    </row>
    <row r="149" spans="1:15" x14ac:dyDescent="0.25">
      <c r="C149" s="91"/>
    </row>
    <row r="150" spans="1:15" ht="17.5" x14ac:dyDescent="0.25">
      <c r="A150" s="2" t="s">
        <v>1240</v>
      </c>
      <c r="B150" s="361" t="s">
        <v>900</v>
      </c>
      <c r="C150" s="471" t="s">
        <v>1192</v>
      </c>
      <c r="D150" s="1680" t="s">
        <v>433</v>
      </c>
      <c r="E150" s="1680"/>
      <c r="F150" s="1680"/>
      <c r="G150" s="1680"/>
      <c r="H150" s="1680"/>
    </row>
    <row r="151" spans="1:15" ht="96" customHeight="1" x14ac:dyDescent="0.25">
      <c r="B151" s="362"/>
      <c r="C151" s="373"/>
      <c r="D151" s="516" t="s">
        <v>1257</v>
      </c>
      <c r="E151" s="516" t="s">
        <v>1258</v>
      </c>
      <c r="F151" s="516" t="s">
        <v>1259</v>
      </c>
      <c r="G151" s="363" t="s">
        <v>1260</v>
      </c>
      <c r="H151" s="363" t="s">
        <v>908</v>
      </c>
    </row>
    <row r="152" spans="1:15" ht="14.5" hidden="1" x14ac:dyDescent="0.25">
      <c r="B152" s="362" t="s">
        <v>1261</v>
      </c>
      <c r="C152" s="374"/>
      <c r="D152" s="517">
        <v>20</v>
      </c>
      <c r="E152" s="517">
        <v>491</v>
      </c>
      <c r="F152" s="517">
        <v>42</v>
      </c>
      <c r="G152" s="362">
        <v>553</v>
      </c>
      <c r="H152" s="364">
        <f t="shared" ref="H152:H159" si="17">E152/G152</f>
        <v>0.88788426763110306</v>
      </c>
    </row>
    <row r="153" spans="1:15" ht="14.5" hidden="1" x14ac:dyDescent="0.25">
      <c r="B153" s="362" t="s">
        <v>1262</v>
      </c>
      <c r="C153" s="374"/>
      <c r="D153" s="517">
        <v>58</v>
      </c>
      <c r="E153" s="517">
        <v>648</v>
      </c>
      <c r="F153" s="517">
        <v>177</v>
      </c>
      <c r="G153" s="362">
        <v>883</v>
      </c>
      <c r="H153" s="364">
        <f t="shared" si="17"/>
        <v>0.73386183465458665</v>
      </c>
    </row>
    <row r="154" spans="1:15" ht="14.5" hidden="1" x14ac:dyDescent="0.25">
      <c r="B154" s="362" t="s">
        <v>1263</v>
      </c>
      <c r="C154" s="374"/>
      <c r="D154" s="517">
        <v>2</v>
      </c>
      <c r="E154" s="517">
        <v>562</v>
      </c>
      <c r="F154" s="517">
        <v>188</v>
      </c>
      <c r="G154" s="362">
        <v>752</v>
      </c>
      <c r="H154" s="364">
        <f t="shared" si="17"/>
        <v>0.74734042553191493</v>
      </c>
    </row>
    <row r="155" spans="1:15" ht="14.5" hidden="1" x14ac:dyDescent="0.25">
      <c r="B155" s="362" t="s">
        <v>1264</v>
      </c>
      <c r="C155" s="374"/>
      <c r="D155" s="517">
        <v>2</v>
      </c>
      <c r="E155" s="517">
        <v>86</v>
      </c>
      <c r="F155" s="517">
        <v>44</v>
      </c>
      <c r="G155" s="362">
        <v>132</v>
      </c>
      <c r="H155" s="364">
        <f t="shared" si="17"/>
        <v>0.65151515151515149</v>
      </c>
    </row>
    <row r="156" spans="1:15" ht="14.5" hidden="1" x14ac:dyDescent="0.25">
      <c r="B156" s="362" t="s">
        <v>1265</v>
      </c>
      <c r="C156" s="374"/>
      <c r="D156" s="517">
        <v>2</v>
      </c>
      <c r="E156" s="517">
        <v>270</v>
      </c>
      <c r="F156" s="517">
        <v>92</v>
      </c>
      <c r="G156" s="362">
        <v>364</v>
      </c>
      <c r="H156" s="364">
        <f t="shared" si="17"/>
        <v>0.74175824175824179</v>
      </c>
    </row>
    <row r="157" spans="1:15" ht="14.5" hidden="1" x14ac:dyDescent="0.25">
      <c r="B157" s="362" t="s">
        <v>1266</v>
      </c>
      <c r="C157" s="374"/>
      <c r="D157" s="517">
        <v>1</v>
      </c>
      <c r="E157" s="517">
        <v>113</v>
      </c>
      <c r="F157" s="517">
        <v>47</v>
      </c>
      <c r="G157" s="362">
        <v>161</v>
      </c>
      <c r="H157" s="364">
        <f t="shared" si="17"/>
        <v>0.70186335403726707</v>
      </c>
    </row>
    <row r="158" spans="1:15" ht="14.5" hidden="1" x14ac:dyDescent="0.25">
      <c r="B158" s="362" t="s">
        <v>1267</v>
      </c>
      <c r="C158" s="374"/>
      <c r="D158" s="517">
        <v>159</v>
      </c>
      <c r="E158" s="517">
        <v>149</v>
      </c>
      <c r="F158" s="517">
        <v>87</v>
      </c>
      <c r="G158" s="362">
        <v>395</v>
      </c>
      <c r="H158" s="364">
        <f t="shared" si="17"/>
        <v>0.37721518987341773</v>
      </c>
    </row>
    <row r="159" spans="1:15" ht="42.75" customHeight="1" x14ac:dyDescent="0.25">
      <c r="B159" s="442" t="s">
        <v>910</v>
      </c>
      <c r="C159" s="442" t="s">
        <v>1268</v>
      </c>
      <c r="D159" s="443">
        <v>244</v>
      </c>
      <c r="E159" s="443">
        <v>2319</v>
      </c>
      <c r="F159" s="443">
        <v>677</v>
      </c>
      <c r="G159" s="443">
        <f t="shared" ref="G159:G181" si="18">SUM(D159:F159)</f>
        <v>3240</v>
      </c>
      <c r="H159" s="444">
        <f t="shared" si="17"/>
        <v>0.71574074074074079</v>
      </c>
    </row>
    <row r="160" spans="1:15" hidden="1" x14ac:dyDescent="0.25">
      <c r="B160" s="442"/>
      <c r="C160" s="442"/>
      <c r="D160" s="445"/>
      <c r="E160" s="445"/>
      <c r="F160" s="445"/>
      <c r="G160" s="443">
        <f t="shared" si="18"/>
        <v>0</v>
      </c>
      <c r="H160" s="446"/>
    </row>
    <row r="161" spans="2:8" hidden="1" x14ac:dyDescent="0.25">
      <c r="B161" s="442"/>
      <c r="C161" s="442"/>
      <c r="D161" s="445"/>
      <c r="E161" s="445"/>
      <c r="F161" s="445"/>
      <c r="G161" s="443">
        <f t="shared" si="18"/>
        <v>0</v>
      </c>
      <c r="H161" s="446"/>
    </row>
    <row r="162" spans="2:8" hidden="1" x14ac:dyDescent="0.25">
      <c r="B162" s="442"/>
      <c r="C162" s="442"/>
      <c r="D162" s="445"/>
      <c r="E162" s="445"/>
      <c r="F162" s="445"/>
      <c r="G162" s="443">
        <f t="shared" si="18"/>
        <v>0</v>
      </c>
      <c r="H162" s="446"/>
    </row>
    <row r="163" spans="2:8" hidden="1" x14ac:dyDescent="0.25">
      <c r="B163" s="447"/>
      <c r="C163" s="442"/>
      <c r="D163" s="445"/>
      <c r="E163" s="443" t="s">
        <v>1258</v>
      </c>
      <c r="F163" s="443" t="s">
        <v>1269</v>
      </c>
      <c r="G163" s="443">
        <f t="shared" si="18"/>
        <v>0</v>
      </c>
      <c r="H163" s="444"/>
    </row>
    <row r="164" spans="2:8" hidden="1" x14ac:dyDescent="0.25">
      <c r="B164" s="447" t="s">
        <v>1261</v>
      </c>
      <c r="C164" s="442"/>
      <c r="D164" s="445"/>
      <c r="E164" s="443">
        <v>617</v>
      </c>
      <c r="F164" s="443">
        <v>120</v>
      </c>
      <c r="G164" s="443">
        <f t="shared" si="18"/>
        <v>737</v>
      </c>
      <c r="H164" s="444">
        <v>83.7</v>
      </c>
    </row>
    <row r="165" spans="2:8" hidden="1" x14ac:dyDescent="0.25">
      <c r="B165" s="447" t="s">
        <v>1262</v>
      </c>
      <c r="C165" s="442"/>
      <c r="D165" s="445"/>
      <c r="E165" s="443">
        <v>1227</v>
      </c>
      <c r="F165" s="443">
        <v>462</v>
      </c>
      <c r="G165" s="443">
        <f t="shared" si="18"/>
        <v>1689</v>
      </c>
      <c r="H165" s="444">
        <v>72.599999999999994</v>
      </c>
    </row>
    <row r="166" spans="2:8" hidden="1" x14ac:dyDescent="0.25">
      <c r="B166" s="447" t="s">
        <v>1263</v>
      </c>
      <c r="C166" s="442"/>
      <c r="D166" s="445"/>
      <c r="E166" s="443">
        <v>518</v>
      </c>
      <c r="F166" s="443">
        <v>310</v>
      </c>
      <c r="G166" s="443">
        <f t="shared" si="18"/>
        <v>828</v>
      </c>
      <c r="H166" s="444">
        <v>62.6</v>
      </c>
    </row>
    <row r="167" spans="2:8" hidden="1" x14ac:dyDescent="0.25">
      <c r="B167" s="447" t="s">
        <v>1264</v>
      </c>
      <c r="C167" s="442"/>
      <c r="D167" s="445"/>
      <c r="E167" s="443">
        <v>91</v>
      </c>
      <c r="F167" s="443">
        <v>48</v>
      </c>
      <c r="G167" s="443">
        <f t="shared" si="18"/>
        <v>139</v>
      </c>
      <c r="H167" s="444">
        <v>65.5</v>
      </c>
    </row>
    <row r="168" spans="2:8" hidden="1" x14ac:dyDescent="0.25">
      <c r="B168" s="447" t="s">
        <v>1265</v>
      </c>
      <c r="C168" s="442"/>
      <c r="D168" s="445"/>
      <c r="E168" s="443">
        <v>435</v>
      </c>
      <c r="F168" s="443">
        <v>226</v>
      </c>
      <c r="G168" s="443">
        <f t="shared" si="18"/>
        <v>661</v>
      </c>
      <c r="H168" s="444">
        <v>65.8</v>
      </c>
    </row>
    <row r="169" spans="2:8" hidden="1" x14ac:dyDescent="0.25">
      <c r="B169" s="447" t="s">
        <v>1266</v>
      </c>
      <c r="C169" s="442"/>
      <c r="D169" s="445"/>
      <c r="E169" s="443">
        <v>264</v>
      </c>
      <c r="F169" s="443">
        <v>66</v>
      </c>
      <c r="G169" s="443">
        <f t="shared" si="18"/>
        <v>330</v>
      </c>
      <c r="H169" s="444">
        <v>80</v>
      </c>
    </row>
    <row r="170" spans="2:8" hidden="1" x14ac:dyDescent="0.25">
      <c r="B170" s="447" t="s">
        <v>1267</v>
      </c>
      <c r="C170" s="442"/>
      <c r="D170" s="445"/>
      <c r="E170" s="443">
        <v>754</v>
      </c>
      <c r="F170" s="443">
        <v>985</v>
      </c>
      <c r="G170" s="443">
        <f t="shared" si="18"/>
        <v>1739</v>
      </c>
      <c r="H170" s="444">
        <v>43.4</v>
      </c>
    </row>
    <row r="171" spans="2:8" ht="48" customHeight="1" x14ac:dyDescent="0.25">
      <c r="B171" s="447" t="s">
        <v>909</v>
      </c>
      <c r="C171" s="442" t="s">
        <v>1270</v>
      </c>
      <c r="D171" s="445">
        <v>0</v>
      </c>
      <c r="E171" s="443">
        <v>3906</v>
      </c>
      <c r="F171" s="443">
        <v>2217</v>
      </c>
      <c r="G171" s="443">
        <f t="shared" si="18"/>
        <v>6123</v>
      </c>
      <c r="H171" s="444">
        <f>E171/G171</f>
        <v>0.63792258696717297</v>
      </c>
    </row>
    <row r="172" spans="2:8" hidden="1" x14ac:dyDescent="0.25">
      <c r="B172" s="373"/>
      <c r="C172" s="373"/>
      <c r="D172" s="445"/>
      <c r="E172" s="445"/>
      <c r="F172" s="445"/>
      <c r="G172" s="365">
        <f t="shared" si="18"/>
        <v>0</v>
      </c>
      <c r="H172" s="375"/>
    </row>
    <row r="173" spans="2:8" hidden="1" x14ac:dyDescent="0.25">
      <c r="B173" s="373"/>
      <c r="C173" s="373"/>
      <c r="D173" s="445"/>
      <c r="E173" s="445"/>
      <c r="F173" s="445"/>
      <c r="G173" s="365">
        <f t="shared" si="18"/>
        <v>0</v>
      </c>
      <c r="H173" s="375"/>
    </row>
    <row r="174" spans="2:8" ht="40.5" hidden="1" x14ac:dyDescent="0.25">
      <c r="B174" s="367"/>
      <c r="C174" s="373"/>
      <c r="D174" s="445" t="s">
        <v>1271</v>
      </c>
      <c r="E174" s="443" t="s">
        <v>1258</v>
      </c>
      <c r="F174" s="443" t="s">
        <v>1269</v>
      </c>
      <c r="G174" s="365">
        <f t="shared" si="18"/>
        <v>0</v>
      </c>
      <c r="H174" s="368"/>
    </row>
    <row r="175" spans="2:8" hidden="1" x14ac:dyDescent="0.25">
      <c r="B175" s="367" t="s">
        <v>1261</v>
      </c>
      <c r="C175" s="373"/>
      <c r="D175" s="518">
        <v>6</v>
      </c>
      <c r="E175" s="518">
        <v>1261</v>
      </c>
      <c r="F175" s="518">
        <v>138</v>
      </c>
      <c r="G175" s="365">
        <f t="shared" si="18"/>
        <v>1405</v>
      </c>
      <c r="H175" s="369">
        <v>0.897509</v>
      </c>
    </row>
    <row r="176" spans="2:8" hidden="1" x14ac:dyDescent="0.25">
      <c r="B176" s="367" t="s">
        <v>1262</v>
      </c>
      <c r="C176" s="373"/>
      <c r="D176" s="518">
        <v>8</v>
      </c>
      <c r="E176" s="518">
        <v>4043</v>
      </c>
      <c r="F176" s="518">
        <v>531</v>
      </c>
      <c r="G176" s="365">
        <f t="shared" si="18"/>
        <v>4582</v>
      </c>
      <c r="H176" s="369">
        <v>0.88236599999999998</v>
      </c>
    </row>
    <row r="177" spans="2:8" hidden="1" x14ac:dyDescent="0.25">
      <c r="B177" s="367" t="s">
        <v>1263</v>
      </c>
      <c r="C177" s="373"/>
      <c r="D177" s="518">
        <v>1</v>
      </c>
      <c r="E177" s="518">
        <v>1221</v>
      </c>
      <c r="F177" s="518">
        <v>168</v>
      </c>
      <c r="G177" s="365">
        <f t="shared" si="18"/>
        <v>1390</v>
      </c>
      <c r="H177" s="369">
        <v>0.878417</v>
      </c>
    </row>
    <row r="178" spans="2:8" hidden="1" x14ac:dyDescent="0.25">
      <c r="B178" s="367" t="s">
        <v>1264</v>
      </c>
      <c r="C178" s="373"/>
      <c r="D178" s="518">
        <v>53</v>
      </c>
      <c r="E178" s="518">
        <v>372</v>
      </c>
      <c r="F178" s="518">
        <v>77</v>
      </c>
      <c r="G178" s="365">
        <f t="shared" si="18"/>
        <v>502</v>
      </c>
      <c r="H178" s="369">
        <v>0.74103600000000003</v>
      </c>
    </row>
    <row r="179" spans="2:8" hidden="1" x14ac:dyDescent="0.25">
      <c r="B179" s="367" t="s">
        <v>1265</v>
      </c>
      <c r="C179" s="373"/>
      <c r="D179" s="518">
        <v>11</v>
      </c>
      <c r="E179" s="518">
        <v>1506</v>
      </c>
      <c r="F179" s="518">
        <v>183</v>
      </c>
      <c r="G179" s="365">
        <f t="shared" si="18"/>
        <v>1700</v>
      </c>
      <c r="H179" s="369">
        <v>0.88588199999999995</v>
      </c>
    </row>
    <row r="180" spans="2:8" hidden="1" x14ac:dyDescent="0.25">
      <c r="B180" s="367" t="s">
        <v>1266</v>
      </c>
      <c r="C180" s="373"/>
      <c r="D180" s="518">
        <v>19</v>
      </c>
      <c r="E180" s="518">
        <v>1232</v>
      </c>
      <c r="F180" s="518">
        <v>260</v>
      </c>
      <c r="G180" s="365">
        <f t="shared" si="18"/>
        <v>1511</v>
      </c>
      <c r="H180" s="369">
        <v>0.81535400000000002</v>
      </c>
    </row>
    <row r="181" spans="2:8" hidden="1" x14ac:dyDescent="0.25">
      <c r="B181" s="367" t="s">
        <v>1267</v>
      </c>
      <c r="C181" s="373"/>
      <c r="D181" s="443"/>
      <c r="E181" s="518">
        <v>12</v>
      </c>
      <c r="F181" s="443"/>
      <c r="G181" s="365">
        <f t="shared" si="18"/>
        <v>12</v>
      </c>
      <c r="H181" s="369">
        <v>1</v>
      </c>
    </row>
    <row r="182" spans="2:8" ht="32.25" customHeight="1" x14ac:dyDescent="0.25">
      <c r="B182" s="367" t="s">
        <v>1272</v>
      </c>
      <c r="C182" s="373" t="s">
        <v>1273</v>
      </c>
      <c r="D182" s="518"/>
      <c r="E182" s="518"/>
      <c r="F182" s="518"/>
      <c r="G182" s="365"/>
      <c r="H182" s="366"/>
    </row>
  </sheetData>
  <mergeCells count="92">
    <mergeCell ref="B2:R2"/>
    <mergeCell ref="B4:O4"/>
    <mergeCell ref="D6:F6"/>
    <mergeCell ref="G6:I6"/>
    <mergeCell ref="J6:L6"/>
    <mergeCell ref="M6:M7"/>
    <mergeCell ref="N6:N7"/>
    <mergeCell ref="L9:L10"/>
    <mergeCell ref="N9:N10"/>
    <mergeCell ref="O9:O10"/>
    <mergeCell ref="C16:C21"/>
    <mergeCell ref="G16:G17"/>
    <mergeCell ref="H16:H17"/>
    <mergeCell ref="I16:I17"/>
    <mergeCell ref="J16:J17"/>
    <mergeCell ref="K16:K17"/>
    <mergeCell ref="L16:L17"/>
    <mergeCell ref="C9:C14"/>
    <mergeCell ref="G9:G10"/>
    <mergeCell ref="H9:H10"/>
    <mergeCell ref="I9:I10"/>
    <mergeCell ref="J9:J10"/>
    <mergeCell ref="K9:K10"/>
    <mergeCell ref="L23:L24"/>
    <mergeCell ref="N29:N30"/>
    <mergeCell ref="C43:C46"/>
    <mergeCell ref="G44:G45"/>
    <mergeCell ref="H44:H45"/>
    <mergeCell ref="I44:I45"/>
    <mergeCell ref="J44:J45"/>
    <mergeCell ref="K44:K45"/>
    <mergeCell ref="L44:L45"/>
    <mergeCell ref="C23:C28"/>
    <mergeCell ref="G23:G24"/>
    <mergeCell ref="H23:H24"/>
    <mergeCell ref="I23:I24"/>
    <mergeCell ref="J23:J24"/>
    <mergeCell ref="K23:K24"/>
    <mergeCell ref="C62:C67"/>
    <mergeCell ref="C51:C52"/>
    <mergeCell ref="G52:I52"/>
    <mergeCell ref="J52:L52"/>
    <mergeCell ref="G53:I53"/>
    <mergeCell ref="J53:L53"/>
    <mergeCell ref="C54:C55"/>
    <mergeCell ref="G54:I54"/>
    <mergeCell ref="J54:L54"/>
    <mergeCell ref="G55:I55"/>
    <mergeCell ref="J55:L55"/>
    <mergeCell ref="C56:C57"/>
    <mergeCell ref="G56:I56"/>
    <mergeCell ref="J56:L56"/>
    <mergeCell ref="G57:I57"/>
    <mergeCell ref="J57:L57"/>
    <mergeCell ref="C69:C74"/>
    <mergeCell ref="C76:C81"/>
    <mergeCell ref="A83:A89"/>
    <mergeCell ref="C84:C89"/>
    <mergeCell ref="D96:F96"/>
    <mergeCell ref="J96:L96"/>
    <mergeCell ref="C99:C104"/>
    <mergeCell ref="D99:D100"/>
    <mergeCell ref="E99:E100"/>
    <mergeCell ref="F99:F100"/>
    <mergeCell ref="G99:G100"/>
    <mergeCell ref="H99:H100"/>
    <mergeCell ref="I99:I100"/>
    <mergeCell ref="J99:J100"/>
    <mergeCell ref="K99:K100"/>
    <mergeCell ref="G96:I96"/>
    <mergeCell ref="I108:I109"/>
    <mergeCell ref="J108:J109"/>
    <mergeCell ref="D115:G115"/>
    <mergeCell ref="L99:L100"/>
    <mergeCell ref="B106:B107"/>
    <mergeCell ref="C106:C107"/>
    <mergeCell ref="D106:F106"/>
    <mergeCell ref="G106:H106"/>
    <mergeCell ref="I106:J106"/>
    <mergeCell ref="A133:A134"/>
    <mergeCell ref="C134:C136"/>
    <mergeCell ref="C108:C113"/>
    <mergeCell ref="G108:G109"/>
    <mergeCell ref="H108:H109"/>
    <mergeCell ref="B138:B139"/>
    <mergeCell ref="C138:C139"/>
    <mergeCell ref="D138:E138"/>
    <mergeCell ref="D150:H150"/>
    <mergeCell ref="C117:C122"/>
    <mergeCell ref="D124:F124"/>
    <mergeCell ref="D132:F132"/>
    <mergeCell ref="G132:I1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C7105-3513-41CB-AF58-D4FB2BF474AE}">
  <sheetPr codeName="Sheet1">
    <tabColor theme="3"/>
    <pageSetUpPr fitToPage="1"/>
  </sheetPr>
  <dimension ref="A2:N21"/>
  <sheetViews>
    <sheetView zoomScale="80" zoomScaleNormal="80" workbookViewId="0"/>
  </sheetViews>
  <sheetFormatPr defaultColWidth="8.81640625" defaultRowHeight="13.5" x14ac:dyDescent="0.25"/>
  <cols>
    <col min="1" max="1" width="3" style="2" customWidth="1"/>
    <col min="2" max="2" width="49.81640625" style="2" customWidth="1"/>
    <col min="3" max="3" width="19" style="2" customWidth="1"/>
    <col min="4" max="4" width="14.1796875" style="2" customWidth="1"/>
    <col min="5" max="5" width="37" style="2" customWidth="1"/>
    <col min="6" max="10" width="14.1796875" style="2" customWidth="1"/>
    <col min="11" max="16384" width="8.81640625" style="2"/>
  </cols>
  <sheetData>
    <row r="2" spans="1:14" ht="31" customHeight="1" x14ac:dyDescent="0.25">
      <c r="B2" s="847" t="s">
        <v>12</v>
      </c>
      <c r="C2" s="848"/>
      <c r="D2" s="849"/>
      <c r="E2" s="849"/>
      <c r="F2" s="4"/>
      <c r="G2" s="4"/>
      <c r="H2" s="4"/>
      <c r="I2" s="4"/>
      <c r="J2" s="4"/>
      <c r="K2" s="4"/>
      <c r="L2" s="4"/>
      <c r="M2" s="4"/>
      <c r="N2" s="4"/>
    </row>
    <row r="3" spans="1:14" ht="8.15" customHeight="1" x14ac:dyDescent="0.25">
      <c r="B3" s="850"/>
      <c r="C3" s="851"/>
      <c r="D3" s="852"/>
      <c r="E3" s="852"/>
      <c r="F3" s="853"/>
      <c r="G3" s="853"/>
      <c r="H3" s="853"/>
      <c r="I3" s="853"/>
      <c r="J3" s="853"/>
    </row>
    <row r="4" spans="1:14" ht="18" customHeight="1" x14ac:dyDescent="0.25">
      <c r="A4" s="854"/>
      <c r="B4" s="855" t="s">
        <v>13</v>
      </c>
      <c r="C4" s="856"/>
      <c r="D4" s="856"/>
      <c r="E4" s="856"/>
    </row>
    <row r="5" spans="1:14" ht="18" customHeight="1" x14ac:dyDescent="0.25">
      <c r="A5" s="854"/>
      <c r="B5" s="857" t="s">
        <v>14</v>
      </c>
      <c r="C5" s="856"/>
      <c r="D5" s="856"/>
      <c r="E5" s="856"/>
    </row>
    <row r="6" spans="1:14" ht="18" customHeight="1" x14ac:dyDescent="0.25">
      <c r="A6" s="854"/>
      <c r="B6" s="857" t="s">
        <v>15</v>
      </c>
      <c r="C6" s="856"/>
      <c r="D6" s="856"/>
      <c r="E6" s="856"/>
    </row>
    <row r="7" spans="1:14" ht="18" customHeight="1" x14ac:dyDescent="0.25">
      <c r="A7" s="854"/>
      <c r="B7" s="857" t="s">
        <v>16</v>
      </c>
      <c r="C7" s="856"/>
      <c r="D7" s="856"/>
      <c r="E7" s="856"/>
    </row>
    <row r="8" spans="1:14" ht="18" customHeight="1" x14ac:dyDescent="0.25">
      <c r="A8" s="854"/>
      <c r="B8" s="857" t="s">
        <v>17</v>
      </c>
      <c r="C8" s="856"/>
      <c r="D8" s="856"/>
      <c r="E8" s="856"/>
    </row>
    <row r="9" spans="1:14" ht="18" customHeight="1" x14ac:dyDescent="0.25">
      <c r="A9" s="854"/>
      <c r="B9" s="857" t="s">
        <v>18</v>
      </c>
      <c r="C9" s="856"/>
      <c r="D9" s="856"/>
      <c r="E9" s="856"/>
    </row>
    <row r="10" spans="1:14" ht="18" customHeight="1" x14ac:dyDescent="0.25">
      <c r="A10" s="854"/>
      <c r="B10" s="857" t="s">
        <v>19</v>
      </c>
      <c r="C10" s="856"/>
      <c r="D10" s="856"/>
      <c r="E10" s="856"/>
    </row>
    <row r="11" spans="1:14" ht="18" customHeight="1" x14ac:dyDescent="0.25">
      <c r="A11" s="854"/>
      <c r="B11" s="857" t="s">
        <v>20</v>
      </c>
      <c r="C11" s="856"/>
      <c r="D11" s="856"/>
      <c r="E11" s="856"/>
    </row>
    <row r="12" spans="1:14" ht="18" customHeight="1" x14ac:dyDescent="0.25">
      <c r="A12" s="854"/>
      <c r="B12" s="857" t="s">
        <v>21</v>
      </c>
      <c r="C12" s="856"/>
      <c r="D12" s="856"/>
      <c r="E12" s="856"/>
    </row>
    <row r="13" spans="1:14" ht="18" customHeight="1" x14ac:dyDescent="0.25">
      <c r="A13" s="854"/>
      <c r="B13" s="857" t="s">
        <v>22</v>
      </c>
      <c r="C13" s="856"/>
      <c r="D13" s="856"/>
      <c r="E13" s="856"/>
    </row>
    <row r="14" spans="1:14" ht="18" customHeight="1" x14ac:dyDescent="0.25">
      <c r="A14" s="854"/>
      <c r="B14" s="857" t="s">
        <v>23</v>
      </c>
      <c r="C14" s="856"/>
      <c r="D14" s="856"/>
      <c r="E14" s="856"/>
    </row>
    <row r="15" spans="1:14" ht="18" customHeight="1" x14ac:dyDescent="0.25">
      <c r="A15" s="854"/>
      <c r="B15" s="857" t="s">
        <v>24</v>
      </c>
      <c r="C15" s="856"/>
      <c r="D15" s="856"/>
      <c r="E15" s="856"/>
    </row>
    <row r="16" spans="1:14" ht="18" customHeight="1" x14ac:dyDescent="0.25">
      <c r="A16" s="854"/>
      <c r="B16" s="857" t="s">
        <v>25</v>
      </c>
      <c r="C16" s="856"/>
      <c r="D16" s="856"/>
      <c r="E16" s="856"/>
    </row>
    <row r="17" spans="1:5" ht="18" customHeight="1" x14ac:dyDescent="0.25">
      <c r="A17" s="854"/>
      <c r="B17" s="857" t="s">
        <v>26</v>
      </c>
      <c r="C17" s="856"/>
      <c r="D17" s="856"/>
      <c r="E17" s="856"/>
    </row>
    <row r="18" spans="1:5" ht="18" customHeight="1" x14ac:dyDescent="0.25">
      <c r="A18" s="854"/>
      <c r="B18" s="857" t="s">
        <v>27</v>
      </c>
      <c r="C18" s="856"/>
      <c r="D18" s="856"/>
      <c r="E18" s="856"/>
    </row>
    <row r="19" spans="1:5" ht="18" customHeight="1" x14ac:dyDescent="0.25">
      <c r="A19" s="854"/>
      <c r="B19" s="857" t="s">
        <v>28</v>
      </c>
      <c r="C19" s="856"/>
      <c r="D19" s="856"/>
      <c r="E19" s="856"/>
    </row>
    <row r="20" spans="1:5" ht="18" customHeight="1" x14ac:dyDescent="0.25">
      <c r="A20" s="854"/>
      <c r="B20" s="857" t="s">
        <v>29</v>
      </c>
      <c r="C20" s="856"/>
      <c r="D20" s="856"/>
      <c r="E20" s="856"/>
    </row>
    <row r="21" spans="1:5" ht="14.5" customHeight="1" x14ac:dyDescent="0.25">
      <c r="B21" s="848"/>
      <c r="C21" s="848"/>
      <c r="D21" s="848"/>
      <c r="E21" s="848"/>
    </row>
  </sheetData>
  <sheetProtection algorithmName="SHA-512" hashValue="R3eFe4x4BAf+7Otyb34l3NcAKHRnG7yjEmTH1F41AJXtEBBGd1+9kQrBKFNemRtT9csv7n1Hf1LI+EO5DRcC/w==" saltValue="s0qlfXMDiWVtg89hQGnNug==" spinCount="100000" sheet="1" objects="1" scenarios="1"/>
  <hyperlinks>
    <hyperlink ref="B5" location="'GRI Content index in accordance'!A1" display="GRI Content Index in accordance" xr:uid="{7F5DFDF5-FEF3-45F3-876D-AB76B75BF463}"/>
    <hyperlink ref="B6" location="'SASB Index'!A1" display="SASB Index" xr:uid="{FE074972-410A-435D-91E1-252C8F59A80F}"/>
    <hyperlink ref="B7" location="'TCFD Compliance Table'!A1" display="TCFD Compliance Table" xr:uid="{DE7DEAE2-D20B-4126-92B9-AEA22D9A2D90}"/>
    <hyperlink ref="B8" location="'PAI statement'!A1" display="PAI Statement" xr:uid="{06DDF1C0-F925-4A84-9D5C-396377F4E17D}"/>
    <hyperlink ref="B10" location="'ERM CVS assured metrics'!Print_Area" display="ERM CVS Assured metrics" xr:uid="{B3B08489-F50B-45FB-B1D7-FA8CE32E8DC3}"/>
    <hyperlink ref="B11" location="'2030 targets'!A1" display="2030 targets" xr:uid="{87B28707-19FF-4E27-B2EB-EA55260F44F6}"/>
    <hyperlink ref="B13" location="Environment!A1" display="Environment" xr:uid="{BCFA1647-5EB9-4662-A571-49FF70179CD1}"/>
    <hyperlink ref="B15" location="'Health and Safety'!A1" display="Health and Safety" xr:uid="{F3FD2434-366A-4CCF-B1A4-AD5FCF76A749}"/>
    <hyperlink ref="B14" location="People!A1" display="People" xr:uid="{9AA10CB9-8D5D-45CA-8BA0-0C8A9D55782F}"/>
    <hyperlink ref="B16" location="'Ethics and Compliance'!A1" display="Ethics and Compliance" xr:uid="{BCD38343-DF9B-4126-B115-D3FA7E55B2B0}"/>
    <hyperlink ref="B17" location="'Community Investment'!A1" display="Community Investment" xr:uid="{EF6B5F51-59C1-4838-99E0-72D21E826A44}"/>
    <hyperlink ref="B18" location="'Responsible Sourcing'!A1" display="Responsible Sourcing" xr:uid="{B6796D86-FEDB-469F-AABA-7A5E5C6F73B6}"/>
    <hyperlink ref="B4" location="'Material Topics'!A1" display="Material Topics" xr:uid="{A992F81B-A40F-49AE-B248-73FDD9EC5958}"/>
    <hyperlink ref="B9" location="'UK SECR'!Print_Area" display="UK SECR" xr:uid="{E43E5AF5-6EDD-4AAC-9725-2685DB0C466F}"/>
    <hyperlink ref="B12" location="'UN SDGs'!A1" display="UN SDGs" xr:uid="{2CFD4EFB-C0B1-48EB-8EFE-6E6FACABCFC1}"/>
    <hyperlink ref="B19" location="'Product Stewardship'!Print_Area" display="Product Stewardship" xr:uid="{F53E9A71-0086-482D-81B5-D69353E1489C}"/>
    <hyperlink ref="B20" location="'Basis of reporting'!A1" display="Basis of reporting" xr:uid="{268D6CDC-FB2E-431E-9655-1AF488D02D7B}"/>
  </hyperlinks>
  <pageMargins left="0.70866141732283472" right="0.70866141732283472" top="0.74803149606299213" bottom="0.74803149606299213" header="0.31496062992125984" footer="0.31496062992125984"/>
  <pageSetup paperSize="9" orientation="landscape" r:id="rId1"/>
  <rowBreaks count="1" manualBreakCount="1">
    <brk id="22" max="16383"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6062-0188-4294-AD95-F2474916B3D0}">
  <sheetPr codeName="Sheet8">
    <tabColor theme="3"/>
    <pageSetUpPr fitToPage="1"/>
  </sheetPr>
  <dimension ref="B2:P16"/>
  <sheetViews>
    <sheetView zoomScale="80" zoomScaleNormal="80" workbookViewId="0"/>
  </sheetViews>
  <sheetFormatPr defaultColWidth="8.81640625" defaultRowHeight="13.5" x14ac:dyDescent="0.25"/>
  <cols>
    <col min="1" max="1" width="2.1796875" style="2" customWidth="1"/>
    <col min="2" max="2" width="11.54296875" style="2" customWidth="1"/>
    <col min="3" max="3" width="12.1796875" style="2" customWidth="1"/>
    <col min="4" max="16" width="8.81640625" style="2"/>
    <col min="17" max="17" width="6.81640625" style="2" customWidth="1"/>
    <col min="18" max="16384" width="8.81640625" style="2"/>
  </cols>
  <sheetData>
    <row r="2" spans="2:16" ht="24.5" x14ac:dyDescent="0.25">
      <c r="B2" s="585" t="s">
        <v>13</v>
      </c>
      <c r="C2" s="586"/>
      <c r="D2" s="586"/>
    </row>
    <row r="4" spans="2:16" ht="87" customHeight="1" x14ac:dyDescent="0.25">
      <c r="B4" s="1435" t="s">
        <v>1360</v>
      </c>
      <c r="C4" s="1435"/>
      <c r="D4" s="1435"/>
      <c r="E4" s="1435"/>
      <c r="F4" s="1435"/>
      <c r="G4" s="1435"/>
      <c r="H4" s="1435"/>
      <c r="I4" s="1435"/>
      <c r="J4" s="1435"/>
      <c r="K4" s="1435"/>
      <c r="L4" s="1435"/>
      <c r="M4" s="1435"/>
      <c r="N4" s="1435"/>
      <c r="O4" s="1435"/>
      <c r="P4" s="1435"/>
    </row>
    <row r="5" spans="2:16" x14ac:dyDescent="0.25">
      <c r="B5" s="72" t="s">
        <v>30</v>
      </c>
      <c r="C5" s="72"/>
      <c r="D5" s="72"/>
      <c r="E5" s="72"/>
    </row>
    <row r="6" spans="2:16" ht="3.65" customHeight="1" x14ac:dyDescent="0.25"/>
    <row r="7" spans="2:16" ht="31.4" customHeight="1" x14ac:dyDescent="0.25">
      <c r="B7" s="1436" t="s">
        <v>31</v>
      </c>
      <c r="C7" s="628" t="s">
        <v>32</v>
      </c>
      <c r="D7" s="608"/>
      <c r="E7" s="608"/>
      <c r="F7" s="608"/>
      <c r="G7" s="609"/>
      <c r="H7" s="610"/>
      <c r="I7" s="610"/>
      <c r="J7" s="610"/>
      <c r="K7" s="610"/>
      <c r="L7" s="610"/>
      <c r="M7" s="610"/>
      <c r="N7" s="610"/>
      <c r="O7" s="610"/>
      <c r="P7" s="611"/>
    </row>
    <row r="8" spans="2:16" ht="31.4" customHeight="1" x14ac:dyDescent="0.25">
      <c r="B8" s="1437"/>
      <c r="C8" s="629" t="s">
        <v>33</v>
      </c>
      <c r="D8" s="612"/>
      <c r="E8" s="612"/>
      <c r="F8" s="612"/>
      <c r="G8" s="613"/>
      <c r="H8" s="614"/>
      <c r="I8" s="614"/>
      <c r="J8" s="614"/>
      <c r="K8" s="614"/>
      <c r="L8" s="614"/>
      <c r="M8" s="614"/>
      <c r="N8" s="614"/>
      <c r="O8" s="614"/>
      <c r="P8" s="615"/>
    </row>
    <row r="9" spans="2:16" ht="31.4" customHeight="1" x14ac:dyDescent="0.25">
      <c r="B9" s="1437"/>
      <c r="C9" s="629" t="s">
        <v>34</v>
      </c>
      <c r="D9" s="612"/>
      <c r="E9" s="612"/>
      <c r="F9" s="612"/>
      <c r="G9" s="613"/>
      <c r="H9" s="614"/>
      <c r="I9" s="614"/>
      <c r="J9" s="614"/>
      <c r="K9" s="614"/>
      <c r="L9" s="614"/>
      <c r="M9" s="614"/>
      <c r="N9" s="614"/>
      <c r="O9" s="614"/>
      <c r="P9" s="615"/>
    </row>
    <row r="10" spans="2:16" ht="31.4" customHeight="1" x14ac:dyDescent="0.25">
      <c r="B10" s="1437"/>
      <c r="C10" s="629" t="s">
        <v>35</v>
      </c>
      <c r="D10" s="612"/>
      <c r="E10" s="612"/>
      <c r="F10" s="612"/>
      <c r="G10" s="613"/>
      <c r="H10" s="614"/>
      <c r="I10" s="614"/>
      <c r="J10" s="614"/>
      <c r="K10" s="614"/>
      <c r="L10" s="614"/>
      <c r="M10" s="614"/>
      <c r="N10" s="614"/>
      <c r="O10" s="614"/>
      <c r="P10" s="615"/>
    </row>
    <row r="11" spans="2:16" ht="31.4" customHeight="1" x14ac:dyDescent="0.25">
      <c r="B11" s="1438"/>
      <c r="C11" s="630" t="s">
        <v>36</v>
      </c>
      <c r="D11" s="616"/>
      <c r="E11" s="616"/>
      <c r="F11" s="616"/>
      <c r="G11" s="617"/>
      <c r="H11" s="618"/>
      <c r="I11" s="618"/>
      <c r="J11" s="618"/>
      <c r="K11" s="618"/>
      <c r="L11" s="618"/>
      <c r="M11" s="618"/>
      <c r="N11" s="618"/>
      <c r="O11" s="618"/>
      <c r="P11" s="619"/>
    </row>
    <row r="12" spans="2:16" ht="31.4" customHeight="1" x14ac:dyDescent="0.25">
      <c r="B12" s="1439" t="s">
        <v>23</v>
      </c>
      <c r="C12" s="631" t="s">
        <v>37</v>
      </c>
      <c r="D12" s="620"/>
      <c r="E12" s="620"/>
      <c r="F12" s="620"/>
      <c r="G12" s="621"/>
      <c r="H12" s="622"/>
      <c r="I12" s="622"/>
      <c r="J12" s="622"/>
      <c r="K12" s="622"/>
      <c r="L12" s="622"/>
      <c r="M12" s="622"/>
      <c r="N12" s="622"/>
      <c r="O12" s="622"/>
      <c r="P12" s="623"/>
    </row>
    <row r="13" spans="2:16" ht="31.4" customHeight="1" x14ac:dyDescent="0.25">
      <c r="B13" s="1440"/>
      <c r="C13" s="632" t="s">
        <v>38</v>
      </c>
      <c r="D13" s="605"/>
      <c r="E13" s="605"/>
      <c r="F13" s="605"/>
      <c r="G13" s="606"/>
      <c r="H13" s="607"/>
      <c r="I13" s="607"/>
      <c r="J13" s="607"/>
      <c r="K13" s="607"/>
      <c r="L13" s="607"/>
      <c r="M13" s="607"/>
      <c r="N13" s="607"/>
      <c r="O13" s="607"/>
      <c r="P13" s="624"/>
    </row>
    <row r="14" spans="2:16" ht="31.4" customHeight="1" x14ac:dyDescent="0.25">
      <c r="B14" s="1440"/>
      <c r="C14" s="632" t="s">
        <v>39</v>
      </c>
      <c r="D14" s="605"/>
      <c r="E14" s="605"/>
      <c r="F14" s="605"/>
      <c r="G14" s="606"/>
      <c r="H14" s="607"/>
      <c r="I14" s="607"/>
      <c r="J14" s="607"/>
      <c r="K14" s="607"/>
      <c r="L14" s="607"/>
      <c r="M14" s="607"/>
      <c r="N14" s="607"/>
      <c r="O14" s="607"/>
      <c r="P14" s="624"/>
    </row>
    <row r="15" spans="2:16" ht="31.4" customHeight="1" x14ac:dyDescent="0.25">
      <c r="B15" s="1440"/>
      <c r="C15" s="632" t="s">
        <v>224</v>
      </c>
      <c r="D15" s="605"/>
      <c r="E15" s="605"/>
      <c r="F15" s="605"/>
      <c r="G15" s="606"/>
      <c r="H15" s="607"/>
      <c r="I15" s="607"/>
      <c r="J15" s="607"/>
      <c r="K15" s="607"/>
      <c r="L15" s="607"/>
      <c r="M15" s="607"/>
      <c r="N15" s="607"/>
      <c r="O15" s="607"/>
      <c r="P15" s="624"/>
    </row>
    <row r="16" spans="2:16" ht="31.4" customHeight="1" x14ac:dyDescent="0.25">
      <c r="B16" s="1441" t="s">
        <v>40</v>
      </c>
      <c r="C16" s="1442"/>
      <c r="D16" s="1442"/>
      <c r="E16" s="1442"/>
      <c r="F16" s="1442"/>
      <c r="G16" s="625"/>
      <c r="H16" s="626"/>
      <c r="I16" s="626"/>
      <c r="J16" s="626"/>
      <c r="K16" s="626"/>
      <c r="L16" s="626"/>
      <c r="M16" s="626"/>
      <c r="N16" s="626"/>
      <c r="O16" s="626"/>
      <c r="P16" s="627"/>
    </row>
  </sheetData>
  <sheetProtection algorithmName="SHA-512" hashValue="bGjLUxfz4naf2yAYrR/PyX9DpzsKU4BALu0MNbNV7PyzBnctaHb5ix8NYZqK3WOJI92N2qaF9Ycl6lBByhC29w==" saltValue="jHjfPpnfcrlHdMRQW1WBeg==" spinCount="100000" sheet="1" objects="1" scenarios="1"/>
  <mergeCells count="4">
    <mergeCell ref="B4:P4"/>
    <mergeCell ref="B7:B11"/>
    <mergeCell ref="B12:B15"/>
    <mergeCell ref="B16:F16"/>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7F17-A6F8-43F6-BF93-4BD458D1BEB8}">
  <sheetPr codeName="Sheet11">
    <pageSetUpPr fitToPage="1"/>
  </sheetPr>
  <dimension ref="A2:BK234"/>
  <sheetViews>
    <sheetView zoomScale="80" zoomScaleNormal="80" workbookViewId="0"/>
  </sheetViews>
  <sheetFormatPr defaultColWidth="9.1796875" defaultRowHeight="17.5" x14ac:dyDescent="0.35"/>
  <cols>
    <col min="1" max="1" width="4.1796875" style="58" customWidth="1"/>
    <col min="2" max="2" width="22.1796875" style="860" customWidth="1"/>
    <col min="3" max="3" width="48.81640625" style="860" customWidth="1"/>
    <col min="4" max="4" width="83.453125" style="58" customWidth="1"/>
    <col min="5" max="5" width="64.81640625" style="59" customWidth="1"/>
    <col min="6" max="6" width="22.453125" style="58" customWidth="1"/>
    <col min="7" max="7" width="22.81640625" style="58" customWidth="1"/>
    <col min="8" max="8" width="37.81640625" style="58" customWidth="1"/>
    <col min="9" max="9" width="13" style="58" customWidth="1"/>
    <col min="10" max="10" width="47.453125" style="58" customWidth="1"/>
    <col min="11" max="16384" width="9.1796875" style="58"/>
  </cols>
  <sheetData>
    <row r="2" spans="2:18" ht="33.65" customHeight="1" x14ac:dyDescent="0.35">
      <c r="B2" s="1476" t="s">
        <v>41</v>
      </c>
      <c r="C2" s="1476"/>
      <c r="D2" s="1476"/>
      <c r="E2" s="1476"/>
      <c r="F2" s="1476"/>
      <c r="G2" s="1476"/>
      <c r="H2" s="1476"/>
      <c r="I2" s="1476"/>
    </row>
    <row r="4" spans="2:18" ht="15" x14ac:dyDescent="0.35">
      <c r="B4" s="1485" t="s">
        <v>42</v>
      </c>
      <c r="C4" s="1485"/>
      <c r="D4" s="1482" t="s">
        <v>43</v>
      </c>
      <c r="E4" s="1482"/>
    </row>
    <row r="5" spans="2:18" ht="15" x14ac:dyDescent="0.35">
      <c r="B5" s="1486" t="s">
        <v>44</v>
      </c>
      <c r="C5" s="1486"/>
      <c r="D5" s="1483" t="s">
        <v>45</v>
      </c>
      <c r="E5" s="1483"/>
    </row>
    <row r="6" spans="2:18" hidden="1" x14ac:dyDescent="0.35">
      <c r="B6" s="858" t="s">
        <v>46</v>
      </c>
      <c r="C6" s="858"/>
      <c r="D6" s="859" t="s">
        <v>47</v>
      </c>
    </row>
    <row r="7" spans="2:18" x14ac:dyDescent="0.35">
      <c r="C7" s="861"/>
      <c r="D7" s="496"/>
      <c r="F7"/>
      <c r="G7" s="496"/>
      <c r="H7" s="496"/>
      <c r="I7" s="452"/>
    </row>
    <row r="8" spans="2:18" ht="13.5" x14ac:dyDescent="0.35">
      <c r="B8" s="824" t="s">
        <v>48</v>
      </c>
      <c r="C8" s="58"/>
      <c r="D8" s="824"/>
      <c r="F8" s="496"/>
      <c r="G8" s="496"/>
      <c r="H8" s="496"/>
      <c r="I8" s="452"/>
      <c r="M8" s="1507"/>
      <c r="N8" s="1507"/>
      <c r="O8" s="1507"/>
      <c r="P8" s="1507"/>
      <c r="Q8" s="1507"/>
      <c r="R8" s="1507"/>
    </row>
    <row r="9" spans="2:18" ht="13.5" x14ac:dyDescent="0.35">
      <c r="B9" s="5" t="s">
        <v>49</v>
      </c>
      <c r="C9" s="58"/>
      <c r="D9" s="824"/>
      <c r="E9" s="862"/>
      <c r="F9" s="496"/>
      <c r="G9" s="496"/>
      <c r="H9" s="496"/>
      <c r="I9" s="452"/>
      <c r="M9" s="1507"/>
      <c r="N9" s="1507"/>
      <c r="O9" s="1507"/>
      <c r="P9" s="1507"/>
      <c r="Q9" s="1507"/>
      <c r="R9" s="1507"/>
    </row>
    <row r="10" spans="2:18" ht="13.5" x14ac:dyDescent="0.35">
      <c r="B10" s="5" t="s">
        <v>50</v>
      </c>
      <c r="C10" s="58"/>
      <c r="D10" s="824"/>
      <c r="E10" s="862"/>
      <c r="F10" s="496"/>
      <c r="G10" s="496"/>
      <c r="H10" s="496"/>
      <c r="I10" s="452"/>
      <c r="M10" s="1507"/>
      <c r="N10" s="1507"/>
      <c r="O10" s="1507"/>
      <c r="P10" s="1507"/>
      <c r="Q10" s="1507"/>
      <c r="R10" s="1507"/>
    </row>
    <row r="11" spans="2:18" ht="0.65" customHeight="1" x14ac:dyDescent="0.35">
      <c r="C11" s="861"/>
      <c r="D11" s="496"/>
      <c r="E11" s="862"/>
      <c r="F11" s="496"/>
      <c r="G11" s="496"/>
      <c r="H11" s="496"/>
      <c r="I11" s="452"/>
      <c r="M11" s="1507"/>
      <c r="N11" s="1507"/>
      <c r="O11" s="1507"/>
      <c r="P11" s="1507"/>
      <c r="Q11" s="1507"/>
      <c r="R11" s="1507"/>
    </row>
    <row r="12" spans="2:18" ht="14.5" customHeight="1" x14ac:dyDescent="0.35">
      <c r="B12" s="1487" t="s">
        <v>51</v>
      </c>
      <c r="C12" s="1510" t="s">
        <v>52</v>
      </c>
      <c r="D12" s="1510" t="s">
        <v>53</v>
      </c>
      <c r="E12" s="1512" t="s">
        <v>54</v>
      </c>
      <c r="F12" s="1513" t="s">
        <v>55</v>
      </c>
      <c r="G12" s="1513"/>
      <c r="H12" s="1513"/>
      <c r="I12" s="1510" t="s">
        <v>56</v>
      </c>
      <c r="M12" s="1507"/>
      <c r="N12" s="1507"/>
      <c r="O12" s="1507"/>
      <c r="P12" s="1507"/>
      <c r="Q12" s="1507"/>
      <c r="R12" s="1507"/>
    </row>
    <row r="13" spans="2:18" ht="30" customHeight="1" x14ac:dyDescent="0.35">
      <c r="B13" s="1487"/>
      <c r="C13" s="1510"/>
      <c r="D13" s="1510"/>
      <c r="E13" s="1512"/>
      <c r="F13" s="863" t="s">
        <v>57</v>
      </c>
      <c r="G13" s="863" t="s">
        <v>58</v>
      </c>
      <c r="H13" s="863" t="s">
        <v>59</v>
      </c>
      <c r="I13" s="1510"/>
      <c r="M13" s="1507"/>
      <c r="N13" s="1507"/>
      <c r="O13" s="1507"/>
      <c r="P13" s="1507"/>
      <c r="Q13" s="1507"/>
      <c r="R13" s="1507"/>
    </row>
    <row r="14" spans="2:18" x14ac:dyDescent="0.35">
      <c r="B14" s="864"/>
      <c r="C14" s="1497" t="s">
        <v>60</v>
      </c>
      <c r="D14" s="1497"/>
      <c r="E14" s="1497"/>
      <c r="F14" s="1497"/>
      <c r="G14" s="1497"/>
      <c r="H14" s="1497"/>
      <c r="I14" s="1511"/>
      <c r="M14" s="1507"/>
      <c r="N14" s="1507"/>
      <c r="O14" s="1507"/>
      <c r="P14" s="1507"/>
      <c r="Q14" s="1507"/>
      <c r="R14" s="1507"/>
    </row>
    <row r="15" spans="2:18" ht="18" customHeight="1" x14ac:dyDescent="0.35">
      <c r="B15" s="1490"/>
      <c r="C15" s="1474" t="s">
        <v>61</v>
      </c>
      <c r="D15" s="817" t="s">
        <v>62</v>
      </c>
      <c r="E15" s="865" t="s">
        <v>1412</v>
      </c>
      <c r="F15" s="1514" t="s">
        <v>63</v>
      </c>
      <c r="G15" s="1514"/>
      <c r="H15" s="1514"/>
      <c r="I15" s="1514"/>
    </row>
    <row r="16" spans="2:18" ht="18" customHeight="1" x14ac:dyDescent="0.35">
      <c r="B16" s="1490"/>
      <c r="C16" s="1474"/>
      <c r="D16" s="817" t="s">
        <v>64</v>
      </c>
      <c r="E16" s="865" t="s">
        <v>1327</v>
      </c>
      <c r="F16" s="1514"/>
      <c r="G16" s="1514"/>
      <c r="H16" s="1514"/>
      <c r="I16" s="1514"/>
    </row>
    <row r="17" spans="2:10" ht="18" customHeight="1" x14ac:dyDescent="0.35">
      <c r="B17" s="1490"/>
      <c r="C17" s="1474"/>
      <c r="D17" s="817" t="s">
        <v>65</v>
      </c>
      <c r="E17" s="865" t="s">
        <v>1328</v>
      </c>
      <c r="F17" s="1514"/>
      <c r="G17" s="1514"/>
      <c r="H17" s="1514"/>
      <c r="I17" s="1514"/>
      <c r="J17" s="505"/>
    </row>
    <row r="18" spans="2:10" ht="61.75" customHeight="1" x14ac:dyDescent="0.35">
      <c r="B18" s="1490"/>
      <c r="C18" s="1474"/>
      <c r="D18" s="817" t="s">
        <v>66</v>
      </c>
      <c r="E18" s="865" t="s">
        <v>1329</v>
      </c>
      <c r="F18" s="1514"/>
      <c r="G18" s="1514"/>
      <c r="H18" s="1514"/>
      <c r="I18" s="1514"/>
    </row>
    <row r="19" spans="2:10" ht="18" customHeight="1" x14ac:dyDescent="0.35">
      <c r="B19" s="1490"/>
      <c r="C19" s="1474"/>
      <c r="D19" s="817" t="s">
        <v>67</v>
      </c>
      <c r="E19" s="865" t="s">
        <v>1330</v>
      </c>
      <c r="F19" s="1514"/>
      <c r="G19" s="1514"/>
      <c r="H19" s="1514"/>
      <c r="I19" s="1514"/>
    </row>
    <row r="20" spans="2:10" ht="18" customHeight="1" x14ac:dyDescent="0.35">
      <c r="B20" s="1490"/>
      <c r="C20" s="1474"/>
      <c r="D20" s="817" t="s">
        <v>68</v>
      </c>
      <c r="E20" s="865" t="s">
        <v>1331</v>
      </c>
      <c r="F20" s="866"/>
      <c r="G20" s="866"/>
      <c r="H20" s="866"/>
      <c r="I20" s="1475"/>
    </row>
    <row r="21" spans="2:10" ht="29.5" customHeight="1" x14ac:dyDescent="0.35">
      <c r="B21" s="1490"/>
      <c r="C21" s="1474"/>
      <c r="D21" s="817" t="s">
        <v>69</v>
      </c>
      <c r="E21" s="865" t="s">
        <v>1413</v>
      </c>
      <c r="F21" s="866"/>
      <c r="G21" s="866"/>
      <c r="H21" s="866"/>
      <c r="I21" s="1475"/>
    </row>
    <row r="22" spans="2:10" ht="13.5" x14ac:dyDescent="0.35">
      <c r="B22" s="1490"/>
      <c r="C22" s="1474"/>
      <c r="D22" s="817" t="s">
        <v>70</v>
      </c>
      <c r="E22" s="865" t="s">
        <v>173</v>
      </c>
      <c r="F22" s="866"/>
      <c r="G22" s="866"/>
      <c r="H22" s="866"/>
      <c r="I22" s="1475"/>
    </row>
    <row r="23" spans="2:10" ht="18" customHeight="1" x14ac:dyDescent="0.35">
      <c r="B23" s="1490"/>
      <c r="C23" s="1474"/>
      <c r="D23" s="817" t="s">
        <v>71</v>
      </c>
      <c r="E23" s="865" t="s">
        <v>1332</v>
      </c>
      <c r="F23" s="866"/>
      <c r="G23" s="866"/>
      <c r="H23" s="866"/>
      <c r="I23" s="1475"/>
    </row>
    <row r="24" spans="2:10" ht="18" customHeight="1" x14ac:dyDescent="0.35">
      <c r="B24" s="1490"/>
      <c r="C24" s="1474"/>
      <c r="D24" s="867" t="s">
        <v>72</v>
      </c>
      <c r="E24" s="865" t="s">
        <v>1333</v>
      </c>
      <c r="F24" s="866"/>
      <c r="G24" s="866"/>
      <c r="H24" s="866"/>
      <c r="I24" s="1475"/>
    </row>
    <row r="25" spans="2:10" ht="18" customHeight="1" x14ac:dyDescent="0.35">
      <c r="B25" s="1490"/>
      <c r="C25" s="1474"/>
      <c r="D25" s="867" t="s">
        <v>73</v>
      </c>
      <c r="E25" s="865" t="s">
        <v>1334</v>
      </c>
      <c r="F25" s="866"/>
      <c r="G25" s="866"/>
      <c r="H25" s="866"/>
      <c r="I25" s="1475"/>
    </row>
    <row r="26" spans="2:10" ht="13.5" x14ac:dyDescent="0.35">
      <c r="B26" s="1490"/>
      <c r="C26" s="1474"/>
      <c r="D26" s="867" t="s">
        <v>74</v>
      </c>
      <c r="E26" s="865" t="s">
        <v>1335</v>
      </c>
      <c r="F26" s="866"/>
      <c r="G26" s="866"/>
      <c r="H26" s="866"/>
      <c r="I26" s="1475"/>
    </row>
    <row r="27" spans="2:10" ht="18" customHeight="1" x14ac:dyDescent="0.35">
      <c r="B27" s="1490"/>
      <c r="C27" s="1474"/>
      <c r="D27" s="867" t="s">
        <v>75</v>
      </c>
      <c r="E27" s="865" t="s">
        <v>1337</v>
      </c>
      <c r="F27" s="866"/>
      <c r="G27" s="866"/>
      <c r="H27" s="866"/>
      <c r="I27" s="1475"/>
    </row>
    <row r="28" spans="2:10" ht="18" customHeight="1" x14ac:dyDescent="0.35">
      <c r="B28" s="1490"/>
      <c r="C28" s="1474"/>
      <c r="D28" s="867" t="s">
        <v>76</v>
      </c>
      <c r="E28" s="865" t="s">
        <v>1336</v>
      </c>
      <c r="F28" s="866"/>
      <c r="G28" s="866"/>
      <c r="H28" s="866"/>
      <c r="I28" s="1475"/>
    </row>
    <row r="29" spans="2:10" ht="18" customHeight="1" x14ac:dyDescent="0.35">
      <c r="B29" s="1490"/>
      <c r="C29" s="1474"/>
      <c r="D29" s="1473" t="s">
        <v>77</v>
      </c>
      <c r="E29" s="865" t="s">
        <v>1338</v>
      </c>
      <c r="F29" s="1464"/>
      <c r="G29" s="1464"/>
      <c r="H29" s="1464"/>
      <c r="I29" s="1475"/>
    </row>
    <row r="30" spans="2:10" ht="18" customHeight="1" x14ac:dyDescent="0.35">
      <c r="B30" s="1490"/>
      <c r="C30" s="1474"/>
      <c r="D30" s="1473"/>
      <c r="E30" s="868" t="s">
        <v>78</v>
      </c>
      <c r="F30" s="1464"/>
      <c r="G30" s="1464"/>
      <c r="H30" s="1464"/>
      <c r="I30" s="1475"/>
    </row>
    <row r="31" spans="2:10" ht="29.4" customHeight="1" x14ac:dyDescent="0.35">
      <c r="B31" s="1490"/>
      <c r="C31" s="1474"/>
      <c r="D31" s="867" t="s">
        <v>79</v>
      </c>
      <c r="E31" s="865" t="s">
        <v>1339</v>
      </c>
      <c r="F31" s="866"/>
      <c r="G31" s="866"/>
      <c r="H31" s="866"/>
      <c r="I31" s="1475"/>
    </row>
    <row r="32" spans="2:10" ht="18" customHeight="1" x14ac:dyDescent="0.35">
      <c r="B32" s="1490"/>
      <c r="C32" s="1474"/>
      <c r="D32" s="867" t="s">
        <v>80</v>
      </c>
      <c r="E32" s="865" t="s">
        <v>1341</v>
      </c>
      <c r="F32" s="866"/>
      <c r="G32" s="866"/>
      <c r="H32" s="866"/>
      <c r="I32" s="1475"/>
    </row>
    <row r="33" spans="2:9" ht="18" customHeight="1" x14ac:dyDescent="0.35">
      <c r="B33" s="1490"/>
      <c r="C33" s="1474"/>
      <c r="D33" s="867" t="s">
        <v>81</v>
      </c>
      <c r="E33" s="865" t="s">
        <v>1340</v>
      </c>
      <c r="F33" s="866"/>
      <c r="G33" s="866"/>
      <c r="H33" s="866"/>
      <c r="I33" s="1475"/>
    </row>
    <row r="34" spans="2:9" ht="18" customHeight="1" x14ac:dyDescent="0.35">
      <c r="B34" s="1490"/>
      <c r="C34" s="1474"/>
      <c r="D34" s="867" t="s">
        <v>82</v>
      </c>
      <c r="E34" s="865" t="s">
        <v>1342</v>
      </c>
      <c r="F34" s="866"/>
      <c r="G34" s="866"/>
      <c r="H34" s="866"/>
      <c r="I34" s="1475"/>
    </row>
    <row r="35" spans="2:9" ht="18" customHeight="1" x14ac:dyDescent="0.35">
      <c r="B35" s="1490"/>
      <c r="C35" s="1474"/>
      <c r="D35" s="867" t="s">
        <v>83</v>
      </c>
      <c r="E35" s="865" t="s">
        <v>1343</v>
      </c>
      <c r="F35" s="869"/>
      <c r="G35" s="866"/>
      <c r="H35" s="869"/>
      <c r="I35" s="1475"/>
    </row>
    <row r="36" spans="2:9" ht="27" x14ac:dyDescent="0.35">
      <c r="B36" s="1490"/>
      <c r="C36" s="1474"/>
      <c r="D36" s="867" t="s">
        <v>84</v>
      </c>
      <c r="E36" s="865" t="s">
        <v>1344</v>
      </c>
      <c r="F36" s="869"/>
      <c r="G36" s="866"/>
      <c r="H36" s="869"/>
      <c r="I36" s="1475"/>
    </row>
    <row r="37" spans="2:9" ht="13.5" x14ac:dyDescent="0.35">
      <c r="B37" s="1490"/>
      <c r="C37" s="1474"/>
      <c r="D37" s="1473" t="s">
        <v>85</v>
      </c>
      <c r="E37" s="865" t="s">
        <v>1346</v>
      </c>
      <c r="F37" s="869"/>
      <c r="G37" s="866"/>
      <c r="H37" s="869"/>
      <c r="I37" s="1475"/>
    </row>
    <row r="38" spans="2:9" ht="13.5" x14ac:dyDescent="0.35">
      <c r="B38" s="1490"/>
      <c r="C38" s="1474"/>
      <c r="D38" s="1473"/>
      <c r="E38" s="816" t="s">
        <v>1362</v>
      </c>
      <c r="F38" s="869"/>
      <c r="G38" s="866"/>
      <c r="H38" s="869"/>
      <c r="I38" s="1475"/>
    </row>
    <row r="39" spans="2:9" ht="18" customHeight="1" x14ac:dyDescent="0.35">
      <c r="B39" s="1490"/>
      <c r="C39" s="1474"/>
      <c r="D39" s="1473" t="s">
        <v>86</v>
      </c>
      <c r="E39" s="865" t="s">
        <v>1345</v>
      </c>
      <c r="F39" s="1472"/>
      <c r="G39" s="1464"/>
      <c r="H39" s="1472"/>
      <c r="I39" s="1475"/>
    </row>
    <row r="40" spans="2:9" ht="18" customHeight="1" x14ac:dyDescent="0.35">
      <c r="B40" s="1490"/>
      <c r="C40" s="1474"/>
      <c r="D40" s="1473"/>
      <c r="E40" s="868" t="s">
        <v>87</v>
      </c>
      <c r="F40" s="1472"/>
      <c r="G40" s="1464"/>
      <c r="H40" s="1472"/>
      <c r="I40" s="1475"/>
    </row>
    <row r="41" spans="2:9" ht="18" customHeight="1" x14ac:dyDescent="0.35">
      <c r="B41" s="1490"/>
      <c r="C41" s="1474"/>
      <c r="D41" s="1473" t="s">
        <v>88</v>
      </c>
      <c r="E41" s="865" t="s">
        <v>1347</v>
      </c>
      <c r="F41" s="869"/>
      <c r="G41" s="866"/>
      <c r="H41" s="869"/>
      <c r="I41" s="1475"/>
    </row>
    <row r="42" spans="2:9" ht="18" customHeight="1" x14ac:dyDescent="0.35">
      <c r="B42" s="1490"/>
      <c r="C42" s="1474"/>
      <c r="D42" s="1473"/>
      <c r="E42" s="868" t="s">
        <v>87</v>
      </c>
      <c r="F42" s="869"/>
      <c r="G42" s="866"/>
      <c r="H42" s="869"/>
      <c r="I42" s="1475"/>
    </row>
    <row r="43" spans="2:9" ht="18" customHeight="1" x14ac:dyDescent="0.35">
      <c r="B43" s="1490"/>
      <c r="C43" s="1474"/>
      <c r="D43" s="1473" t="s">
        <v>89</v>
      </c>
      <c r="E43" s="865" t="s">
        <v>1363</v>
      </c>
      <c r="F43" s="869"/>
      <c r="G43" s="866"/>
      <c r="H43" s="869"/>
      <c r="I43" s="1475"/>
    </row>
    <row r="44" spans="2:9" ht="18" customHeight="1" x14ac:dyDescent="0.35">
      <c r="B44" s="1490"/>
      <c r="C44" s="1474"/>
      <c r="D44" s="1473"/>
      <c r="E44" s="816" t="s">
        <v>1348</v>
      </c>
      <c r="F44" s="869"/>
      <c r="G44" s="866"/>
      <c r="H44" s="869"/>
      <c r="I44" s="1475"/>
    </row>
    <row r="45" spans="2:9" ht="18" customHeight="1" x14ac:dyDescent="0.35">
      <c r="B45" s="1490"/>
      <c r="C45" s="1474"/>
      <c r="D45" s="1473"/>
      <c r="E45" s="816" t="s">
        <v>1349</v>
      </c>
      <c r="F45" s="869"/>
      <c r="G45" s="866"/>
      <c r="H45" s="869"/>
      <c r="I45" s="1475"/>
    </row>
    <row r="46" spans="2:9" ht="18" customHeight="1" x14ac:dyDescent="0.35">
      <c r="B46" s="1490"/>
      <c r="C46" s="1474"/>
      <c r="D46" s="1473" t="s">
        <v>90</v>
      </c>
      <c r="E46" s="865" t="s">
        <v>1363</v>
      </c>
      <c r="F46" s="869"/>
      <c r="G46" s="866"/>
      <c r="H46" s="869"/>
      <c r="I46" s="1475"/>
    </row>
    <row r="47" spans="2:9" ht="18" customHeight="1" x14ac:dyDescent="0.35">
      <c r="B47" s="1490"/>
      <c r="C47" s="1474"/>
      <c r="D47" s="1473"/>
      <c r="E47" s="816" t="s">
        <v>1348</v>
      </c>
      <c r="F47" s="869"/>
      <c r="G47" s="866"/>
      <c r="H47" s="869"/>
      <c r="I47" s="1475"/>
    </row>
    <row r="48" spans="2:9" ht="18" customHeight="1" x14ac:dyDescent="0.35">
      <c r="B48" s="1490"/>
      <c r="C48" s="1474"/>
      <c r="D48" s="1473"/>
      <c r="E48" s="816" t="s">
        <v>1365</v>
      </c>
      <c r="F48" s="869"/>
      <c r="G48" s="866"/>
      <c r="H48" s="869"/>
      <c r="I48" s="1475"/>
    </row>
    <row r="49" spans="2:16" ht="40.25" customHeight="1" x14ac:dyDescent="0.35">
      <c r="B49" s="1490"/>
      <c r="C49" s="1474"/>
      <c r="D49" s="867" t="s">
        <v>91</v>
      </c>
      <c r="E49" s="865" t="s">
        <v>1364</v>
      </c>
      <c r="F49" s="869"/>
      <c r="G49" s="866"/>
      <c r="H49" s="869"/>
      <c r="I49" s="1475"/>
    </row>
    <row r="50" spans="2:16" ht="32.5" customHeight="1" x14ac:dyDescent="0.35">
      <c r="B50" s="1490"/>
      <c r="C50" s="1474"/>
      <c r="D50" s="1473" t="s">
        <v>92</v>
      </c>
      <c r="E50" s="871" t="s">
        <v>1361</v>
      </c>
      <c r="F50" s="869"/>
      <c r="G50" s="866"/>
      <c r="H50" s="869"/>
      <c r="I50" s="1475"/>
      <c r="L50" s="1509"/>
      <c r="M50" s="1509"/>
      <c r="N50" s="1509"/>
      <c r="O50" s="1509"/>
      <c r="P50" s="1509"/>
    </row>
    <row r="51" spans="2:16" ht="18" customHeight="1" x14ac:dyDescent="0.35">
      <c r="B51" s="1490"/>
      <c r="C51" s="1474"/>
      <c r="D51" s="1473"/>
      <c r="E51" s="816" t="s">
        <v>1350</v>
      </c>
      <c r="F51" s="869"/>
      <c r="G51" s="866"/>
      <c r="H51" s="869"/>
      <c r="I51" s="1475"/>
      <c r="L51" s="1509"/>
      <c r="M51" s="1509"/>
      <c r="N51" s="1509"/>
      <c r="O51" s="1509"/>
      <c r="P51" s="1509"/>
    </row>
    <row r="52" spans="2:16" ht="13.5" x14ac:dyDescent="0.35">
      <c r="B52" s="1490"/>
      <c r="C52" s="1474"/>
      <c r="D52" s="1473" t="s">
        <v>93</v>
      </c>
      <c r="E52" s="865" t="s">
        <v>1351</v>
      </c>
      <c r="F52" s="869"/>
      <c r="G52" s="866"/>
      <c r="H52" s="869"/>
      <c r="I52" s="1475"/>
      <c r="L52" s="1509"/>
      <c r="M52" s="1509"/>
      <c r="N52" s="1509"/>
      <c r="O52" s="1509"/>
      <c r="P52" s="1509"/>
    </row>
    <row r="53" spans="2:16" ht="29" customHeight="1" x14ac:dyDescent="0.35">
      <c r="B53" s="1490"/>
      <c r="C53" s="1474"/>
      <c r="D53" s="1473"/>
      <c r="E53" s="871" t="s">
        <v>1361</v>
      </c>
      <c r="F53" s="869"/>
      <c r="G53" s="866"/>
      <c r="H53" s="869"/>
      <c r="I53" s="1475"/>
      <c r="L53" s="1509"/>
      <c r="M53" s="1509"/>
      <c r="N53" s="1509"/>
      <c r="O53" s="1509"/>
      <c r="P53" s="1509"/>
    </row>
    <row r="54" spans="2:16" ht="13.5" x14ac:dyDescent="0.35">
      <c r="B54" s="1490"/>
      <c r="C54" s="1474"/>
      <c r="D54" s="1473"/>
      <c r="E54" s="816" t="s">
        <v>1350</v>
      </c>
      <c r="F54" s="869"/>
      <c r="G54" s="866"/>
      <c r="H54" s="869"/>
      <c r="I54" s="1475"/>
      <c r="L54" s="1509"/>
      <c r="M54" s="1509"/>
      <c r="N54" s="1509"/>
      <c r="O54" s="1509"/>
      <c r="P54" s="1509"/>
    </row>
    <row r="55" spans="2:16" ht="31.75" customHeight="1" x14ac:dyDescent="0.35">
      <c r="B55" s="1490"/>
      <c r="C55" s="1474"/>
      <c r="D55" s="1473" t="s">
        <v>94</v>
      </c>
      <c r="E55" s="865" t="s">
        <v>1352</v>
      </c>
      <c r="F55" s="869"/>
      <c r="G55" s="866"/>
      <c r="H55" s="869"/>
      <c r="I55" s="1475"/>
      <c r="L55" s="1509"/>
      <c r="M55" s="1509"/>
      <c r="N55" s="1509"/>
      <c r="O55" s="1509"/>
      <c r="P55" s="1509"/>
    </row>
    <row r="56" spans="2:16" ht="31.75" customHeight="1" x14ac:dyDescent="0.35">
      <c r="B56" s="873"/>
      <c r="C56" s="1474"/>
      <c r="D56" s="1473"/>
      <c r="E56" s="871" t="s">
        <v>1366</v>
      </c>
      <c r="F56" s="869"/>
      <c r="G56" s="866"/>
      <c r="H56" s="869"/>
      <c r="I56" s="1475"/>
      <c r="L56" s="872"/>
      <c r="M56" s="872"/>
      <c r="N56" s="872"/>
      <c r="O56" s="872"/>
      <c r="P56" s="872"/>
    </row>
    <row r="57" spans="2:16" ht="23.15" customHeight="1" x14ac:dyDescent="0.35">
      <c r="B57" s="874"/>
      <c r="C57" s="875" t="s">
        <v>95</v>
      </c>
      <c r="D57" s="876"/>
      <c r="E57" s="877"/>
      <c r="F57" s="876"/>
      <c r="G57" s="876"/>
      <c r="H57" s="876"/>
      <c r="I57" s="878"/>
    </row>
    <row r="58" spans="2:16" ht="17.399999999999999" customHeight="1" x14ac:dyDescent="0.35">
      <c r="B58" s="1524"/>
      <c r="C58" s="1467" t="s">
        <v>96</v>
      </c>
      <c r="D58" s="867" t="s">
        <v>97</v>
      </c>
      <c r="E58" s="865" t="s">
        <v>1353</v>
      </c>
      <c r="F58" s="1515" t="s">
        <v>63</v>
      </c>
      <c r="G58" s="1515"/>
      <c r="H58" s="1515"/>
      <c r="I58" s="1516"/>
      <c r="J58" s="505"/>
    </row>
    <row r="59" spans="2:16" ht="28.75" customHeight="1" x14ac:dyDescent="0.35">
      <c r="B59" s="1525"/>
      <c r="C59" s="1519"/>
      <c r="D59" s="879" t="s">
        <v>98</v>
      </c>
      <c r="E59" s="865" t="s">
        <v>1354</v>
      </c>
      <c r="F59" s="1517"/>
      <c r="G59" s="1517"/>
      <c r="H59" s="1517"/>
      <c r="I59" s="1518"/>
      <c r="L59" s="1508"/>
      <c r="M59" s="1508"/>
      <c r="N59" s="1508"/>
      <c r="O59" s="1508"/>
    </row>
    <row r="60" spans="2:16" ht="13.5" customHeight="1" x14ac:dyDescent="0.35">
      <c r="B60" s="1446" t="s">
        <v>99</v>
      </c>
      <c r="C60" s="1462" t="s">
        <v>100</v>
      </c>
      <c r="D60" s="1462"/>
      <c r="E60" s="1462"/>
      <c r="F60" s="1462"/>
      <c r="G60" s="1462"/>
      <c r="H60" s="1462"/>
      <c r="I60" s="1462"/>
    </row>
    <row r="61" spans="2:16" ht="19.75" customHeight="1" x14ac:dyDescent="0.35">
      <c r="B61" s="1447"/>
      <c r="C61" s="881" t="s">
        <v>96</v>
      </c>
      <c r="D61" s="817" t="s">
        <v>101</v>
      </c>
      <c r="E61" s="865" t="s">
        <v>1355</v>
      </c>
      <c r="F61" s="869"/>
      <c r="G61" s="869"/>
      <c r="H61" s="869"/>
      <c r="I61" s="869"/>
    </row>
    <row r="62" spans="2:16" ht="19.75" customHeight="1" x14ac:dyDescent="0.35">
      <c r="B62" s="1447"/>
      <c r="C62" s="1465" t="s">
        <v>102</v>
      </c>
      <c r="D62" s="817" t="s">
        <v>103</v>
      </c>
      <c r="E62" s="865" t="s">
        <v>1356</v>
      </c>
      <c r="F62" s="869"/>
      <c r="G62" s="869"/>
      <c r="H62" s="869"/>
      <c r="I62" s="869"/>
    </row>
    <row r="63" spans="2:16" ht="28.75" customHeight="1" x14ac:dyDescent="0.35">
      <c r="B63" s="1447"/>
      <c r="C63" s="1465"/>
      <c r="D63" s="817" t="s">
        <v>104</v>
      </c>
      <c r="E63" s="865" t="s">
        <v>1357</v>
      </c>
      <c r="F63" s="869"/>
      <c r="G63" s="869"/>
      <c r="H63" s="869"/>
      <c r="I63" s="869"/>
    </row>
    <row r="64" spans="2:16" ht="18" customHeight="1" x14ac:dyDescent="0.35">
      <c r="B64" s="1447"/>
      <c r="C64" s="1465"/>
      <c r="D64" s="817" t="s">
        <v>105</v>
      </c>
      <c r="E64" s="883" t="s">
        <v>1367</v>
      </c>
      <c r="F64" s="869"/>
      <c r="G64" s="869"/>
      <c r="H64" s="869"/>
      <c r="I64" s="869"/>
    </row>
    <row r="65" spans="2:14" ht="17.149999999999999" customHeight="1" x14ac:dyDescent="0.35">
      <c r="B65" s="1447"/>
      <c r="C65" s="1465"/>
      <c r="D65" s="679" t="s">
        <v>106</v>
      </c>
      <c r="E65" s="865" t="s">
        <v>1368</v>
      </c>
      <c r="F65" s="869"/>
      <c r="G65" s="869"/>
      <c r="H65" s="869"/>
      <c r="I65" s="869"/>
    </row>
    <row r="66" spans="2:14" ht="17.399999999999999" customHeight="1" x14ac:dyDescent="0.35">
      <c r="B66" s="1447"/>
      <c r="C66" s="1461" t="s">
        <v>251</v>
      </c>
      <c r="D66" s="1462"/>
      <c r="E66" s="1462"/>
      <c r="F66" s="1462"/>
      <c r="G66" s="1462"/>
      <c r="H66" s="1462"/>
      <c r="I66" s="1462"/>
    </row>
    <row r="67" spans="2:14" ht="17.399999999999999" customHeight="1" x14ac:dyDescent="0.35">
      <c r="B67" s="1447"/>
      <c r="C67" s="884" t="s">
        <v>96</v>
      </c>
      <c r="D67" s="817" t="s">
        <v>101</v>
      </c>
      <c r="E67" s="865" t="s">
        <v>1369</v>
      </c>
      <c r="F67" s="885"/>
      <c r="G67" s="885"/>
      <c r="H67" s="885"/>
      <c r="I67" s="885"/>
    </row>
    <row r="68" spans="2:14" ht="24" customHeight="1" x14ac:dyDescent="0.35">
      <c r="B68" s="1447"/>
      <c r="C68" s="884" t="s">
        <v>252</v>
      </c>
      <c r="D68" s="817" t="s">
        <v>253</v>
      </c>
      <c r="E68" s="865" t="s">
        <v>1370</v>
      </c>
      <c r="F68" s="885"/>
      <c r="G68" s="885"/>
      <c r="H68" s="885"/>
      <c r="I68" s="885"/>
    </row>
    <row r="69" spans="2:14" ht="13.5" customHeight="1" x14ac:dyDescent="0.35">
      <c r="B69" s="1447"/>
      <c r="C69" s="1462" t="s">
        <v>107</v>
      </c>
      <c r="D69" s="1462"/>
      <c r="E69" s="1462"/>
      <c r="F69" s="1462"/>
      <c r="G69" s="1462"/>
      <c r="H69" s="1462"/>
      <c r="I69" s="1462"/>
      <c r="L69" s="880"/>
      <c r="M69" s="880"/>
      <c r="N69" s="880"/>
    </row>
    <row r="70" spans="2:14" ht="19.5" x14ac:dyDescent="0.35">
      <c r="B70" s="1447"/>
      <c r="C70" s="1465" t="s">
        <v>96</v>
      </c>
      <c r="D70" s="1484" t="s">
        <v>101</v>
      </c>
      <c r="E70" s="865" t="s">
        <v>1371</v>
      </c>
      <c r="F70" s="866"/>
      <c r="G70" s="866"/>
      <c r="H70" s="866"/>
      <c r="I70" s="866"/>
      <c r="L70" s="880"/>
      <c r="M70" s="880"/>
      <c r="N70" s="880"/>
    </row>
    <row r="71" spans="2:14" ht="19.5" x14ac:dyDescent="0.35">
      <c r="B71" s="1447"/>
      <c r="C71" s="1465"/>
      <c r="D71" s="1484"/>
      <c r="E71" s="868" t="s">
        <v>108</v>
      </c>
      <c r="F71" s="866"/>
      <c r="G71" s="866"/>
      <c r="H71" s="866"/>
      <c r="I71" s="866"/>
      <c r="L71" s="880"/>
      <c r="M71" s="880"/>
      <c r="N71" s="880"/>
    </row>
    <row r="72" spans="2:14" ht="19.5" x14ac:dyDescent="0.35">
      <c r="B72" s="1447"/>
      <c r="C72" s="1459" t="s">
        <v>109</v>
      </c>
      <c r="D72" s="869" t="s">
        <v>110</v>
      </c>
      <c r="E72" s="865" t="s">
        <v>1363</v>
      </c>
      <c r="F72" s="866"/>
      <c r="G72" s="866"/>
      <c r="H72" s="866"/>
      <c r="I72" s="866"/>
      <c r="L72" s="880"/>
      <c r="M72" s="880"/>
      <c r="N72" s="880"/>
    </row>
    <row r="73" spans="2:14" ht="19.5" x14ac:dyDescent="0.35">
      <c r="B73" s="1447"/>
      <c r="C73" s="1459"/>
      <c r="D73" s="869" t="s">
        <v>111</v>
      </c>
      <c r="E73" s="865" t="s">
        <v>173</v>
      </c>
      <c r="F73" s="866"/>
      <c r="G73" s="866"/>
      <c r="H73" s="866"/>
      <c r="I73" s="866"/>
      <c r="L73" s="880"/>
      <c r="M73" s="880"/>
      <c r="N73" s="880"/>
    </row>
    <row r="74" spans="2:14" ht="19.5" x14ac:dyDescent="0.35">
      <c r="B74" s="1447"/>
      <c r="C74" s="1465"/>
      <c r="D74" s="869" t="s">
        <v>112</v>
      </c>
      <c r="E74" s="865" t="s">
        <v>1363</v>
      </c>
      <c r="F74" s="866"/>
      <c r="G74" s="866"/>
      <c r="H74" s="866"/>
      <c r="I74" s="866"/>
      <c r="L74" s="880"/>
      <c r="M74" s="880"/>
      <c r="N74" s="880"/>
    </row>
    <row r="75" spans="2:14" ht="17.5" customHeight="1" x14ac:dyDescent="0.35">
      <c r="B75" s="1447"/>
      <c r="C75" s="1477" t="s">
        <v>113</v>
      </c>
      <c r="D75" s="1478"/>
      <c r="E75" s="1478"/>
      <c r="F75" s="1478"/>
      <c r="G75" s="1478"/>
      <c r="H75" s="1478"/>
      <c r="I75" s="1479"/>
    </row>
    <row r="76" spans="2:14" ht="17.5" customHeight="1" x14ac:dyDescent="0.35">
      <c r="B76" s="1447"/>
      <c r="C76" s="884" t="s">
        <v>96</v>
      </c>
      <c r="D76" s="817" t="s">
        <v>101</v>
      </c>
      <c r="E76" s="865" t="s">
        <v>1369</v>
      </c>
      <c r="F76" s="869"/>
      <c r="G76" s="869"/>
      <c r="H76" s="869"/>
      <c r="I76" s="869"/>
    </row>
    <row r="77" spans="2:14" ht="33" customHeight="1" x14ac:dyDescent="0.35">
      <c r="B77" s="1447"/>
      <c r="C77" s="886" t="s">
        <v>114</v>
      </c>
      <c r="D77" s="817" t="s">
        <v>115</v>
      </c>
      <c r="E77" s="865" t="s">
        <v>1363</v>
      </c>
      <c r="F77" s="869"/>
      <c r="G77" s="869"/>
      <c r="H77" s="869"/>
      <c r="I77" s="869"/>
    </row>
    <row r="78" spans="2:14" ht="17.399999999999999" customHeight="1" x14ac:dyDescent="0.35">
      <c r="B78" s="1447"/>
      <c r="C78" s="1461" t="s">
        <v>264</v>
      </c>
      <c r="D78" s="1462"/>
      <c r="E78" s="1462"/>
      <c r="F78" s="1462"/>
      <c r="G78" s="1462"/>
      <c r="H78" s="1462"/>
      <c r="I78" s="1462"/>
    </row>
    <row r="79" spans="2:14" ht="17.399999999999999" customHeight="1" x14ac:dyDescent="0.35">
      <c r="B79" s="1447"/>
      <c r="C79" s="887" t="s">
        <v>96</v>
      </c>
      <c r="D79" s="817" t="s">
        <v>101</v>
      </c>
      <c r="E79" s="883" t="s">
        <v>1369</v>
      </c>
      <c r="F79" s="866"/>
      <c r="G79" s="866"/>
      <c r="H79" s="866"/>
      <c r="I79" s="866"/>
    </row>
    <row r="80" spans="2:14" ht="17.399999999999999" customHeight="1" x14ac:dyDescent="0.35">
      <c r="B80" s="1448"/>
      <c r="C80" s="887" t="s">
        <v>265</v>
      </c>
      <c r="D80" s="817" t="s">
        <v>266</v>
      </c>
      <c r="E80" s="883" t="s">
        <v>1372</v>
      </c>
      <c r="F80" s="866"/>
      <c r="G80" s="866"/>
      <c r="H80" s="866"/>
      <c r="I80" s="866"/>
    </row>
    <row r="81" spans="2:9" ht="13.5" x14ac:dyDescent="0.35">
      <c r="B81" s="1491" t="s">
        <v>36</v>
      </c>
      <c r="C81" s="1462" t="s">
        <v>116</v>
      </c>
      <c r="D81" s="1462"/>
      <c r="E81" s="1462"/>
      <c r="F81" s="1462"/>
      <c r="G81" s="1462"/>
      <c r="H81" s="1462"/>
      <c r="I81" s="1462"/>
    </row>
    <row r="82" spans="2:9" ht="19.75" customHeight="1" x14ac:dyDescent="0.35">
      <c r="B82" s="1492"/>
      <c r="C82" s="881" t="s">
        <v>96</v>
      </c>
      <c r="D82" s="869" t="s">
        <v>101</v>
      </c>
      <c r="E82" s="865" t="s">
        <v>1373</v>
      </c>
      <c r="F82" s="866"/>
      <c r="G82" s="866"/>
      <c r="H82" s="866"/>
      <c r="I82" s="866"/>
    </row>
    <row r="83" spans="2:9" ht="40.5" x14ac:dyDescent="0.35">
      <c r="B83" s="1492"/>
      <c r="C83" s="1465" t="s">
        <v>117</v>
      </c>
      <c r="D83" s="679" t="s">
        <v>118</v>
      </c>
      <c r="E83" s="865"/>
      <c r="F83" s="888" t="s">
        <v>119</v>
      </c>
      <c r="G83" s="889" t="s">
        <v>120</v>
      </c>
      <c r="H83" s="865" t="s">
        <v>121</v>
      </c>
      <c r="I83" s="866"/>
    </row>
    <row r="84" spans="2:9" ht="19.75" customHeight="1" x14ac:dyDescent="0.35">
      <c r="B84" s="1492"/>
      <c r="C84" s="1465"/>
      <c r="D84" s="869" t="s">
        <v>122</v>
      </c>
      <c r="E84" s="865" t="s">
        <v>1374</v>
      </c>
      <c r="F84" s="883"/>
      <c r="G84" s="883"/>
      <c r="H84" s="883"/>
      <c r="I84" s="866"/>
    </row>
    <row r="85" spans="2:9" ht="40.5" x14ac:dyDescent="0.35">
      <c r="B85" s="1489"/>
      <c r="C85" s="1465"/>
      <c r="D85" s="869" t="s">
        <v>123</v>
      </c>
      <c r="E85" s="865" t="s">
        <v>1374</v>
      </c>
      <c r="F85" s="865" t="s">
        <v>124</v>
      </c>
      <c r="G85" s="865" t="s">
        <v>120</v>
      </c>
      <c r="H85" s="865" t="s">
        <v>125</v>
      </c>
      <c r="I85" s="866"/>
    </row>
    <row r="86" spans="2:9" ht="13.5" x14ac:dyDescent="0.35">
      <c r="B86" s="1488" t="s">
        <v>32</v>
      </c>
      <c r="C86" s="1462" t="s">
        <v>126</v>
      </c>
      <c r="D86" s="1462"/>
      <c r="E86" s="1462"/>
      <c r="F86" s="1462"/>
      <c r="G86" s="1462"/>
      <c r="H86" s="1462"/>
      <c r="I86" s="1462"/>
    </row>
    <row r="87" spans="2:9" ht="20.5" customHeight="1" x14ac:dyDescent="0.35">
      <c r="B87" s="1489"/>
      <c r="C87" s="881" t="s">
        <v>96</v>
      </c>
      <c r="D87" s="817" t="s">
        <v>101</v>
      </c>
      <c r="E87" s="865" t="s">
        <v>1375</v>
      </c>
      <c r="F87" s="866"/>
      <c r="G87" s="866"/>
      <c r="H87" s="866"/>
      <c r="I87" s="866"/>
    </row>
    <row r="88" spans="2:9" ht="29.5" customHeight="1" x14ac:dyDescent="0.35">
      <c r="B88" s="1489"/>
      <c r="C88" s="1465" t="s">
        <v>127</v>
      </c>
      <c r="D88" s="817" t="s">
        <v>128</v>
      </c>
      <c r="E88" s="865" t="s">
        <v>1415</v>
      </c>
      <c r="F88" s="866"/>
      <c r="G88" s="866"/>
      <c r="H88" s="866"/>
      <c r="I88" s="866"/>
    </row>
    <row r="89" spans="2:9" ht="29.5" customHeight="1" x14ac:dyDescent="0.35">
      <c r="B89" s="1489"/>
      <c r="C89" s="1465"/>
      <c r="D89" s="817" t="s">
        <v>129</v>
      </c>
      <c r="E89" s="865" t="s">
        <v>1376</v>
      </c>
      <c r="F89" s="866"/>
      <c r="G89" s="866"/>
      <c r="H89" s="866"/>
      <c r="I89" s="866"/>
    </row>
    <row r="90" spans="2:9" ht="29.5" customHeight="1" x14ac:dyDescent="0.35">
      <c r="B90" s="1489"/>
      <c r="C90" s="1465"/>
      <c r="D90" s="817" t="s">
        <v>130</v>
      </c>
      <c r="E90" s="865" t="s">
        <v>1415</v>
      </c>
      <c r="F90" s="866"/>
      <c r="G90" s="866"/>
      <c r="H90" s="866"/>
      <c r="I90" s="866"/>
    </row>
    <row r="91" spans="2:9" ht="29.5" customHeight="1" x14ac:dyDescent="0.35">
      <c r="B91" s="1489"/>
      <c r="C91" s="1465"/>
      <c r="D91" s="817" t="s">
        <v>131</v>
      </c>
      <c r="E91" s="865" t="s">
        <v>1415</v>
      </c>
      <c r="F91" s="866"/>
      <c r="G91" s="866"/>
      <c r="H91" s="866"/>
      <c r="I91" s="866"/>
    </row>
    <row r="92" spans="2:9" ht="31.75" customHeight="1" x14ac:dyDescent="0.35">
      <c r="B92" s="1489"/>
      <c r="C92" s="1465"/>
      <c r="D92" s="817" t="s">
        <v>132</v>
      </c>
      <c r="E92" s="865"/>
      <c r="F92" s="890" t="s">
        <v>1377</v>
      </c>
      <c r="G92" s="889" t="s">
        <v>120</v>
      </c>
      <c r="H92" s="865" t="s">
        <v>121</v>
      </c>
      <c r="I92" s="866"/>
    </row>
    <row r="93" spans="2:9" ht="13.5" x14ac:dyDescent="0.35">
      <c r="B93" s="1488" t="s">
        <v>34</v>
      </c>
      <c r="C93" s="1462" t="s">
        <v>133</v>
      </c>
      <c r="D93" s="1462"/>
      <c r="E93" s="1462"/>
      <c r="F93" s="1462"/>
      <c r="G93" s="1462"/>
      <c r="H93" s="1462"/>
      <c r="I93" s="1462"/>
    </row>
    <row r="94" spans="2:9" ht="27.65" customHeight="1" x14ac:dyDescent="0.35">
      <c r="B94" s="1489"/>
      <c r="C94" s="881" t="s">
        <v>96</v>
      </c>
      <c r="D94" s="817" t="s">
        <v>101</v>
      </c>
      <c r="E94" s="865" t="s">
        <v>1378</v>
      </c>
      <c r="F94" s="866"/>
      <c r="G94" s="866"/>
      <c r="H94" s="866"/>
      <c r="I94" s="866"/>
    </row>
    <row r="95" spans="2:9" ht="30" customHeight="1" x14ac:dyDescent="0.35">
      <c r="B95" s="1489"/>
      <c r="C95" s="1465" t="s">
        <v>134</v>
      </c>
      <c r="D95" s="817" t="s">
        <v>135</v>
      </c>
      <c r="E95" s="865" t="s">
        <v>1379</v>
      </c>
      <c r="F95" s="866"/>
      <c r="G95" s="866"/>
      <c r="H95" s="866"/>
      <c r="I95" s="866"/>
    </row>
    <row r="96" spans="2:9" ht="30" customHeight="1" x14ac:dyDescent="0.35">
      <c r="B96" s="1489"/>
      <c r="C96" s="1465"/>
      <c r="D96" s="817" t="s">
        <v>136</v>
      </c>
      <c r="E96" s="865" t="s">
        <v>1379</v>
      </c>
      <c r="F96" s="866"/>
      <c r="G96" s="866"/>
      <c r="H96" s="866"/>
      <c r="I96" s="866"/>
    </row>
    <row r="97" spans="2:9" ht="30" customHeight="1" x14ac:dyDescent="0.35">
      <c r="B97" s="1489"/>
      <c r="C97" s="1465"/>
      <c r="D97" s="817" t="s">
        <v>137</v>
      </c>
      <c r="E97" s="865" t="s">
        <v>1379</v>
      </c>
      <c r="F97" s="866"/>
      <c r="G97" s="866"/>
      <c r="H97" s="866"/>
      <c r="I97" s="866"/>
    </row>
    <row r="98" spans="2:9" ht="30" customHeight="1" x14ac:dyDescent="0.35">
      <c r="B98" s="1489"/>
      <c r="C98" s="1465"/>
      <c r="D98" s="817" t="s">
        <v>138</v>
      </c>
      <c r="E98" s="865" t="s">
        <v>1379</v>
      </c>
      <c r="F98" s="866"/>
      <c r="G98" s="866"/>
      <c r="H98" s="866"/>
      <c r="I98" s="866"/>
    </row>
    <row r="99" spans="2:9" ht="30" customHeight="1" x14ac:dyDescent="0.35">
      <c r="B99" s="1489"/>
      <c r="C99" s="1465"/>
      <c r="D99" s="817" t="s">
        <v>139</v>
      </c>
      <c r="E99" s="865" t="s">
        <v>1379</v>
      </c>
      <c r="F99" s="866"/>
      <c r="G99" s="866"/>
      <c r="H99" s="866"/>
      <c r="I99" s="866"/>
    </row>
    <row r="100" spans="2:9" ht="13.5" customHeight="1" x14ac:dyDescent="0.35">
      <c r="B100" s="1449" t="s">
        <v>33</v>
      </c>
      <c r="C100" s="1462" t="s">
        <v>140</v>
      </c>
      <c r="D100" s="1462"/>
      <c r="E100" s="1462"/>
      <c r="F100" s="1462"/>
      <c r="G100" s="1462"/>
      <c r="H100" s="1462"/>
      <c r="I100" s="1462"/>
    </row>
    <row r="101" spans="2:9" ht="30.65" customHeight="1" x14ac:dyDescent="0.35">
      <c r="B101" s="1450"/>
      <c r="C101" s="881" t="s">
        <v>96</v>
      </c>
      <c r="D101" s="817" t="s">
        <v>101</v>
      </c>
      <c r="E101" s="865" t="s">
        <v>1380</v>
      </c>
      <c r="F101" s="866"/>
      <c r="G101" s="866"/>
      <c r="H101" s="883"/>
      <c r="I101" s="866"/>
    </row>
    <row r="102" spans="2:9" ht="30.65" customHeight="1" x14ac:dyDescent="0.35">
      <c r="B102" s="1450"/>
      <c r="C102" s="1465" t="s">
        <v>141</v>
      </c>
      <c r="D102" s="817" t="s">
        <v>142</v>
      </c>
      <c r="E102" s="865" t="s">
        <v>1381</v>
      </c>
      <c r="F102" s="866"/>
      <c r="G102" s="866"/>
      <c r="H102" s="883"/>
      <c r="I102" s="866"/>
    </row>
    <row r="103" spans="2:9" ht="30.65" customHeight="1" x14ac:dyDescent="0.35">
      <c r="B103" s="1450"/>
      <c r="C103" s="1465"/>
      <c r="D103" s="817" t="s">
        <v>143</v>
      </c>
      <c r="E103" s="865" t="s">
        <v>1381</v>
      </c>
      <c r="F103" s="866"/>
      <c r="G103" s="866"/>
      <c r="H103" s="883"/>
      <c r="I103" s="866"/>
    </row>
    <row r="104" spans="2:9" ht="30.65" customHeight="1" x14ac:dyDescent="0.35">
      <c r="B104" s="1450"/>
      <c r="C104" s="1465"/>
      <c r="D104" s="817" t="s">
        <v>144</v>
      </c>
      <c r="E104" s="865" t="s">
        <v>1381</v>
      </c>
      <c r="F104" s="866"/>
      <c r="G104" s="866"/>
      <c r="H104" s="883"/>
      <c r="I104" s="866"/>
    </row>
    <row r="105" spans="2:9" ht="30.65" customHeight="1" x14ac:dyDescent="0.35">
      <c r="B105" s="1450"/>
      <c r="C105" s="1465"/>
      <c r="D105" s="817" t="s">
        <v>145</v>
      </c>
      <c r="E105" s="865" t="s">
        <v>1381</v>
      </c>
      <c r="F105" s="866"/>
      <c r="G105" s="866"/>
      <c r="H105" s="883"/>
      <c r="I105" s="866"/>
    </row>
    <row r="106" spans="2:9" ht="30.65" customHeight="1" x14ac:dyDescent="0.35">
      <c r="B106" s="1450"/>
      <c r="C106" s="1465"/>
      <c r="D106" s="817" t="s">
        <v>146</v>
      </c>
      <c r="E106" s="865" t="s">
        <v>1381</v>
      </c>
      <c r="F106" s="866"/>
      <c r="G106" s="866"/>
      <c r="H106" s="883"/>
      <c r="I106" s="866"/>
    </row>
    <row r="107" spans="2:9" ht="68.5" customHeight="1" x14ac:dyDescent="0.35">
      <c r="B107" s="1450"/>
      <c r="C107" s="1465"/>
      <c r="D107" s="817" t="s">
        <v>147</v>
      </c>
      <c r="E107" s="865"/>
      <c r="F107" s="866" t="s">
        <v>1383</v>
      </c>
      <c r="G107" s="883" t="s">
        <v>1382</v>
      </c>
      <c r="H107" s="865" t="s">
        <v>1416</v>
      </c>
      <c r="I107" s="866"/>
    </row>
    <row r="108" spans="2:9" ht="30.65" customHeight="1" x14ac:dyDescent="0.35">
      <c r="B108" s="1450"/>
      <c r="C108" s="1465"/>
      <c r="D108" s="817" t="s">
        <v>148</v>
      </c>
      <c r="E108" s="865" t="s">
        <v>330</v>
      </c>
      <c r="F108" s="866"/>
      <c r="G108" s="866"/>
      <c r="H108" s="883"/>
      <c r="I108" s="866"/>
    </row>
    <row r="109" spans="2:9" ht="13.5" customHeight="1" x14ac:dyDescent="0.35">
      <c r="B109" s="1450"/>
      <c r="C109" s="1462" t="s">
        <v>149</v>
      </c>
      <c r="D109" s="1462"/>
      <c r="E109" s="1462"/>
      <c r="F109" s="1462"/>
      <c r="G109" s="1462"/>
      <c r="H109" s="1462"/>
      <c r="I109" s="1462"/>
    </row>
    <row r="110" spans="2:9" ht="15" x14ac:dyDescent="0.35">
      <c r="B110" s="1450"/>
      <c r="C110" s="881" t="s">
        <v>96</v>
      </c>
      <c r="D110" s="817" t="s">
        <v>101</v>
      </c>
      <c r="E110" s="865" t="s">
        <v>1378</v>
      </c>
      <c r="F110" s="866"/>
      <c r="G110" s="866"/>
      <c r="H110" s="883"/>
      <c r="I110" s="866"/>
    </row>
    <row r="111" spans="2:9" ht="29.5" customHeight="1" x14ac:dyDescent="0.35">
      <c r="B111" s="1450"/>
      <c r="C111" s="1465" t="s">
        <v>150</v>
      </c>
      <c r="D111" s="817" t="s">
        <v>151</v>
      </c>
      <c r="E111" s="865" t="s">
        <v>1379</v>
      </c>
      <c r="F111" s="866"/>
      <c r="G111" s="866"/>
      <c r="H111" s="883"/>
      <c r="I111" s="866"/>
    </row>
    <row r="112" spans="2:9" ht="29.5" customHeight="1" x14ac:dyDescent="0.35">
      <c r="B112" s="1450"/>
      <c r="C112" s="1465"/>
      <c r="D112" s="817" t="s">
        <v>152</v>
      </c>
      <c r="E112" s="865" t="s">
        <v>1379</v>
      </c>
      <c r="F112" s="866"/>
      <c r="G112" s="866"/>
      <c r="H112" s="883"/>
      <c r="I112" s="866"/>
    </row>
    <row r="113" spans="2:10" ht="29.5" customHeight="1" x14ac:dyDescent="0.35">
      <c r="B113" s="1450"/>
      <c r="C113" s="1465"/>
      <c r="D113" s="817" t="s">
        <v>153</v>
      </c>
      <c r="E113" s="865" t="s">
        <v>1379</v>
      </c>
      <c r="F113" s="866"/>
      <c r="G113" s="866"/>
      <c r="H113" s="883"/>
      <c r="I113" s="866"/>
    </row>
    <row r="114" spans="2:10" ht="29.5" customHeight="1" x14ac:dyDescent="0.35">
      <c r="B114" s="1450"/>
      <c r="C114" s="1465"/>
      <c r="D114" s="817" t="s">
        <v>154</v>
      </c>
      <c r="E114" s="865" t="s">
        <v>1379</v>
      </c>
      <c r="F114" s="866"/>
      <c r="G114" s="866"/>
      <c r="H114" s="883"/>
      <c r="I114" s="866"/>
    </row>
    <row r="115" spans="2:10" ht="29.5" customHeight="1" x14ac:dyDescent="0.35">
      <c r="B115" s="1451"/>
      <c r="C115" s="1465"/>
      <c r="D115" s="817" t="s">
        <v>155</v>
      </c>
      <c r="E115" s="865" t="s">
        <v>1379</v>
      </c>
      <c r="F115" s="866"/>
      <c r="G115" s="866"/>
      <c r="H115" s="883"/>
      <c r="I115" s="866"/>
    </row>
    <row r="116" spans="2:10" ht="18" customHeight="1" x14ac:dyDescent="0.35">
      <c r="B116" s="1491" t="s">
        <v>35</v>
      </c>
      <c r="C116" s="1462" t="s">
        <v>35</v>
      </c>
      <c r="D116" s="1462"/>
      <c r="E116" s="1462"/>
      <c r="F116" s="1462"/>
      <c r="G116" s="1462"/>
      <c r="H116" s="1462"/>
      <c r="I116" s="1462"/>
    </row>
    <row r="117" spans="2:10" s="891" customFormat="1" ht="19.25" customHeight="1" x14ac:dyDescent="0.35">
      <c r="B117" s="1521"/>
      <c r="C117" s="884" t="s">
        <v>96</v>
      </c>
      <c r="D117" s="817" t="s">
        <v>101</v>
      </c>
      <c r="E117" s="865" t="s">
        <v>1369</v>
      </c>
      <c r="F117" s="866"/>
      <c r="G117" s="866"/>
      <c r="H117" s="883"/>
      <c r="I117" s="866"/>
      <c r="J117" s="58"/>
    </row>
    <row r="118" spans="2:10" ht="21.65" customHeight="1" x14ac:dyDescent="0.35">
      <c r="B118" s="1521"/>
      <c r="C118" s="1466" t="s">
        <v>156</v>
      </c>
      <c r="D118" s="817" t="s">
        <v>157</v>
      </c>
      <c r="E118" s="892" t="s">
        <v>1384</v>
      </c>
      <c r="F118" s="866"/>
      <c r="G118" s="866"/>
      <c r="H118" s="883"/>
      <c r="I118" s="866"/>
    </row>
    <row r="119" spans="2:10" ht="21.65" customHeight="1" x14ac:dyDescent="0.35">
      <c r="B119" s="1521"/>
      <c r="C119" s="1466"/>
      <c r="D119" s="817" t="s">
        <v>158</v>
      </c>
      <c r="E119" s="892" t="s">
        <v>1384</v>
      </c>
      <c r="F119" s="866"/>
      <c r="G119" s="866"/>
      <c r="H119" s="883"/>
      <c r="I119" s="866"/>
    </row>
    <row r="120" spans="2:10" ht="40.5" x14ac:dyDescent="0.35">
      <c r="B120" s="1521"/>
      <c r="C120" s="1466"/>
      <c r="D120" s="869" t="s">
        <v>159</v>
      </c>
      <c r="E120" s="893"/>
      <c r="F120" s="894" t="s">
        <v>200</v>
      </c>
      <c r="G120" s="894" t="s">
        <v>120</v>
      </c>
      <c r="H120" s="1455" t="s">
        <v>1417</v>
      </c>
      <c r="I120" s="894"/>
    </row>
    <row r="121" spans="2:10" ht="40.5" x14ac:dyDescent="0.35">
      <c r="B121" s="1521"/>
      <c r="C121" s="1467"/>
      <c r="D121" s="869" t="s">
        <v>160</v>
      </c>
      <c r="E121" s="893"/>
      <c r="F121" s="894" t="s">
        <v>1385</v>
      </c>
      <c r="G121" s="894" t="s">
        <v>120</v>
      </c>
      <c r="H121" s="1456"/>
      <c r="I121" s="894"/>
    </row>
    <row r="122" spans="2:10" ht="40.5" x14ac:dyDescent="0.35">
      <c r="B122" s="1521"/>
      <c r="C122" s="1467"/>
      <c r="D122" s="869" t="s">
        <v>161</v>
      </c>
      <c r="E122" s="893"/>
      <c r="F122" s="894" t="s">
        <v>1383</v>
      </c>
      <c r="G122" s="894" t="s">
        <v>120</v>
      </c>
      <c r="H122" s="1456"/>
      <c r="I122" s="894"/>
    </row>
    <row r="123" spans="2:10" ht="40.5" x14ac:dyDescent="0.35">
      <c r="B123" s="1521"/>
      <c r="C123" s="1467"/>
      <c r="D123" s="869" t="s">
        <v>162</v>
      </c>
      <c r="E123" s="893"/>
      <c r="F123" s="894" t="s">
        <v>1386</v>
      </c>
      <c r="G123" s="894" t="s">
        <v>120</v>
      </c>
      <c r="H123" s="1456"/>
      <c r="I123" s="894"/>
    </row>
    <row r="124" spans="2:10" ht="40.5" x14ac:dyDescent="0.35">
      <c r="B124" s="1521"/>
      <c r="C124" s="1467"/>
      <c r="D124" s="869" t="s">
        <v>163</v>
      </c>
      <c r="E124" s="893"/>
      <c r="F124" s="894" t="s">
        <v>200</v>
      </c>
      <c r="G124" s="894" t="s">
        <v>120</v>
      </c>
      <c r="H124" s="1456"/>
      <c r="I124" s="894"/>
    </row>
    <row r="125" spans="2:10" ht="40.5" x14ac:dyDescent="0.35">
      <c r="B125" s="1522"/>
      <c r="C125" s="1466"/>
      <c r="D125" s="817" t="s">
        <v>164</v>
      </c>
      <c r="E125" s="883"/>
      <c r="F125" s="883" t="s">
        <v>200</v>
      </c>
      <c r="G125" s="894" t="s">
        <v>120</v>
      </c>
      <c r="H125" s="1456"/>
      <c r="I125" s="883"/>
    </row>
    <row r="126" spans="2:10" ht="17.5" customHeight="1" x14ac:dyDescent="0.35">
      <c r="B126" s="1452" t="s">
        <v>176</v>
      </c>
      <c r="C126" s="1461" t="s">
        <v>170</v>
      </c>
      <c r="D126" s="1462"/>
      <c r="E126" s="1462"/>
      <c r="F126" s="1462"/>
      <c r="G126" s="1462"/>
      <c r="H126" s="1462"/>
      <c r="I126" s="1462"/>
    </row>
    <row r="127" spans="2:10" ht="15" customHeight="1" x14ac:dyDescent="0.35">
      <c r="B127" s="1453"/>
      <c r="C127" s="884" t="s">
        <v>96</v>
      </c>
      <c r="D127" s="817" t="s">
        <v>101</v>
      </c>
      <c r="E127" s="865" t="s">
        <v>1390</v>
      </c>
      <c r="F127" s="865"/>
      <c r="G127" s="865"/>
      <c r="H127" s="869"/>
      <c r="I127" s="869"/>
    </row>
    <row r="128" spans="2:10" ht="20.5" customHeight="1" x14ac:dyDescent="0.35">
      <c r="B128" s="1453"/>
      <c r="C128" s="1480" t="s">
        <v>171</v>
      </c>
      <c r="D128" s="817" t="s">
        <v>172</v>
      </c>
      <c r="E128" s="865" t="s">
        <v>173</v>
      </c>
      <c r="F128" s="865"/>
      <c r="G128" s="865"/>
      <c r="H128" s="869"/>
      <c r="I128" s="869"/>
    </row>
    <row r="129" spans="2:62" ht="29.5" customHeight="1" x14ac:dyDescent="0.35">
      <c r="B129" s="1453"/>
      <c r="C129" s="1480"/>
      <c r="D129" s="817" t="s">
        <v>174</v>
      </c>
      <c r="E129" s="871" t="s">
        <v>1391</v>
      </c>
      <c r="F129" s="865"/>
      <c r="G129" s="865"/>
      <c r="H129" s="869"/>
      <c r="I129" s="869"/>
    </row>
    <row r="130" spans="2:62" ht="20.5" customHeight="1" x14ac:dyDescent="0.35">
      <c r="B130" s="1453"/>
      <c r="C130" s="1480"/>
      <c r="D130" s="869" t="s">
        <v>175</v>
      </c>
      <c r="E130" s="871" t="s">
        <v>1391</v>
      </c>
      <c r="F130" s="865"/>
      <c r="G130" s="865"/>
      <c r="H130" s="869"/>
      <c r="I130" s="869"/>
    </row>
    <row r="131" spans="2:62" s="500" customFormat="1" ht="17.399999999999999" customHeight="1" x14ac:dyDescent="0.35">
      <c r="B131" s="1453"/>
      <c r="C131" s="1461" t="s">
        <v>1292</v>
      </c>
      <c r="D131" s="1462"/>
      <c r="E131" s="1462"/>
      <c r="F131" s="1462"/>
      <c r="G131" s="1462"/>
      <c r="H131" s="1462"/>
      <c r="I131" s="1462"/>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row>
    <row r="132" spans="2:62" s="500" customFormat="1" ht="17.399999999999999" customHeight="1" x14ac:dyDescent="0.35">
      <c r="B132" s="1453"/>
      <c r="C132" s="884" t="s">
        <v>96</v>
      </c>
      <c r="D132" s="817" t="s">
        <v>101</v>
      </c>
      <c r="E132" s="865" t="s">
        <v>1392</v>
      </c>
      <c r="F132" s="866"/>
      <c r="G132" s="866"/>
      <c r="H132" s="866"/>
      <c r="I132" s="866"/>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row>
    <row r="133" spans="2:62" s="500" customFormat="1" ht="30" x14ac:dyDescent="0.35">
      <c r="B133" s="1453"/>
      <c r="C133" s="884" t="s">
        <v>241</v>
      </c>
      <c r="D133" s="817" t="s">
        <v>242</v>
      </c>
      <c r="E133" s="883"/>
      <c r="F133" s="883" t="s">
        <v>1385</v>
      </c>
      <c r="G133" s="865" t="s">
        <v>1326</v>
      </c>
      <c r="H133" s="870" t="s">
        <v>1418</v>
      </c>
      <c r="I133" s="883"/>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row>
    <row r="134" spans="2:62" ht="13.5" customHeight="1" x14ac:dyDescent="0.35">
      <c r="B134" s="1453"/>
      <c r="C134" s="1461" t="s">
        <v>177</v>
      </c>
      <c r="D134" s="1462"/>
      <c r="E134" s="1462"/>
      <c r="F134" s="1462"/>
      <c r="G134" s="1462"/>
      <c r="H134" s="1462"/>
      <c r="I134" s="1462"/>
    </row>
    <row r="135" spans="2:62" ht="15" x14ac:dyDescent="0.35">
      <c r="B135" s="1453"/>
      <c r="C135" s="887" t="s">
        <v>96</v>
      </c>
      <c r="D135" s="895" t="s">
        <v>101</v>
      </c>
      <c r="E135" s="896" t="s">
        <v>1393</v>
      </c>
      <c r="F135" s="897"/>
      <c r="G135" s="897"/>
      <c r="H135" s="897"/>
      <c r="I135" s="897"/>
    </row>
    <row r="136" spans="2:62" ht="17.5" customHeight="1" x14ac:dyDescent="0.35">
      <c r="B136" s="1453"/>
      <c r="C136" s="1480" t="s">
        <v>179</v>
      </c>
      <c r="D136" s="1457" t="s">
        <v>180</v>
      </c>
      <c r="E136" s="898" t="s">
        <v>1394</v>
      </c>
      <c r="F136" s="866"/>
      <c r="G136" s="866"/>
      <c r="H136" s="866"/>
      <c r="I136" s="866"/>
    </row>
    <row r="137" spans="2:62" ht="25" customHeight="1" x14ac:dyDescent="0.35">
      <c r="B137" s="1453"/>
      <c r="C137" s="1480"/>
      <c r="D137" s="1458"/>
      <c r="E137" s="899" t="s">
        <v>178</v>
      </c>
      <c r="F137" s="866"/>
      <c r="G137" s="866"/>
      <c r="H137" s="866"/>
      <c r="I137" s="866"/>
    </row>
    <row r="138" spans="2:62" ht="17.5" customHeight="1" x14ac:dyDescent="0.35">
      <c r="B138" s="1453"/>
      <c r="C138" s="1480"/>
      <c r="D138" s="1457" t="s">
        <v>181</v>
      </c>
      <c r="E138" s="898" t="s">
        <v>1394</v>
      </c>
      <c r="F138" s="866"/>
      <c r="G138" s="866"/>
      <c r="H138" s="866"/>
      <c r="I138" s="866"/>
    </row>
    <row r="139" spans="2:62" ht="32" customHeight="1" x14ac:dyDescent="0.35">
      <c r="B139" s="1453"/>
      <c r="C139" s="1480"/>
      <c r="D139" s="1458"/>
      <c r="E139" s="899" t="s">
        <v>178</v>
      </c>
      <c r="F139" s="866"/>
      <c r="G139" s="866"/>
      <c r="H139" s="866"/>
      <c r="I139" s="866"/>
    </row>
    <row r="140" spans="2:62" ht="17.5" customHeight="1" x14ac:dyDescent="0.35">
      <c r="B140" s="1453"/>
      <c r="C140" s="1480"/>
      <c r="D140" s="1457" t="s">
        <v>182</v>
      </c>
      <c r="E140" s="898" t="s">
        <v>1394</v>
      </c>
      <c r="F140" s="866"/>
      <c r="G140" s="866"/>
      <c r="H140" s="866"/>
      <c r="I140" s="866"/>
    </row>
    <row r="141" spans="2:62" ht="29.5" customHeight="1" x14ac:dyDescent="0.35">
      <c r="B141" s="1453"/>
      <c r="C141" s="1480"/>
      <c r="D141" s="1506"/>
      <c r="E141" s="899" t="s">
        <v>178</v>
      </c>
      <c r="F141" s="866"/>
      <c r="G141" s="866"/>
      <c r="H141" s="866"/>
      <c r="I141" s="866"/>
    </row>
    <row r="142" spans="2:62" ht="17.5" customHeight="1" x14ac:dyDescent="0.35">
      <c r="B142" s="1453"/>
      <c r="C142" s="1480"/>
      <c r="D142" s="1458"/>
      <c r="E142" s="900" t="s">
        <v>1395</v>
      </c>
      <c r="F142" s="866"/>
      <c r="G142" s="866"/>
      <c r="H142" s="866"/>
      <c r="I142" s="866"/>
    </row>
    <row r="143" spans="2:62" ht="28.75" customHeight="1" x14ac:dyDescent="0.35">
      <c r="B143" s="1453"/>
      <c r="C143" s="1480"/>
      <c r="D143" s="817" t="s">
        <v>183</v>
      </c>
      <c r="E143" s="898" t="s">
        <v>1396</v>
      </c>
      <c r="F143" s="866"/>
      <c r="G143" s="866"/>
      <c r="H143" s="866"/>
      <c r="I143" s="866"/>
    </row>
    <row r="144" spans="2:62" ht="17.5" customHeight="1" x14ac:dyDescent="0.35">
      <c r="B144" s="1453"/>
      <c r="C144" s="1480"/>
      <c r="D144" s="1457" t="s">
        <v>184</v>
      </c>
      <c r="E144" s="898" t="s">
        <v>1394</v>
      </c>
      <c r="F144" s="866"/>
      <c r="G144" s="866"/>
      <c r="H144" s="866"/>
      <c r="I144" s="866"/>
    </row>
    <row r="145" spans="2:9" ht="17.5" customHeight="1" x14ac:dyDescent="0.35">
      <c r="B145" s="1453"/>
      <c r="C145" s="1480"/>
      <c r="D145" s="1458"/>
      <c r="E145" s="898" t="s">
        <v>173</v>
      </c>
      <c r="F145" s="866"/>
      <c r="G145" s="866"/>
      <c r="H145" s="866"/>
      <c r="I145" s="866"/>
    </row>
    <row r="146" spans="2:9" ht="17.5" customHeight="1" x14ac:dyDescent="0.35">
      <c r="B146" s="1453"/>
      <c r="C146" s="1480"/>
      <c r="D146" s="1457" t="s">
        <v>185</v>
      </c>
      <c r="E146" s="898" t="s">
        <v>1394</v>
      </c>
      <c r="F146" s="866"/>
      <c r="G146" s="866"/>
      <c r="H146" s="866"/>
      <c r="I146" s="866"/>
    </row>
    <row r="147" spans="2:9" ht="17.5" customHeight="1" x14ac:dyDescent="0.35">
      <c r="B147" s="1453"/>
      <c r="C147" s="1480"/>
      <c r="D147" s="1458"/>
      <c r="E147" s="900" t="s">
        <v>1397</v>
      </c>
      <c r="F147" s="866"/>
      <c r="G147" s="866"/>
      <c r="H147" s="866"/>
      <c r="I147" s="866"/>
    </row>
    <row r="148" spans="2:9" ht="27" customHeight="1" x14ac:dyDescent="0.35">
      <c r="B148" s="1453"/>
      <c r="C148" s="1480"/>
      <c r="D148" s="817" t="s">
        <v>186</v>
      </c>
      <c r="E148" s="898" t="s">
        <v>1394</v>
      </c>
      <c r="F148" s="866"/>
      <c r="G148" s="866"/>
      <c r="H148" s="866"/>
      <c r="I148" s="866"/>
    </row>
    <row r="149" spans="2:9" ht="31.75" customHeight="1" x14ac:dyDescent="0.35">
      <c r="B149" s="1453"/>
      <c r="C149" s="1480"/>
      <c r="D149" s="1457" t="s">
        <v>187</v>
      </c>
      <c r="E149" s="898" t="s">
        <v>1398</v>
      </c>
      <c r="F149" s="866"/>
      <c r="G149" s="866"/>
      <c r="H149" s="866"/>
      <c r="I149" s="866"/>
    </row>
    <row r="150" spans="2:9" ht="31.75" customHeight="1" x14ac:dyDescent="0.35">
      <c r="B150" s="1453"/>
      <c r="C150" s="1480"/>
      <c r="D150" s="1458"/>
      <c r="E150" s="899" t="s">
        <v>178</v>
      </c>
      <c r="F150" s="866"/>
      <c r="G150" s="866"/>
      <c r="H150" s="866"/>
      <c r="I150" s="866"/>
    </row>
    <row r="151" spans="2:9" ht="15.65" customHeight="1" x14ac:dyDescent="0.35">
      <c r="B151" s="1453"/>
      <c r="C151" s="1480"/>
      <c r="D151" s="817" t="s">
        <v>188</v>
      </c>
      <c r="E151" s="901" t="s">
        <v>189</v>
      </c>
      <c r="F151" s="866"/>
      <c r="G151" s="866"/>
      <c r="H151" s="866"/>
      <c r="I151" s="866"/>
    </row>
    <row r="152" spans="2:9" ht="17.5" customHeight="1" x14ac:dyDescent="0.35">
      <c r="B152" s="1453"/>
      <c r="C152" s="1480"/>
      <c r="D152" s="817" t="s">
        <v>190</v>
      </c>
      <c r="E152" s="901" t="s">
        <v>189</v>
      </c>
      <c r="F152" s="866"/>
      <c r="G152" s="866"/>
      <c r="H152" s="866"/>
      <c r="I152" s="866"/>
    </row>
    <row r="153" spans="2:9" ht="13.5" customHeight="1" x14ac:dyDescent="0.35">
      <c r="B153" s="1453"/>
      <c r="C153" s="1461" t="s">
        <v>191</v>
      </c>
      <c r="D153" s="1462"/>
      <c r="E153" s="1462"/>
      <c r="F153" s="1462"/>
      <c r="G153" s="1462"/>
      <c r="H153" s="1462"/>
      <c r="I153" s="1462"/>
    </row>
    <row r="154" spans="2:9" ht="15" x14ac:dyDescent="0.35">
      <c r="B154" s="1453"/>
      <c r="C154" s="884" t="s">
        <v>96</v>
      </c>
      <c r="D154" s="817" t="s">
        <v>101</v>
      </c>
      <c r="E154" s="865" t="s">
        <v>1369</v>
      </c>
      <c r="F154" s="865"/>
      <c r="G154" s="865"/>
      <c r="H154" s="865"/>
      <c r="I154" s="865"/>
    </row>
    <row r="155" spans="2:9" ht="13.5" customHeight="1" x14ac:dyDescent="0.35">
      <c r="B155" s="1453"/>
      <c r="C155" s="1480" t="s">
        <v>192</v>
      </c>
      <c r="D155" s="869" t="s">
        <v>193</v>
      </c>
      <c r="E155" s="883" t="s">
        <v>173</v>
      </c>
      <c r="F155" s="883"/>
      <c r="G155" s="883"/>
      <c r="H155" s="883"/>
      <c r="I155" s="883"/>
    </row>
    <row r="156" spans="2:9" ht="13.5" customHeight="1" x14ac:dyDescent="0.35">
      <c r="B156" s="1453"/>
      <c r="C156" s="1480"/>
      <c r="D156" s="1484" t="s">
        <v>194</v>
      </c>
      <c r="E156" s="871" t="s">
        <v>1366</v>
      </c>
      <c r="F156" s="865"/>
      <c r="G156" s="865"/>
      <c r="H156" s="865"/>
      <c r="I156" s="865"/>
    </row>
    <row r="157" spans="2:9" ht="13.5" customHeight="1" x14ac:dyDescent="0.35">
      <c r="B157" s="1453"/>
      <c r="C157" s="1481"/>
      <c r="D157" s="1484"/>
      <c r="E157" s="816" t="s">
        <v>1395</v>
      </c>
      <c r="F157" s="865"/>
      <c r="G157" s="865"/>
      <c r="H157" s="865"/>
      <c r="I157" s="865"/>
    </row>
    <row r="158" spans="2:9" ht="27" x14ac:dyDescent="0.35">
      <c r="B158" s="1453"/>
      <c r="C158" s="1480"/>
      <c r="D158" s="869" t="s">
        <v>195</v>
      </c>
      <c r="E158" s="865" t="s">
        <v>173</v>
      </c>
      <c r="F158" s="865"/>
      <c r="G158" s="865"/>
      <c r="H158" s="865"/>
      <c r="I158" s="865"/>
    </row>
    <row r="159" spans="2:9" ht="13.5" customHeight="1" x14ac:dyDescent="0.35">
      <c r="B159" s="1453"/>
      <c r="C159" s="1461" t="s">
        <v>196</v>
      </c>
      <c r="D159" s="1462"/>
      <c r="E159" s="1462"/>
      <c r="F159" s="1462"/>
      <c r="G159" s="1462"/>
      <c r="H159" s="1462"/>
      <c r="I159" s="1462"/>
    </row>
    <row r="160" spans="2:9" ht="15" x14ac:dyDescent="0.35">
      <c r="B160" s="1453"/>
      <c r="C160" s="884" t="s">
        <v>96</v>
      </c>
      <c r="D160" s="817" t="s">
        <v>101</v>
      </c>
      <c r="E160" s="865" t="s">
        <v>1399</v>
      </c>
      <c r="F160" s="866"/>
      <c r="G160" s="866"/>
      <c r="H160" s="866"/>
      <c r="I160" s="866"/>
    </row>
    <row r="161" spans="2:10" ht="31.75" customHeight="1" x14ac:dyDescent="0.35">
      <c r="B161" s="1453"/>
      <c r="C161" s="1480" t="s">
        <v>197</v>
      </c>
      <c r="D161" s="817" t="s">
        <v>198</v>
      </c>
      <c r="E161" s="865" t="s">
        <v>1400</v>
      </c>
      <c r="F161" s="866"/>
      <c r="G161" s="866"/>
      <c r="H161" s="866"/>
      <c r="I161" s="866"/>
    </row>
    <row r="162" spans="2:10" ht="13.5" customHeight="1" x14ac:dyDescent="0.35">
      <c r="B162" s="1453"/>
      <c r="C162" s="1480"/>
      <c r="D162" s="1484" t="s">
        <v>199</v>
      </c>
      <c r="E162" s="865" t="s">
        <v>173</v>
      </c>
      <c r="F162" s="1493" t="s">
        <v>200</v>
      </c>
      <c r="G162" s="1463" t="s">
        <v>120</v>
      </c>
      <c r="H162" s="1463" t="s">
        <v>201</v>
      </c>
      <c r="I162" s="1464"/>
    </row>
    <row r="163" spans="2:10" ht="28.75" customHeight="1" x14ac:dyDescent="0.35">
      <c r="B163" s="1453"/>
      <c r="C163" s="1480"/>
      <c r="D163" s="1484"/>
      <c r="E163" s="902" t="s">
        <v>417</v>
      </c>
      <c r="F163" s="1463"/>
      <c r="G163" s="1463"/>
      <c r="H163" s="1463"/>
      <c r="I163" s="1464"/>
    </row>
    <row r="164" spans="2:10" ht="13.5" customHeight="1" x14ac:dyDescent="0.35">
      <c r="B164" s="1453"/>
      <c r="C164" s="903" t="s">
        <v>202</v>
      </c>
      <c r="D164" s="904"/>
      <c r="E164" s="905"/>
      <c r="F164" s="906"/>
      <c r="G164" s="906"/>
      <c r="H164" s="906"/>
      <c r="I164" s="904"/>
    </row>
    <row r="165" spans="2:10" ht="15" x14ac:dyDescent="0.35">
      <c r="B165" s="1453"/>
      <c r="C165" s="884" t="s">
        <v>96</v>
      </c>
      <c r="D165" s="817" t="s">
        <v>101</v>
      </c>
      <c r="E165" s="865" t="s">
        <v>1369</v>
      </c>
      <c r="F165" s="883"/>
      <c r="G165" s="883"/>
      <c r="H165" s="883"/>
      <c r="I165" s="866"/>
    </row>
    <row r="166" spans="2:10" ht="15" x14ac:dyDescent="0.35">
      <c r="B166" s="1453"/>
      <c r="C166" s="886" t="s">
        <v>203</v>
      </c>
      <c r="D166" s="907" t="s">
        <v>204</v>
      </c>
      <c r="E166" s="908" t="s">
        <v>1363</v>
      </c>
      <c r="F166" s="909"/>
      <c r="G166" s="909"/>
      <c r="H166" s="909"/>
      <c r="I166" s="910"/>
    </row>
    <row r="167" spans="2:10" ht="13.5" customHeight="1" x14ac:dyDescent="0.35">
      <c r="B167" s="1453"/>
      <c r="C167" s="1468" t="s">
        <v>205</v>
      </c>
      <c r="D167" s="1468"/>
      <c r="E167" s="911"/>
      <c r="F167" s="912"/>
      <c r="G167" s="912"/>
      <c r="H167" s="912"/>
      <c r="I167" s="913"/>
    </row>
    <row r="168" spans="2:10" ht="15" x14ac:dyDescent="0.35">
      <c r="B168" s="1453"/>
      <c r="C168" s="881" t="s">
        <v>96</v>
      </c>
      <c r="D168" s="817" t="s">
        <v>101</v>
      </c>
      <c r="E168" s="865" t="s">
        <v>1401</v>
      </c>
      <c r="F168" s="883"/>
      <c r="G168" s="883"/>
      <c r="H168" s="883"/>
      <c r="I168" s="866"/>
    </row>
    <row r="169" spans="2:10" ht="40.5" x14ac:dyDescent="0.35">
      <c r="B169" s="1453"/>
      <c r="C169" s="1459" t="s">
        <v>206</v>
      </c>
      <c r="D169" s="1499" t="s">
        <v>207</v>
      </c>
      <c r="E169" s="908" t="s">
        <v>1402</v>
      </c>
      <c r="F169" s="908" t="s">
        <v>124</v>
      </c>
      <c r="G169" s="908" t="s">
        <v>120</v>
      </c>
      <c r="H169" s="908" t="s">
        <v>208</v>
      </c>
      <c r="I169" s="910"/>
      <c r="J169" s="914"/>
    </row>
    <row r="170" spans="2:10" ht="16.25" customHeight="1" x14ac:dyDescent="0.35">
      <c r="B170" s="1453"/>
      <c r="C170" s="1460"/>
      <c r="D170" s="1500"/>
      <c r="E170" s="871" t="s">
        <v>1366</v>
      </c>
      <c r="F170" s="865"/>
      <c r="G170" s="865"/>
      <c r="H170" s="865"/>
      <c r="I170" s="866"/>
      <c r="J170" s="914"/>
    </row>
    <row r="171" spans="2:10" ht="13.75" customHeight="1" x14ac:dyDescent="0.35">
      <c r="B171" s="1453"/>
      <c r="C171" s="913" t="s">
        <v>209</v>
      </c>
      <c r="D171" s="913"/>
      <c r="E171" s="911"/>
      <c r="F171" s="912"/>
      <c r="G171" s="912"/>
      <c r="H171" s="912"/>
      <c r="I171" s="913"/>
    </row>
    <row r="172" spans="2:10" ht="15" x14ac:dyDescent="0.35">
      <c r="B172" s="1453"/>
      <c r="C172" s="881" t="s">
        <v>96</v>
      </c>
      <c r="D172" s="817" t="s">
        <v>101</v>
      </c>
      <c r="E172" s="865" t="s">
        <v>1369</v>
      </c>
      <c r="F172" s="866"/>
      <c r="G172" s="866"/>
      <c r="H172" s="866"/>
      <c r="I172" s="866"/>
    </row>
    <row r="173" spans="2:10" ht="13.75" customHeight="1" x14ac:dyDescent="0.35">
      <c r="B173" s="1453"/>
      <c r="C173" s="1459" t="s">
        <v>210</v>
      </c>
      <c r="D173" s="1457" t="s">
        <v>211</v>
      </c>
      <c r="E173" s="908" t="s">
        <v>1370</v>
      </c>
      <c r="F173" s="910"/>
      <c r="G173" s="910"/>
      <c r="H173" s="910"/>
      <c r="I173" s="910"/>
    </row>
    <row r="174" spans="2:10" ht="16.25" customHeight="1" x14ac:dyDescent="0.35">
      <c r="B174" s="1453"/>
      <c r="C174" s="1501"/>
      <c r="D174" s="1506"/>
      <c r="E174" s="871" t="s">
        <v>1366</v>
      </c>
      <c r="F174" s="866"/>
      <c r="G174" s="866"/>
      <c r="H174" s="866"/>
      <c r="I174" s="866"/>
    </row>
    <row r="175" spans="2:10" ht="16.25" customHeight="1" x14ac:dyDescent="0.35">
      <c r="B175" s="1453"/>
      <c r="C175" s="1460"/>
      <c r="D175" s="1458"/>
      <c r="E175" s="915" t="s">
        <v>1403</v>
      </c>
      <c r="F175" s="916"/>
      <c r="G175" s="916"/>
      <c r="H175" s="916"/>
      <c r="I175" s="916"/>
    </row>
    <row r="176" spans="2:10" ht="13.75" customHeight="1" x14ac:dyDescent="0.35">
      <c r="B176" s="1453"/>
      <c r="C176" s="1462" t="s">
        <v>212</v>
      </c>
      <c r="D176" s="1462"/>
      <c r="E176" s="1462"/>
      <c r="F176" s="1462"/>
      <c r="G176" s="1462"/>
      <c r="H176" s="1462"/>
      <c r="I176" s="1462"/>
    </row>
    <row r="177" spans="2:9" ht="15" x14ac:dyDescent="0.35">
      <c r="B177" s="1453"/>
      <c r="C177" s="881" t="s">
        <v>96</v>
      </c>
      <c r="D177" s="817" t="s">
        <v>101</v>
      </c>
      <c r="E177" s="865" t="s">
        <v>1369</v>
      </c>
      <c r="F177" s="866"/>
      <c r="G177" s="866"/>
      <c r="H177" s="866"/>
      <c r="I177" s="866"/>
    </row>
    <row r="178" spans="2:9" ht="32.4" customHeight="1" x14ac:dyDescent="0.35">
      <c r="B178" s="1453"/>
      <c r="C178" s="1459" t="s">
        <v>213</v>
      </c>
      <c r="D178" s="1457" t="s">
        <v>214</v>
      </c>
      <c r="E178" s="908" t="s">
        <v>1370</v>
      </c>
      <c r="F178" s="910"/>
      <c r="G178" s="910"/>
      <c r="H178" s="910"/>
      <c r="I178" s="910"/>
    </row>
    <row r="179" spans="2:9" ht="16.25" customHeight="1" x14ac:dyDescent="0.35">
      <c r="B179" s="1453"/>
      <c r="C179" s="1501"/>
      <c r="D179" s="1506"/>
      <c r="E179" s="871" t="s">
        <v>1366</v>
      </c>
      <c r="F179" s="866"/>
      <c r="G179" s="866"/>
      <c r="H179" s="866"/>
      <c r="I179" s="866"/>
    </row>
    <row r="180" spans="2:9" ht="16.25" customHeight="1" x14ac:dyDescent="0.35">
      <c r="B180" s="1454"/>
      <c r="C180" s="1460"/>
      <c r="D180" s="1458"/>
      <c r="E180" s="915" t="s">
        <v>1403</v>
      </c>
      <c r="F180" s="916"/>
      <c r="G180" s="916"/>
      <c r="H180" s="916"/>
      <c r="I180" s="916"/>
    </row>
    <row r="181" spans="2:9" ht="13.75" customHeight="1" x14ac:dyDescent="0.35">
      <c r="B181" s="1443" t="s">
        <v>38</v>
      </c>
      <c r="C181" s="1462" t="s">
        <v>165</v>
      </c>
      <c r="D181" s="1462"/>
      <c r="E181" s="1462"/>
      <c r="F181" s="1462"/>
      <c r="G181" s="1462"/>
      <c r="H181" s="1462"/>
      <c r="I181" s="1462"/>
    </row>
    <row r="182" spans="2:9" ht="30.65" customHeight="1" x14ac:dyDescent="0.35">
      <c r="B182" s="1444"/>
      <c r="C182" s="881" t="s">
        <v>96</v>
      </c>
      <c r="D182" s="817" t="s">
        <v>101</v>
      </c>
      <c r="E182" s="865" t="s">
        <v>1387</v>
      </c>
      <c r="F182" s="883"/>
      <c r="G182" s="883"/>
      <c r="H182" s="883"/>
      <c r="I182" s="866"/>
    </row>
    <row r="183" spans="2:9" ht="30.65" customHeight="1" x14ac:dyDescent="0.35">
      <c r="B183" s="1444"/>
      <c r="C183" s="1459" t="s">
        <v>166</v>
      </c>
      <c r="D183" s="1499" t="s">
        <v>167</v>
      </c>
      <c r="E183" s="865" t="s">
        <v>1370</v>
      </c>
      <c r="F183" s="883"/>
      <c r="G183" s="883"/>
      <c r="H183" s="883"/>
      <c r="I183" s="866"/>
    </row>
    <row r="184" spans="2:9" ht="24.65" customHeight="1" x14ac:dyDescent="0.35">
      <c r="B184" s="1444"/>
      <c r="C184" s="1501"/>
      <c r="D184" s="1500"/>
      <c r="E184" s="917" t="s">
        <v>1388</v>
      </c>
      <c r="F184" s="883"/>
      <c r="G184" s="909"/>
      <c r="H184" s="909"/>
      <c r="I184" s="910"/>
    </row>
    <row r="185" spans="2:9" ht="27.65" customHeight="1" x14ac:dyDescent="0.35">
      <c r="B185" s="1444"/>
      <c r="C185" s="1501"/>
      <c r="D185" s="918" t="s">
        <v>168</v>
      </c>
      <c r="E185" s="908" t="s">
        <v>1370</v>
      </c>
      <c r="F185" s="1502" t="s">
        <v>1389</v>
      </c>
      <c r="G185" s="1504" t="s">
        <v>120</v>
      </c>
      <c r="H185" s="1504" t="s">
        <v>169</v>
      </c>
      <c r="I185" s="1470"/>
    </row>
    <row r="186" spans="2:9" ht="24.65" customHeight="1" x14ac:dyDescent="0.35">
      <c r="B186" s="1444"/>
      <c r="C186" s="1460"/>
      <c r="D186" s="919"/>
      <c r="E186" s="920" t="s">
        <v>1388</v>
      </c>
      <c r="F186" s="1503"/>
      <c r="G186" s="1505"/>
      <c r="H186" s="1505"/>
      <c r="I186" s="1471"/>
    </row>
    <row r="187" spans="2:9" ht="13.5" customHeight="1" x14ac:dyDescent="0.35">
      <c r="B187" s="1444"/>
      <c r="C187" s="1462" t="s">
        <v>219</v>
      </c>
      <c r="D187" s="1462"/>
      <c r="E187" s="1462"/>
      <c r="F187" s="1462"/>
      <c r="G187" s="1462"/>
      <c r="H187" s="1462"/>
      <c r="I187" s="1462"/>
    </row>
    <row r="188" spans="2:9" ht="33.65" customHeight="1" x14ac:dyDescent="0.35">
      <c r="B188" s="1444"/>
      <c r="C188" s="881" t="s">
        <v>96</v>
      </c>
      <c r="D188" s="679" t="s">
        <v>101</v>
      </c>
      <c r="E188" s="865" t="s">
        <v>1387</v>
      </c>
      <c r="F188" s="866"/>
      <c r="G188" s="866"/>
      <c r="H188" s="866"/>
      <c r="I188" s="866"/>
    </row>
    <row r="189" spans="2:9" ht="19.75" customHeight="1" x14ac:dyDescent="0.35">
      <c r="B189" s="1444"/>
      <c r="C189" s="1459" t="s">
        <v>220</v>
      </c>
      <c r="D189" s="1499" t="s">
        <v>221</v>
      </c>
      <c r="E189" s="865" t="s">
        <v>1370</v>
      </c>
      <c r="F189" s="866"/>
      <c r="G189" s="866"/>
      <c r="H189" s="866"/>
      <c r="I189" s="866"/>
    </row>
    <row r="190" spans="2:9" ht="19.75" customHeight="1" x14ac:dyDescent="0.35">
      <c r="B190" s="1444"/>
      <c r="C190" s="1501"/>
      <c r="D190" s="1500"/>
      <c r="E190" s="923" t="s">
        <v>1388</v>
      </c>
      <c r="F190" s="910"/>
      <c r="G190" s="910"/>
      <c r="H190" s="910"/>
      <c r="I190" s="910"/>
    </row>
    <row r="191" spans="2:9" ht="26.4" customHeight="1" x14ac:dyDescent="0.35">
      <c r="B191" s="1444"/>
      <c r="C191" s="1501"/>
      <c r="D191" s="1499" t="s">
        <v>222</v>
      </c>
      <c r="E191" s="908" t="s">
        <v>1370</v>
      </c>
      <c r="F191" s="1504" t="s">
        <v>223</v>
      </c>
      <c r="G191" s="1504" t="s">
        <v>120</v>
      </c>
      <c r="H191" s="1504" t="s">
        <v>169</v>
      </c>
      <c r="I191" s="1526"/>
    </row>
    <row r="192" spans="2:9" ht="16.25" customHeight="1" x14ac:dyDescent="0.35">
      <c r="B192" s="1445"/>
      <c r="C192" s="1460"/>
      <c r="D192" s="1500"/>
      <c r="E192" s="920" t="s">
        <v>1388</v>
      </c>
      <c r="F192" s="1505"/>
      <c r="G192" s="1505"/>
      <c r="H192" s="1505"/>
      <c r="I192" s="1503"/>
    </row>
    <row r="193" spans="2:63" ht="17.399999999999999" customHeight="1" x14ac:dyDescent="0.35">
      <c r="B193" s="1443" t="s">
        <v>39</v>
      </c>
      <c r="C193" s="1461" t="s">
        <v>247</v>
      </c>
      <c r="D193" s="1462"/>
      <c r="E193" s="1462"/>
      <c r="F193" s="1462"/>
      <c r="G193" s="1462"/>
      <c r="H193" s="1462"/>
      <c r="I193" s="1462"/>
    </row>
    <row r="194" spans="2:63" ht="17.399999999999999" customHeight="1" x14ac:dyDescent="0.35">
      <c r="B194" s="1444"/>
      <c r="C194" s="884" t="s">
        <v>96</v>
      </c>
      <c r="D194" s="817" t="s">
        <v>101</v>
      </c>
      <c r="E194" s="865" t="s">
        <v>1369</v>
      </c>
      <c r="F194" s="865"/>
      <c r="G194" s="865"/>
      <c r="H194" s="865"/>
      <c r="I194" s="865"/>
    </row>
    <row r="195" spans="2:63" ht="13.5" customHeight="1" x14ac:dyDescent="0.35">
      <c r="B195" s="1444"/>
      <c r="C195" s="1480" t="s">
        <v>248</v>
      </c>
      <c r="D195" s="817" t="s">
        <v>249</v>
      </c>
      <c r="E195" s="868" t="s">
        <v>1404</v>
      </c>
      <c r="F195" s="883"/>
      <c r="G195" s="883"/>
      <c r="H195" s="883"/>
      <c r="I195" s="883"/>
    </row>
    <row r="196" spans="2:63" ht="17.399999999999999" customHeight="1" x14ac:dyDescent="0.35">
      <c r="B196" s="1444"/>
      <c r="C196" s="1481"/>
      <c r="D196" s="817" t="s">
        <v>250</v>
      </c>
      <c r="E196" s="883" t="s">
        <v>1405</v>
      </c>
      <c r="F196" s="883"/>
      <c r="G196" s="883"/>
      <c r="H196" s="883"/>
      <c r="I196" s="883"/>
    </row>
    <row r="197" spans="2:63" s="500" customFormat="1" ht="17.399999999999999" customHeight="1" x14ac:dyDescent="0.35">
      <c r="B197" s="1444"/>
      <c r="C197" s="1468" t="s">
        <v>262</v>
      </c>
      <c r="D197" s="1469"/>
      <c r="E197" s="1469"/>
      <c r="F197" s="1469"/>
      <c r="G197" s="1469"/>
      <c r="H197" s="1469"/>
      <c r="I197" s="1461"/>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row>
    <row r="198" spans="2:63" s="500" customFormat="1" ht="17.399999999999999" customHeight="1" x14ac:dyDescent="0.35">
      <c r="B198" s="1444"/>
      <c r="C198" s="881" t="s">
        <v>96</v>
      </c>
      <c r="D198" s="817" t="s">
        <v>101</v>
      </c>
      <c r="E198" s="898" t="s">
        <v>1369</v>
      </c>
      <c r="F198" s="866"/>
      <c r="G198" s="866"/>
      <c r="H198" s="866"/>
      <c r="I198" s="866"/>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row>
    <row r="199" spans="2:63" s="500" customFormat="1" ht="15" x14ac:dyDescent="0.35">
      <c r="B199" s="1444"/>
      <c r="C199" s="881" t="s">
        <v>1293</v>
      </c>
      <c r="D199" s="817" t="s">
        <v>263</v>
      </c>
      <c r="E199" s="922" t="s">
        <v>1366</v>
      </c>
      <c r="F199" s="866"/>
      <c r="G199" s="866"/>
      <c r="H199" s="866"/>
      <c r="I199" s="866"/>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row>
    <row r="200" spans="2:63" s="500" customFormat="1" ht="17.399999999999999" customHeight="1" x14ac:dyDescent="0.35">
      <c r="B200" s="1444"/>
      <c r="C200" s="1468" t="s">
        <v>1291</v>
      </c>
      <c r="D200" s="1469"/>
      <c r="E200" s="1469"/>
      <c r="F200" s="1469"/>
      <c r="G200" s="1469"/>
      <c r="H200" s="1469"/>
      <c r="I200" s="1461"/>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row>
    <row r="201" spans="2:63" s="500" customFormat="1" ht="17.399999999999999" customHeight="1" x14ac:dyDescent="0.35">
      <c r="B201" s="1444"/>
      <c r="C201" s="881" t="s">
        <v>96</v>
      </c>
      <c r="D201" s="817" t="s">
        <v>101</v>
      </c>
      <c r="E201" s="898" t="s">
        <v>1369</v>
      </c>
      <c r="F201" s="883"/>
      <c r="G201" s="883"/>
      <c r="H201" s="883"/>
      <c r="I201" s="883"/>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row>
    <row r="202" spans="2:63" s="500" customFormat="1" ht="32.4" customHeight="1" x14ac:dyDescent="0.35">
      <c r="B202" s="1444"/>
      <c r="C202" s="1459" t="s">
        <v>239</v>
      </c>
      <c r="D202" s="1457" t="s">
        <v>240</v>
      </c>
      <c r="E202" s="924" t="s">
        <v>1363</v>
      </c>
      <c r="F202" s="883"/>
      <c r="G202" s="883"/>
      <c r="H202" s="883"/>
      <c r="I202" s="883"/>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row>
    <row r="203" spans="2:63" s="500" customFormat="1" ht="16.25" customHeight="1" x14ac:dyDescent="0.35">
      <c r="B203" s="1444"/>
      <c r="C203" s="1460"/>
      <c r="D203" s="1458"/>
      <c r="E203" s="871" t="s">
        <v>1366</v>
      </c>
      <c r="F203" s="921"/>
      <c r="G203" s="921"/>
      <c r="H203" s="921"/>
      <c r="I203" s="921"/>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row>
    <row r="204" spans="2:63" s="925" customFormat="1" ht="14.25" customHeight="1" x14ac:dyDescent="0.35">
      <c r="B204" s="1444"/>
      <c r="C204" s="1462" t="s">
        <v>215</v>
      </c>
      <c r="D204" s="1462"/>
      <c r="E204" s="1462"/>
      <c r="F204" s="1462"/>
      <c r="G204" s="1462"/>
      <c r="H204" s="1462"/>
      <c r="I204" s="1462"/>
      <c r="J204" s="58"/>
    </row>
    <row r="205" spans="2:63" s="925" customFormat="1" ht="15" x14ac:dyDescent="0.35">
      <c r="B205" s="1444"/>
      <c r="C205" s="881" t="s">
        <v>96</v>
      </c>
      <c r="D205" s="817" t="s">
        <v>101</v>
      </c>
      <c r="E205" s="883" t="s">
        <v>1369</v>
      </c>
      <c r="F205" s="866"/>
      <c r="G205" s="866"/>
      <c r="H205" s="866"/>
      <c r="I205" s="866"/>
      <c r="J205" s="58"/>
    </row>
    <row r="206" spans="2:63" s="925" customFormat="1" ht="27" x14ac:dyDescent="0.35">
      <c r="B206" s="1444"/>
      <c r="C206" s="1465" t="s">
        <v>216</v>
      </c>
      <c r="D206" s="817" t="s">
        <v>217</v>
      </c>
      <c r="E206" s="868" t="s">
        <v>1404</v>
      </c>
      <c r="F206" s="866"/>
      <c r="G206" s="866"/>
      <c r="H206" s="866"/>
      <c r="I206" s="866"/>
      <c r="J206" s="58"/>
    </row>
    <row r="207" spans="2:63" ht="27" x14ac:dyDescent="0.35">
      <c r="B207" s="1445"/>
      <c r="C207" s="1465"/>
      <c r="D207" s="817" t="s">
        <v>218</v>
      </c>
      <c r="E207" s="868" t="s">
        <v>1404</v>
      </c>
      <c r="F207" s="866"/>
      <c r="G207" s="866"/>
      <c r="H207" s="866"/>
      <c r="I207" s="866"/>
    </row>
    <row r="208" spans="2:63" ht="15" customHeight="1" x14ac:dyDescent="0.35">
      <c r="B208" s="1443" t="s">
        <v>224</v>
      </c>
      <c r="C208" s="1462" t="s">
        <v>225</v>
      </c>
      <c r="D208" s="1462"/>
      <c r="E208" s="1462"/>
      <c r="F208" s="1462"/>
      <c r="G208" s="1462"/>
      <c r="H208" s="1462"/>
      <c r="I208" s="1462"/>
    </row>
    <row r="209" spans="2:10" ht="15" customHeight="1" x14ac:dyDescent="0.35">
      <c r="B209" s="1444"/>
      <c r="C209" s="1459" t="s">
        <v>96</v>
      </c>
      <c r="D209" s="1457" t="s">
        <v>101</v>
      </c>
      <c r="E209" s="926" t="s">
        <v>1369</v>
      </c>
      <c r="F209"/>
      <c r="G209"/>
      <c r="H209"/>
      <c r="I209"/>
    </row>
    <row r="210" spans="2:10" ht="15" customHeight="1" x14ac:dyDescent="0.35">
      <c r="B210" s="1444"/>
      <c r="C210" s="1460"/>
      <c r="D210" s="1458"/>
      <c r="E210" s="927" t="s">
        <v>1406</v>
      </c>
      <c r="F210" s="928"/>
      <c r="G210" s="928"/>
      <c r="H210" s="928"/>
      <c r="I210" s="928"/>
    </row>
    <row r="211" spans="2:10" ht="13.5" customHeight="1" x14ac:dyDescent="0.35">
      <c r="B211" s="1444"/>
      <c r="C211" s="1465" t="s">
        <v>226</v>
      </c>
      <c r="D211" s="817" t="s">
        <v>227</v>
      </c>
      <c r="E211" s="865" t="s">
        <v>228</v>
      </c>
      <c r="F211" s="865"/>
      <c r="G211" s="865"/>
      <c r="H211" s="865"/>
      <c r="I211" s="865"/>
    </row>
    <row r="212" spans="2:10" ht="27" x14ac:dyDescent="0.35">
      <c r="B212" s="1444"/>
      <c r="C212" s="1459"/>
      <c r="D212" s="907" t="s">
        <v>229</v>
      </c>
      <c r="E212" s="865" t="s">
        <v>228</v>
      </c>
      <c r="F212" s="865"/>
      <c r="G212" s="865"/>
      <c r="H212" s="865"/>
      <c r="I212" s="865"/>
    </row>
    <row r="213" spans="2:10" ht="13.5" customHeight="1" x14ac:dyDescent="0.35">
      <c r="B213" s="1444"/>
      <c r="C213" s="1462" t="s">
        <v>230</v>
      </c>
      <c r="D213" s="1462"/>
      <c r="E213" s="1462"/>
      <c r="F213" s="1462"/>
      <c r="G213" s="1462"/>
      <c r="H213" s="1462"/>
      <c r="I213" s="1462"/>
    </row>
    <row r="214" spans="2:10" ht="18.75" customHeight="1" x14ac:dyDescent="0.35">
      <c r="B214" s="1444"/>
      <c r="C214" s="1459" t="s">
        <v>96</v>
      </c>
      <c r="D214" s="1457" t="s">
        <v>101</v>
      </c>
      <c r="E214" s="926" t="s">
        <v>1369</v>
      </c>
      <c r="F214" s="928"/>
      <c r="G214" s="928"/>
      <c r="H214" s="928"/>
      <c r="I214" s="928"/>
    </row>
    <row r="215" spans="2:10" ht="18.75" customHeight="1" x14ac:dyDescent="0.35">
      <c r="B215" s="1444"/>
      <c r="C215" s="1460"/>
      <c r="D215" s="1458"/>
      <c r="E215" s="892" t="s">
        <v>1406</v>
      </c>
      <c r="F215" s="928"/>
      <c r="G215" s="928"/>
      <c r="H215" s="928"/>
      <c r="I215" s="928"/>
    </row>
    <row r="216" spans="2:10" ht="16.5" customHeight="1" x14ac:dyDescent="0.35">
      <c r="B216" s="1444"/>
      <c r="C216" s="1465" t="s">
        <v>231</v>
      </c>
      <c r="D216" s="679" t="s">
        <v>232</v>
      </c>
      <c r="E216" s="865" t="s">
        <v>228</v>
      </c>
      <c r="F216" s="865"/>
      <c r="G216" s="865"/>
      <c r="H216" s="865"/>
      <c r="I216" s="865"/>
    </row>
    <row r="217" spans="2:10" ht="34.25" customHeight="1" x14ac:dyDescent="0.35">
      <c r="B217" s="1444"/>
      <c r="C217" s="1465"/>
      <c r="D217" s="679" t="s">
        <v>233</v>
      </c>
      <c r="E217" s="865" t="s">
        <v>228</v>
      </c>
      <c r="F217" s="865"/>
      <c r="G217" s="865"/>
      <c r="H217" s="865"/>
      <c r="I217" s="865"/>
    </row>
    <row r="218" spans="2:10" ht="20.25" customHeight="1" x14ac:dyDescent="0.35">
      <c r="B218" s="1444"/>
      <c r="C218" s="1465"/>
      <c r="D218" s="679" t="s">
        <v>234</v>
      </c>
      <c r="E218" s="865" t="s">
        <v>228</v>
      </c>
      <c r="F218" s="865"/>
      <c r="G218" s="865"/>
      <c r="H218" s="865"/>
      <c r="I218" s="865"/>
    </row>
    <row r="219" spans="2:10" ht="13.5" customHeight="1" x14ac:dyDescent="0.35">
      <c r="B219" s="1444"/>
      <c r="C219" s="1462" t="s">
        <v>235</v>
      </c>
      <c r="D219" s="1462"/>
      <c r="E219" s="1462"/>
      <c r="F219" s="1462"/>
      <c r="G219" s="1462"/>
      <c r="H219" s="1462"/>
      <c r="I219" s="1462"/>
    </row>
    <row r="220" spans="2:10" ht="15" x14ac:dyDescent="0.35">
      <c r="B220" s="1444"/>
      <c r="C220" s="881" t="s">
        <v>96</v>
      </c>
      <c r="D220" s="817" t="s">
        <v>101</v>
      </c>
      <c r="E220" s="883" t="s">
        <v>1369</v>
      </c>
      <c r="F220" s="883"/>
      <c r="G220" s="883"/>
      <c r="H220" s="883"/>
      <c r="I220" s="883"/>
    </row>
    <row r="221" spans="2:10" ht="51" customHeight="1" x14ac:dyDescent="0.35">
      <c r="B221" s="1445"/>
      <c r="C221" s="882" t="s">
        <v>236</v>
      </c>
      <c r="D221" s="679" t="s">
        <v>237</v>
      </c>
      <c r="E221" s="865" t="s">
        <v>1363</v>
      </c>
      <c r="F221" s="865" t="s">
        <v>1385</v>
      </c>
      <c r="G221" s="865" t="s">
        <v>120</v>
      </c>
      <c r="H221" s="865" t="s">
        <v>1407</v>
      </c>
      <c r="I221" s="865"/>
    </row>
    <row r="222" spans="2:10" ht="16.75" customHeight="1" x14ac:dyDescent="0.35">
      <c r="B222" s="929"/>
      <c r="D222" s="452"/>
      <c r="E222" s="930"/>
      <c r="F222" s="452"/>
      <c r="G222" s="452"/>
      <c r="H222" s="452"/>
      <c r="I222" s="452"/>
    </row>
    <row r="223" spans="2:10" s="925" customFormat="1" x14ac:dyDescent="0.35">
      <c r="B223" s="931"/>
      <c r="C223" s="1495" t="s">
        <v>238</v>
      </c>
      <c r="D223" s="1495"/>
      <c r="E223" s="1495"/>
      <c r="F223" s="1495"/>
      <c r="G223" s="1495"/>
      <c r="H223" s="1495"/>
      <c r="I223" s="1496"/>
      <c r="J223" s="58"/>
    </row>
    <row r="224" spans="2:10" s="925" customFormat="1" ht="28.25" customHeight="1" x14ac:dyDescent="0.35">
      <c r="B224" s="931"/>
      <c r="C224" s="1497"/>
      <c r="D224" s="1497"/>
      <c r="E224" s="1497"/>
      <c r="F224" s="1497"/>
      <c r="G224" s="1497"/>
      <c r="H224" s="1497"/>
      <c r="I224" s="1498"/>
      <c r="J224" s="58"/>
    </row>
    <row r="225" spans="1:9" s="500" customFormat="1" ht="17.5" hidden="1" customHeight="1" x14ac:dyDescent="0.35">
      <c r="A225" s="58"/>
      <c r="B225" s="1520"/>
      <c r="C225" s="1523" t="s">
        <v>243</v>
      </c>
      <c r="D225" s="1523"/>
      <c r="E225" s="1523"/>
      <c r="F225" s="1523"/>
      <c r="G225" s="1523"/>
      <c r="H225" s="1523"/>
      <c r="I225" s="1523"/>
    </row>
    <row r="226" spans="1:9" s="500" customFormat="1" ht="15" hidden="1" x14ac:dyDescent="0.35">
      <c r="A226" s="58"/>
      <c r="B226" s="1520"/>
      <c r="C226" s="881" t="s">
        <v>96</v>
      </c>
      <c r="D226" s="817" t="s">
        <v>101</v>
      </c>
      <c r="E226" s="883" t="s">
        <v>1369</v>
      </c>
      <c r="F226" s="883"/>
      <c r="G226" s="883"/>
      <c r="H226" s="883"/>
      <c r="I226" s="883"/>
    </row>
    <row r="227" spans="1:9" s="500" customFormat="1" ht="38.4" hidden="1" customHeight="1" x14ac:dyDescent="0.35">
      <c r="A227" s="58"/>
      <c r="B227" s="1520"/>
      <c r="C227" s="1494" t="s">
        <v>244</v>
      </c>
      <c r="D227" s="817" t="s">
        <v>245</v>
      </c>
      <c r="E227" s="883"/>
      <c r="F227" s="883" t="s">
        <v>1383</v>
      </c>
      <c r="G227" s="865" t="s">
        <v>120</v>
      </c>
      <c r="H227" s="883"/>
      <c r="I227" s="883"/>
    </row>
    <row r="228" spans="1:9" s="500" customFormat="1" ht="41.4" hidden="1" customHeight="1" x14ac:dyDescent="0.35">
      <c r="A228" s="58"/>
      <c r="B228" s="1520"/>
      <c r="C228" s="1494"/>
      <c r="D228" s="817" t="s">
        <v>246</v>
      </c>
      <c r="E228" s="883"/>
      <c r="F228" s="883" t="s">
        <v>1383</v>
      </c>
      <c r="G228" s="865" t="s">
        <v>120</v>
      </c>
      <c r="H228" s="883"/>
      <c r="I228" s="883"/>
    </row>
    <row r="229" spans="1:9" x14ac:dyDescent="0.35">
      <c r="B229" s="932"/>
      <c r="C229" s="1462" t="s">
        <v>254</v>
      </c>
      <c r="D229" s="1462"/>
      <c r="E229" s="1462"/>
      <c r="F229" s="1462"/>
      <c r="G229" s="1462"/>
      <c r="H229" s="1462"/>
      <c r="I229" s="1462"/>
    </row>
    <row r="230" spans="1:9" x14ac:dyDescent="0.35">
      <c r="B230" s="932"/>
      <c r="C230" s="881" t="s">
        <v>96</v>
      </c>
      <c r="D230" s="817" t="s">
        <v>101</v>
      </c>
      <c r="E230" s="865" t="s">
        <v>1420</v>
      </c>
      <c r="F230" s="865"/>
      <c r="G230" s="865"/>
      <c r="H230" s="865"/>
      <c r="I230" s="865"/>
    </row>
    <row r="231" spans="1:9" x14ac:dyDescent="0.35">
      <c r="B231" s="932"/>
      <c r="C231" s="1465" t="s">
        <v>255</v>
      </c>
      <c r="D231" s="817" t="s">
        <v>256</v>
      </c>
      <c r="E231" s="868" t="s">
        <v>257</v>
      </c>
      <c r="F231" s="933"/>
      <c r="G231" s="933"/>
      <c r="H231" s="933"/>
      <c r="I231" s="933"/>
    </row>
    <row r="232" spans="1:9" ht="21.65" customHeight="1" x14ac:dyDescent="0.35">
      <c r="B232" s="932"/>
      <c r="C232" s="1465"/>
      <c r="D232" s="817" t="s">
        <v>258</v>
      </c>
      <c r="E232" s="934" t="s">
        <v>259</v>
      </c>
      <c r="F232" s="935"/>
      <c r="G232" s="935"/>
      <c r="H232" s="935"/>
      <c r="I232" s="935"/>
    </row>
    <row r="233" spans="1:9" ht="30" customHeight="1" x14ac:dyDescent="0.35">
      <c r="B233" s="932"/>
      <c r="C233" s="1465"/>
      <c r="D233" s="817" t="s">
        <v>260</v>
      </c>
      <c r="E233" s="936"/>
      <c r="F233" s="866"/>
      <c r="G233" s="869" t="s">
        <v>1326</v>
      </c>
      <c r="H233" s="866"/>
      <c r="I233" s="866"/>
    </row>
    <row r="234" spans="1:9" ht="30" customHeight="1" x14ac:dyDescent="0.35">
      <c r="B234" s="932"/>
      <c r="C234" s="1465"/>
      <c r="D234" s="817" t="s">
        <v>261</v>
      </c>
      <c r="E234" s="936"/>
      <c r="F234" s="866"/>
      <c r="G234" s="869" t="s">
        <v>1326</v>
      </c>
      <c r="H234" s="866"/>
      <c r="I234" s="866"/>
    </row>
  </sheetData>
  <sheetProtection algorithmName="SHA-512" hashValue="1RFv+f6tpQXmPXuO8WpbwXnaiq9X0WyrFxdIhGQmU5Dw6cHHpUPPoQZOqJarNPsMnw82JoKGs8ZEvGJA9g64Rw==" saltValue="O7JsGNEwBbODWjT0cJeNCw==" spinCount="100000" sheet="1" objects="1" scenarios="1"/>
  <dataConsolidate/>
  <mergeCells count="136">
    <mergeCell ref="B225:B228"/>
    <mergeCell ref="B116:B125"/>
    <mergeCell ref="B86:B92"/>
    <mergeCell ref="C225:I225"/>
    <mergeCell ref="B58:B59"/>
    <mergeCell ref="D202:D203"/>
    <mergeCell ref="C202:C203"/>
    <mergeCell ref="D140:D142"/>
    <mergeCell ref="D144:D145"/>
    <mergeCell ref="D146:D147"/>
    <mergeCell ref="D149:D150"/>
    <mergeCell ref="D156:D157"/>
    <mergeCell ref="B193:B207"/>
    <mergeCell ref="D189:D190"/>
    <mergeCell ref="D191:D192"/>
    <mergeCell ref="C189:C192"/>
    <mergeCell ref="F191:F192"/>
    <mergeCell ref="G191:G192"/>
    <mergeCell ref="H191:H192"/>
    <mergeCell ref="I191:I192"/>
    <mergeCell ref="M8:R14"/>
    <mergeCell ref="L59:O59"/>
    <mergeCell ref="L50:P55"/>
    <mergeCell ref="C83:C85"/>
    <mergeCell ref="I12:I13"/>
    <mergeCell ref="C60:I60"/>
    <mergeCell ref="C14:I14"/>
    <mergeCell ref="E12:E13"/>
    <mergeCell ref="F12:H12"/>
    <mergeCell ref="C12:C13"/>
    <mergeCell ref="D12:D13"/>
    <mergeCell ref="F15:I19"/>
    <mergeCell ref="F58:I59"/>
    <mergeCell ref="C58:C59"/>
    <mergeCell ref="D29:D30"/>
    <mergeCell ref="C81:I81"/>
    <mergeCell ref="G39:G40"/>
    <mergeCell ref="D41:D42"/>
    <mergeCell ref="D37:D38"/>
    <mergeCell ref="D43:D45"/>
    <mergeCell ref="D50:D51"/>
    <mergeCell ref="D52:D54"/>
    <mergeCell ref="H39:H40"/>
    <mergeCell ref="C231:C234"/>
    <mergeCell ref="C229:I229"/>
    <mergeCell ref="C88:C92"/>
    <mergeCell ref="C134:I134"/>
    <mergeCell ref="F162:F163"/>
    <mergeCell ref="C167:D167"/>
    <mergeCell ref="C116:I116"/>
    <mergeCell ref="C227:C228"/>
    <mergeCell ref="C211:C212"/>
    <mergeCell ref="C208:I208"/>
    <mergeCell ref="C153:I153"/>
    <mergeCell ref="C176:I176"/>
    <mergeCell ref="C204:I204"/>
    <mergeCell ref="C223:I224"/>
    <mergeCell ref="C159:I159"/>
    <mergeCell ref="C161:C163"/>
    <mergeCell ref="C111:C115"/>
    <mergeCell ref="D183:D184"/>
    <mergeCell ref="C183:C186"/>
    <mergeCell ref="F185:F186"/>
    <mergeCell ref="G185:G186"/>
    <mergeCell ref="H185:H186"/>
    <mergeCell ref="C131:I131"/>
    <mergeCell ref="D178:D180"/>
    <mergeCell ref="C197:I197"/>
    <mergeCell ref="B2:I2"/>
    <mergeCell ref="C75:I75"/>
    <mergeCell ref="C102:C108"/>
    <mergeCell ref="C128:C130"/>
    <mergeCell ref="C126:I126"/>
    <mergeCell ref="C219:I219"/>
    <mergeCell ref="C155:C158"/>
    <mergeCell ref="C195:C196"/>
    <mergeCell ref="C216:C218"/>
    <mergeCell ref="D4:E4"/>
    <mergeCell ref="D5:E5"/>
    <mergeCell ref="D70:D71"/>
    <mergeCell ref="B4:C4"/>
    <mergeCell ref="B5:C5"/>
    <mergeCell ref="B12:B13"/>
    <mergeCell ref="B93:B99"/>
    <mergeCell ref="B15:B55"/>
    <mergeCell ref="B81:B85"/>
    <mergeCell ref="G162:G163"/>
    <mergeCell ref="D162:D163"/>
    <mergeCell ref="C136:C152"/>
    <mergeCell ref="C206:C207"/>
    <mergeCell ref="C213:I213"/>
    <mergeCell ref="C187:I187"/>
    <mergeCell ref="G29:G30"/>
    <mergeCell ref="C69:I69"/>
    <mergeCell ref="C62:C65"/>
    <mergeCell ref="C72:C74"/>
    <mergeCell ref="C86:I86"/>
    <mergeCell ref="F29:F30"/>
    <mergeCell ref="C70:C71"/>
    <mergeCell ref="H29:H30"/>
    <mergeCell ref="F39:F40"/>
    <mergeCell ref="D39:D40"/>
    <mergeCell ref="C78:I78"/>
    <mergeCell ref="C15:C56"/>
    <mergeCell ref="I20:I56"/>
    <mergeCell ref="D55:D56"/>
    <mergeCell ref="D46:D48"/>
    <mergeCell ref="C66:I66"/>
    <mergeCell ref="C178:C180"/>
    <mergeCell ref="D169:D170"/>
    <mergeCell ref="D173:D175"/>
    <mergeCell ref="C173:C175"/>
    <mergeCell ref="B208:B221"/>
    <mergeCell ref="B60:B80"/>
    <mergeCell ref="B100:B115"/>
    <mergeCell ref="B126:B180"/>
    <mergeCell ref="B181:B192"/>
    <mergeCell ref="H120:H125"/>
    <mergeCell ref="D209:D210"/>
    <mergeCell ref="C209:C210"/>
    <mergeCell ref="C214:C215"/>
    <mergeCell ref="D214:D215"/>
    <mergeCell ref="C193:I193"/>
    <mergeCell ref="H162:H163"/>
    <mergeCell ref="C100:I100"/>
    <mergeCell ref="C109:I109"/>
    <mergeCell ref="C181:I181"/>
    <mergeCell ref="I162:I163"/>
    <mergeCell ref="C95:C99"/>
    <mergeCell ref="C118:C125"/>
    <mergeCell ref="C200:I200"/>
    <mergeCell ref="C93:I93"/>
    <mergeCell ref="I185:I186"/>
    <mergeCell ref="D136:D137"/>
    <mergeCell ref="D138:D139"/>
    <mergeCell ref="C169:C170"/>
  </mergeCells>
  <phoneticPr fontId="3" type="noConversion"/>
  <dataValidations count="1">
    <dataValidation type="list" allowBlank="1" showInputMessage="1" showErrorMessage="1" sqref="G233:G234 G94:G99 G160:G162 G101:G108 G20:G29 G41:G56 G165:G166 G168:G170 G172:G175 G87:G92 G227:G228 G212:G221 G61:G68 G31:G39 G70:G85 G110:G158 G177:G203 G205:G210" xr:uid="{3E06413D-A277-4B91-8837-958EEE26038F}">
      <formula1>"Not applicable,Legal prohibitions,Confidentiality constraints,Information unavailable/incomplete"</formula1>
    </dataValidation>
  </dataValidations>
  <hyperlinks>
    <hyperlink ref="E30" r:id="rId1" xr:uid="{41815C1A-FF53-49C9-A3FC-EB853956B5FE}"/>
    <hyperlink ref="E40" r:id="rId2" location="Policies" xr:uid="{95F6AE82-70E3-4EC6-B81D-B4D594BFC2BC}"/>
    <hyperlink ref="E231" r:id="rId3" display="JM Global tax policy" xr:uid="{4D730960-2A50-4AFA-BF58-942571C70002}"/>
    <hyperlink ref="E71" r:id="rId4" xr:uid="{21DA36BF-CFD7-4B1C-BDC5-55B4E36AC3DD}"/>
    <hyperlink ref="E42" r:id="rId5" location="Policies" xr:uid="{E2D247AF-04D9-4081-9DAF-63CA85CD1CAF}"/>
    <hyperlink ref="E38" r:id="rId6" display="JM Website - About Us" xr:uid="{D1D537EE-65E0-4F1F-AE54-CC15F2301E8B}"/>
    <hyperlink ref="E44" r:id="rId7" xr:uid="{E69999B9-97C2-4070-A43F-8185BCAD943F}"/>
    <hyperlink ref="E45" r:id="rId8" xr:uid="{8BAA618E-D3E6-458E-9722-3B496E2C2D35}"/>
    <hyperlink ref="E47" r:id="rId9" xr:uid="{F86FFD22-9541-4406-B367-DD5D3B1389F9}"/>
    <hyperlink ref="E48" r:id="rId10" display="JM Website - Code of Ethics" xr:uid="{DB511BD0-1819-4382-81D0-F0989D1A68FB}"/>
    <hyperlink ref="E54" r:id="rId11" xr:uid="{334AC7B4-C5DB-4CB9-86B8-A4E20D160DCC}"/>
    <hyperlink ref="E51" r:id="rId12" xr:uid="{2897C5F6-1293-4412-B084-D9B80E109464}"/>
    <hyperlink ref="E118" r:id="rId13" xr:uid="{7EE22E90-417D-42AF-AA44-3DF34D070EA5}"/>
    <hyperlink ref="E119" r:id="rId14" xr:uid="{DD8D4E3C-F89B-44C3-A9C3-9E88345FD5FA}"/>
    <hyperlink ref="E137" r:id="rId15" xr:uid="{E2AFDD92-A097-4E5A-BB84-D9AED36D8885}"/>
    <hyperlink ref="E139" r:id="rId16" xr:uid="{61167912-AE74-4115-82D3-78F41BB06270}"/>
    <hyperlink ref="E141" r:id="rId17" xr:uid="{B6312954-1119-42EE-BF9C-07B2D740CD53}"/>
    <hyperlink ref="E142" r:id="rId18" xr:uid="{C2914F83-3A17-46AA-928F-FB659BC9E352}"/>
    <hyperlink ref="E150" r:id="rId19" xr:uid="{CD61D508-5C0F-4480-A6B3-FAC66929FEBB}"/>
    <hyperlink ref="E157" r:id="rId20" xr:uid="{62B4FC11-06BC-4C79-A8AF-3261EEC175B9}"/>
    <hyperlink ref="E163" r:id="rId21" xr:uid="{164E7003-9CF2-44E4-A664-E9B26FA71726}"/>
    <hyperlink ref="E175" r:id="rId22" xr:uid="{797C1F6F-9295-4831-9739-DC03AF9484A1}"/>
    <hyperlink ref="E180" r:id="rId23" xr:uid="{6751BCD6-B05D-4D79-8BA7-FB3DC8E45B06}"/>
    <hyperlink ref="E195" r:id="rId24" xr:uid="{BC2DB359-8FFC-4939-BC86-F06A793EED62}"/>
    <hyperlink ref="E206" r:id="rId25" xr:uid="{E57033A8-9176-4305-BE66-F447714015DB}"/>
    <hyperlink ref="E207" r:id="rId26" xr:uid="{FC98566E-458A-47F4-A2A7-F88035E83BCF}"/>
    <hyperlink ref="E215" r:id="rId27" display="Product Stewardship on Matthey.com" xr:uid="{A89B2A38-43F0-4BCD-8247-762F74C2F843}"/>
    <hyperlink ref="E232" r:id="rId28" xr:uid="{F3F6C390-F28F-4773-AC79-329E5FC1440F}"/>
    <hyperlink ref="E56" r:id="rId29" xr:uid="{109E28CF-461F-40E8-9D80-634763E44361}"/>
    <hyperlink ref="E53" r:id="rId30" xr:uid="{098BCFB2-4D35-4A74-AB35-637729A9C1A6}"/>
    <hyperlink ref="E50" r:id="rId31" xr:uid="{047DF396-4615-49A6-BDD3-43F4270247EA}"/>
    <hyperlink ref="E130" r:id="rId32" xr:uid="{B70E92EB-D736-4187-A8FB-57AA258B9DF3}"/>
    <hyperlink ref="E129" r:id="rId33" xr:uid="{6B8F276E-22A4-43B7-A228-6975EA14581D}"/>
    <hyperlink ref="E156" r:id="rId34" xr:uid="{028524B7-6D98-4BE1-BB51-6E1E2C8F0EF8}"/>
    <hyperlink ref="E170" r:id="rId35" xr:uid="{89092E65-C258-45AC-877E-E0372C8E1AC2}"/>
    <hyperlink ref="E174" r:id="rId36" xr:uid="{4AF17B9A-CB9A-4A31-AEEA-2FDEC1F89A04}"/>
    <hyperlink ref="E179" r:id="rId37" xr:uid="{1931AE13-92A3-4D9C-AF6D-B56E7ABF8E37}"/>
    <hyperlink ref="E203" r:id="rId38" xr:uid="{EA2939E0-CCE7-453E-AF69-E6ABC61DB8CA}"/>
    <hyperlink ref="E210" r:id="rId39" xr:uid="{3BD6EBE8-300C-4A5C-AC7A-38BC8F6F4631}"/>
    <hyperlink ref="E184" r:id="rId40" xr:uid="{8D5D5919-763A-4690-8846-535CEFEAB44C}"/>
    <hyperlink ref="E186" r:id="rId41" xr:uid="{90458165-D44E-4342-93F1-D2892B998B35}"/>
    <hyperlink ref="E190" r:id="rId42" xr:uid="{959F210C-96D6-45FD-901D-324974FC915D}"/>
    <hyperlink ref="E192" r:id="rId43" xr:uid="{2E423CC7-1667-420B-8ECD-CF7B4229FB50}"/>
    <hyperlink ref="E147" r:id="rId44" xr:uid="{332C320F-DAA3-484F-AF3D-C252FAB57564}"/>
  </hyperlinks>
  <pageMargins left="0.23622047244094491" right="0.23622047244094491" top="0.74803149606299213" bottom="0.74803149606299213" header="0.31496062992125984" footer="0.31496062992125984"/>
  <pageSetup paperSize="9" scale="49" fitToHeight="0" orientation="landscape" verticalDpi="1200" r:id="rId45"/>
  <rowBreaks count="4" manualBreakCount="4">
    <brk id="56" min="1" max="8" man="1"/>
    <brk id="80" min="1" max="8" man="1"/>
    <brk id="180" min="1" max="8" man="1"/>
    <brk id="221" min="1" max="8" man="1"/>
  </rowBreaks>
  <drawing r:id="rId4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D982-80FE-4EEB-B723-5514EEE85F71}">
  <sheetPr codeName="Sheet12">
    <pageSetUpPr fitToPage="1"/>
  </sheetPr>
  <dimension ref="B2:K38"/>
  <sheetViews>
    <sheetView zoomScale="80" zoomScaleNormal="80" workbookViewId="0"/>
  </sheetViews>
  <sheetFormatPr defaultColWidth="8.81640625" defaultRowHeight="13.5" x14ac:dyDescent="0.35"/>
  <cols>
    <col min="1" max="1" width="3.81640625" style="58" customWidth="1"/>
    <col min="2" max="2" width="44.1796875" style="58" customWidth="1"/>
    <col min="3" max="3" width="68.1796875" style="58" customWidth="1"/>
    <col min="4" max="4" width="15.1796875" style="58" bestFit="1" customWidth="1"/>
    <col min="5" max="5" width="32.1796875" style="58" bestFit="1" customWidth="1"/>
    <col min="6" max="6" width="61.1796875" style="58" customWidth="1"/>
    <col min="7" max="16384" width="8.81640625" style="58"/>
  </cols>
  <sheetData>
    <row r="2" spans="2:6" ht="24.5" x14ac:dyDescent="0.35">
      <c r="B2" s="1529" t="s">
        <v>15</v>
      </c>
      <c r="C2" s="1529"/>
      <c r="D2" s="1529"/>
    </row>
    <row r="3" spans="2:6" x14ac:dyDescent="0.35">
      <c r="B3" s="590"/>
      <c r="C3" s="590"/>
      <c r="D3" s="590"/>
    </row>
    <row r="4" spans="2:6" ht="15" x14ac:dyDescent="0.35">
      <c r="B4" s="937" t="s">
        <v>267</v>
      </c>
      <c r="C4" s="590"/>
      <c r="D4" s="590"/>
    </row>
    <row r="5" spans="2:6" x14ac:dyDescent="0.35">
      <c r="B5" s="590"/>
      <c r="C5" s="590"/>
      <c r="D5" s="590"/>
    </row>
    <row r="6" spans="2:6" x14ac:dyDescent="0.35">
      <c r="B6" s="824" t="s">
        <v>48</v>
      </c>
      <c r="C6" s="8"/>
      <c r="D6" s="8"/>
    </row>
    <row r="7" spans="2:6" x14ac:dyDescent="0.35">
      <c r="B7" s="5" t="s">
        <v>49</v>
      </c>
      <c r="C7" s="8"/>
      <c r="D7" s="8"/>
    </row>
    <row r="8" spans="2:6" x14ac:dyDescent="0.35">
      <c r="B8" s="5" t="s">
        <v>50</v>
      </c>
      <c r="C8" s="8"/>
      <c r="D8" s="8"/>
    </row>
    <row r="9" spans="2:6" x14ac:dyDescent="0.35">
      <c r="B9" s="5"/>
      <c r="C9" s="8"/>
      <c r="D9" s="8"/>
    </row>
    <row r="10" spans="2:6" x14ac:dyDescent="0.35">
      <c r="B10" s="938" t="s">
        <v>268</v>
      </c>
      <c r="C10" s="939" t="s">
        <v>269</v>
      </c>
      <c r="D10" s="939" t="s">
        <v>270</v>
      </c>
      <c r="E10" s="940" t="s">
        <v>271</v>
      </c>
      <c r="F10" s="799" t="s">
        <v>272</v>
      </c>
    </row>
    <row r="11" spans="2:6" ht="81" x14ac:dyDescent="0.35">
      <c r="B11" s="1530" t="s">
        <v>273</v>
      </c>
      <c r="C11" s="817" t="s">
        <v>274</v>
      </c>
      <c r="D11" s="941" t="s">
        <v>275</v>
      </c>
      <c r="E11" s="942" t="s">
        <v>330</v>
      </c>
      <c r="F11" s="817" t="s">
        <v>1323</v>
      </c>
    </row>
    <row r="12" spans="2:6" ht="14.5" customHeight="1" x14ac:dyDescent="0.35">
      <c r="B12" s="1530"/>
      <c r="C12" s="1484" t="s">
        <v>276</v>
      </c>
      <c r="D12" s="1531" t="s">
        <v>277</v>
      </c>
      <c r="E12" s="942" t="s">
        <v>1421</v>
      </c>
      <c r="F12" s="817"/>
    </row>
    <row r="13" spans="2:6" ht="29" x14ac:dyDescent="0.35">
      <c r="B13" s="1530"/>
      <c r="C13" s="1484"/>
      <c r="D13" s="1531"/>
      <c r="E13" s="821" t="s">
        <v>1422</v>
      </c>
      <c r="F13" s="943"/>
    </row>
    <row r="14" spans="2:6" ht="81" x14ac:dyDescent="0.35">
      <c r="B14" s="944" t="s">
        <v>278</v>
      </c>
      <c r="C14" s="869" t="s">
        <v>279</v>
      </c>
      <c r="D14" s="866" t="s">
        <v>280</v>
      </c>
      <c r="E14" s="889" t="s">
        <v>330</v>
      </c>
      <c r="F14" s="679" t="s">
        <v>281</v>
      </c>
    </row>
    <row r="15" spans="2:6" ht="28" x14ac:dyDescent="0.35">
      <c r="B15" s="945" t="s">
        <v>282</v>
      </c>
      <c r="C15" s="869" t="s">
        <v>1322</v>
      </c>
      <c r="D15" s="941" t="s">
        <v>283</v>
      </c>
      <c r="E15" s="802" t="s">
        <v>1321</v>
      </c>
      <c r="F15" s="943"/>
    </row>
    <row r="16" spans="2:6" ht="27" x14ac:dyDescent="0.35">
      <c r="B16" s="1528" t="s">
        <v>284</v>
      </c>
      <c r="C16" s="869" t="s">
        <v>285</v>
      </c>
      <c r="D16" s="941" t="s">
        <v>286</v>
      </c>
      <c r="E16" s="802" t="s">
        <v>1379</v>
      </c>
      <c r="F16" s="943"/>
    </row>
    <row r="17" spans="2:11" ht="27" x14ac:dyDescent="0.35">
      <c r="B17" s="1528"/>
      <c r="C17" s="869" t="s">
        <v>287</v>
      </c>
      <c r="D17" s="941" t="s">
        <v>288</v>
      </c>
      <c r="E17" s="802" t="s">
        <v>1379</v>
      </c>
      <c r="F17" s="943"/>
    </row>
    <row r="18" spans="2:11" ht="27" x14ac:dyDescent="0.35">
      <c r="B18" s="1528"/>
      <c r="C18" s="817" t="s">
        <v>289</v>
      </c>
      <c r="D18" s="941" t="s">
        <v>290</v>
      </c>
      <c r="E18" s="802" t="s">
        <v>1426</v>
      </c>
      <c r="F18" s="943"/>
      <c r="K18" s="505"/>
    </row>
    <row r="19" spans="2:11" ht="27" x14ac:dyDescent="0.35">
      <c r="B19" s="945" t="s">
        <v>291</v>
      </c>
      <c r="C19" s="817" t="s">
        <v>292</v>
      </c>
      <c r="D19" s="941" t="s">
        <v>293</v>
      </c>
      <c r="E19" s="802" t="s">
        <v>1425</v>
      </c>
      <c r="F19" s="943"/>
    </row>
    <row r="20" spans="2:11" ht="14.5" customHeight="1" x14ac:dyDescent="0.35">
      <c r="B20" s="1536" t="s">
        <v>294</v>
      </c>
      <c r="C20" s="1499" t="s">
        <v>295</v>
      </c>
      <c r="D20" s="1534" t="s">
        <v>296</v>
      </c>
      <c r="E20" s="802" t="s">
        <v>1424</v>
      </c>
      <c r="F20" s="943"/>
    </row>
    <row r="21" spans="2:11" ht="27" x14ac:dyDescent="0.35">
      <c r="B21" s="1537"/>
      <c r="C21" s="1500"/>
      <c r="D21" s="1535"/>
      <c r="E21" s="868" t="s">
        <v>1404</v>
      </c>
      <c r="F21" s="946"/>
    </row>
    <row r="22" spans="2:11" ht="27" x14ac:dyDescent="0.35">
      <c r="B22" s="1528" t="s">
        <v>297</v>
      </c>
      <c r="C22" s="817" t="s">
        <v>298</v>
      </c>
      <c r="D22" s="941" t="s">
        <v>299</v>
      </c>
      <c r="E22" s="802" t="s">
        <v>1423</v>
      </c>
      <c r="F22" s="943"/>
    </row>
    <row r="23" spans="2:11" ht="27" x14ac:dyDescent="0.35">
      <c r="B23" s="1528"/>
      <c r="C23" s="1457" t="s">
        <v>300</v>
      </c>
      <c r="D23" s="1532" t="s">
        <v>301</v>
      </c>
      <c r="E23" s="802" t="s">
        <v>1398</v>
      </c>
      <c r="F23" s="943"/>
    </row>
    <row r="24" spans="2:11" ht="27" x14ac:dyDescent="0.35">
      <c r="B24" s="1528"/>
      <c r="C24" s="1458"/>
      <c r="D24" s="1533"/>
      <c r="E24" s="900" t="s">
        <v>1397</v>
      </c>
      <c r="F24" s="943"/>
    </row>
    <row r="25" spans="2:11" ht="67.5" x14ac:dyDescent="0.35">
      <c r="B25" s="947" t="s">
        <v>302</v>
      </c>
      <c r="C25" s="869" t="s">
        <v>303</v>
      </c>
      <c r="D25" s="866" t="s">
        <v>304</v>
      </c>
      <c r="E25" s="948" t="s">
        <v>305</v>
      </c>
      <c r="F25" s="679" t="s">
        <v>1320</v>
      </c>
    </row>
    <row r="26" spans="2:11" ht="81" x14ac:dyDescent="0.35">
      <c r="B26" s="1528" t="s">
        <v>306</v>
      </c>
      <c r="C26" s="817" t="s">
        <v>307</v>
      </c>
      <c r="D26" s="941" t="s">
        <v>308</v>
      </c>
      <c r="E26" s="948" t="s">
        <v>305</v>
      </c>
      <c r="F26" s="508" t="s">
        <v>309</v>
      </c>
    </row>
    <row r="27" spans="2:11" ht="162" x14ac:dyDescent="0.35">
      <c r="B27" s="1528"/>
      <c r="C27" s="817" t="s">
        <v>310</v>
      </c>
      <c r="D27" s="941" t="s">
        <v>311</v>
      </c>
      <c r="E27" s="948" t="s">
        <v>305</v>
      </c>
      <c r="F27" s="508" t="s">
        <v>1411</v>
      </c>
    </row>
    <row r="28" spans="2:11" ht="94.5" x14ac:dyDescent="0.35">
      <c r="B28" s="947" t="s">
        <v>312</v>
      </c>
      <c r="C28" s="817" t="s">
        <v>313</v>
      </c>
      <c r="D28" s="941" t="s">
        <v>314</v>
      </c>
      <c r="E28" s="865" t="s">
        <v>315</v>
      </c>
      <c r="F28" s="805" t="s">
        <v>316</v>
      </c>
    </row>
    <row r="29" spans="2:11" ht="40.5" x14ac:dyDescent="0.35">
      <c r="B29" s="947" t="s">
        <v>317</v>
      </c>
      <c r="C29" s="817" t="s">
        <v>318</v>
      </c>
      <c r="D29" s="941" t="s">
        <v>319</v>
      </c>
      <c r="E29" s="949" t="s">
        <v>320</v>
      </c>
      <c r="F29" s="943"/>
    </row>
    <row r="30" spans="2:11" ht="28" x14ac:dyDescent="0.35">
      <c r="B30" s="1528" t="s">
        <v>321</v>
      </c>
      <c r="C30" s="817" t="s">
        <v>322</v>
      </c>
      <c r="D30" s="941" t="s">
        <v>323</v>
      </c>
      <c r="E30" s="802" t="s">
        <v>1410</v>
      </c>
      <c r="F30" s="943"/>
    </row>
    <row r="31" spans="2:11" ht="14.5" x14ac:dyDescent="0.35">
      <c r="B31" s="1528"/>
      <c r="C31" s="817" t="s">
        <v>324</v>
      </c>
      <c r="D31" s="941" t="s">
        <v>325</v>
      </c>
      <c r="E31" s="865" t="s">
        <v>326</v>
      </c>
      <c r="F31" s="943"/>
    </row>
    <row r="32" spans="2:11" ht="14.5" x14ac:dyDescent="0.35">
      <c r="B32" s="947" t="s">
        <v>327</v>
      </c>
      <c r="C32" s="817" t="s">
        <v>328</v>
      </c>
      <c r="D32" s="941" t="s">
        <v>329</v>
      </c>
      <c r="E32" s="865" t="s">
        <v>330</v>
      </c>
      <c r="F32" s="943"/>
    </row>
    <row r="33" spans="2:6" x14ac:dyDescent="0.35">
      <c r="B33" s="91"/>
      <c r="C33" s="91"/>
      <c r="D33" s="91"/>
      <c r="E33" s="91"/>
    </row>
    <row r="34" spans="2:6" x14ac:dyDescent="0.35">
      <c r="B34" s="1527" t="s">
        <v>331</v>
      </c>
      <c r="C34" s="1527"/>
      <c r="D34" s="1527"/>
      <c r="E34" s="1527"/>
    </row>
    <row r="35" spans="2:6" x14ac:dyDescent="0.35">
      <c r="B35" s="1527" t="s">
        <v>332</v>
      </c>
      <c r="C35" s="1527"/>
      <c r="D35" s="1527"/>
      <c r="E35" s="1527"/>
      <c r="F35" s="1527"/>
    </row>
    <row r="36" spans="2:6" x14ac:dyDescent="0.35">
      <c r="B36" s="1527" t="s">
        <v>333</v>
      </c>
      <c r="C36" s="1527"/>
      <c r="D36" s="1527"/>
      <c r="E36" s="1527"/>
    </row>
    <row r="37" spans="2:6" x14ac:dyDescent="0.35">
      <c r="B37" s="1527" t="s">
        <v>334</v>
      </c>
      <c r="C37" s="1527"/>
      <c r="D37" s="1527"/>
      <c r="E37" s="1527"/>
    </row>
    <row r="38" spans="2:6" x14ac:dyDescent="0.35">
      <c r="B38" s="1527" t="s">
        <v>335</v>
      </c>
      <c r="C38" s="1527"/>
      <c r="D38" s="1527"/>
      <c r="E38" s="1527"/>
      <c r="F38" s="1527"/>
    </row>
  </sheetData>
  <sheetProtection algorithmName="SHA-512" hashValue="WVs5dkGqo4ZDSmnm1H8iD7kPB7ZhH9N3nYA9SGj7vAjDjmRJQtujAJ/mewoo1wJ/wLVcXZ9/so0Vlil8dI802A==" saltValue="uC3gOBjs4iDumaPUFtrDsA==" spinCount="100000" sheet="1" objects="1" scenarios="1"/>
  <mergeCells count="18">
    <mergeCell ref="B2:D2"/>
    <mergeCell ref="B11:B13"/>
    <mergeCell ref="B16:B18"/>
    <mergeCell ref="B22:B24"/>
    <mergeCell ref="B26:B27"/>
    <mergeCell ref="C12:C13"/>
    <mergeCell ref="D12:D13"/>
    <mergeCell ref="C23:C24"/>
    <mergeCell ref="D23:D24"/>
    <mergeCell ref="C20:C21"/>
    <mergeCell ref="D20:D21"/>
    <mergeCell ref="B20:B21"/>
    <mergeCell ref="B38:F38"/>
    <mergeCell ref="B30:B31"/>
    <mergeCell ref="B34:E34"/>
    <mergeCell ref="B36:E36"/>
    <mergeCell ref="B37:E37"/>
    <mergeCell ref="B35:F35"/>
  </mergeCells>
  <hyperlinks>
    <hyperlink ref="E29" r:id="rId1" xr:uid="{42F76716-2693-4E81-A18A-75771DAB12A9}"/>
    <hyperlink ref="E13" r:id="rId2" xr:uid="{574E88B1-C392-478A-9EFD-98D4E4221499}"/>
    <hyperlink ref="E21" r:id="rId3" xr:uid="{F088FDBB-DA9E-4ACC-A462-F26321C16B99}"/>
    <hyperlink ref="E24" r:id="rId4" xr:uid="{7B56F580-6709-40CF-9490-827AE87E8B00}"/>
  </hyperlinks>
  <pageMargins left="0.70866141732283472" right="0.70866141732283472" top="0.74803149606299213" bottom="0.74803149606299213" header="0.31496062992125984" footer="0.31496062992125984"/>
  <pageSetup paperSize="9" scale="37"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0327-0661-4142-9CE8-702AC7608113}">
  <sheetPr codeName="Sheet13">
    <pageSetUpPr fitToPage="1"/>
  </sheetPr>
  <dimension ref="B2:K21"/>
  <sheetViews>
    <sheetView zoomScale="80" zoomScaleNormal="80" workbookViewId="0"/>
  </sheetViews>
  <sheetFormatPr defaultColWidth="8.81640625" defaultRowHeight="13.5" x14ac:dyDescent="0.35"/>
  <cols>
    <col min="1" max="1" width="2.81640625" style="452" customWidth="1"/>
    <col min="2" max="2" width="30.453125" style="452" customWidth="1"/>
    <col min="3" max="3" width="119.1796875" style="452" customWidth="1"/>
    <col min="4" max="4" width="27.1796875" style="452" customWidth="1"/>
    <col min="5" max="5" width="18.54296875" style="452" customWidth="1"/>
    <col min="6" max="6" width="24.81640625" style="452" customWidth="1"/>
    <col min="7" max="16384" width="8.81640625" style="452"/>
  </cols>
  <sheetData>
    <row r="2" spans="2:5" ht="24.5" x14ac:dyDescent="0.35">
      <c r="B2" s="1529" t="s">
        <v>16</v>
      </c>
      <c r="C2" s="1529"/>
      <c r="D2" s="1529"/>
    </row>
    <row r="3" spans="2:5" x14ac:dyDescent="0.35">
      <c r="B3" s="591"/>
      <c r="C3" s="591"/>
      <c r="D3" s="591"/>
    </row>
    <row r="4" spans="2:5" s="560" customFormat="1" ht="77.150000000000006" customHeight="1" x14ac:dyDescent="0.35">
      <c r="B4" s="1541" t="s">
        <v>336</v>
      </c>
      <c r="C4" s="1541"/>
      <c r="D4" s="1541"/>
      <c r="E4" s="1541"/>
    </row>
    <row r="5" spans="2:5" x14ac:dyDescent="0.35">
      <c r="B5" s="495"/>
      <c r="C5" s="495"/>
      <c r="D5" s="495"/>
    </row>
    <row r="6" spans="2:5" x14ac:dyDescent="0.35">
      <c r="B6" s="496" t="s">
        <v>48</v>
      </c>
      <c r="C6" s="495"/>
      <c r="D6" s="495"/>
    </row>
    <row r="7" spans="2:5" x14ac:dyDescent="0.35">
      <c r="B7" s="5" t="s">
        <v>49</v>
      </c>
      <c r="C7" s="495"/>
      <c r="D7" s="495"/>
    </row>
    <row r="8" spans="2:5" x14ac:dyDescent="0.35">
      <c r="B8" s="5" t="s">
        <v>50</v>
      </c>
      <c r="C8" s="495"/>
      <c r="D8" s="495"/>
    </row>
    <row r="9" spans="2:5" x14ac:dyDescent="0.35">
      <c r="B9" s="453"/>
      <c r="C9" s="495"/>
      <c r="D9" s="495"/>
    </row>
    <row r="10" spans="2:5" x14ac:dyDescent="0.35">
      <c r="B10" s="587" t="s">
        <v>337</v>
      </c>
      <c r="C10" s="588" t="s">
        <v>338</v>
      </c>
      <c r="D10" s="589" t="s">
        <v>271</v>
      </c>
      <c r="E10" s="589" t="s">
        <v>339</v>
      </c>
    </row>
    <row r="11" spans="2:5" ht="64" customHeight="1" x14ac:dyDescent="0.35">
      <c r="B11" s="1538" t="s">
        <v>340</v>
      </c>
      <c r="C11" s="558" t="s">
        <v>341</v>
      </c>
      <c r="D11" s="744" t="s">
        <v>1427</v>
      </c>
      <c r="E11" s="672" t="s">
        <v>342</v>
      </c>
    </row>
    <row r="12" spans="2:5" ht="64" customHeight="1" x14ac:dyDescent="0.35">
      <c r="B12" s="1540"/>
      <c r="C12" s="559" t="s">
        <v>343</v>
      </c>
      <c r="D12" s="744" t="s">
        <v>1427</v>
      </c>
      <c r="E12" s="673" t="s">
        <v>342</v>
      </c>
    </row>
    <row r="13" spans="2:5" ht="43" customHeight="1" x14ac:dyDescent="0.35">
      <c r="B13" s="1538" t="s">
        <v>344</v>
      </c>
      <c r="C13" s="558" t="s">
        <v>345</v>
      </c>
      <c r="D13" s="744" t="s">
        <v>1428</v>
      </c>
      <c r="E13" s="672" t="s">
        <v>346</v>
      </c>
    </row>
    <row r="14" spans="2:5" ht="43" customHeight="1" x14ac:dyDescent="0.35">
      <c r="B14" s="1539"/>
      <c r="C14" s="557" t="s">
        <v>347</v>
      </c>
      <c r="D14" s="744" t="s">
        <v>1428</v>
      </c>
      <c r="E14" s="674" t="s">
        <v>348</v>
      </c>
    </row>
    <row r="15" spans="2:5" ht="43" customHeight="1" x14ac:dyDescent="0.35">
      <c r="B15" s="1540"/>
      <c r="C15" s="559" t="s">
        <v>349</v>
      </c>
      <c r="D15" s="744" t="s">
        <v>1428</v>
      </c>
      <c r="E15" s="673" t="s">
        <v>350</v>
      </c>
    </row>
    <row r="16" spans="2:5" ht="33" customHeight="1" x14ac:dyDescent="0.35">
      <c r="B16" s="1538" t="s">
        <v>351</v>
      </c>
      <c r="C16" s="558" t="s">
        <v>352</v>
      </c>
      <c r="D16" s="744" t="s">
        <v>1429</v>
      </c>
      <c r="E16" s="672" t="s">
        <v>353</v>
      </c>
    </row>
    <row r="17" spans="2:11" ht="25" customHeight="1" x14ac:dyDescent="0.35">
      <c r="B17" s="1539"/>
      <c r="C17" s="557" t="s">
        <v>354</v>
      </c>
      <c r="D17" s="744" t="s">
        <v>1429</v>
      </c>
      <c r="E17" s="674" t="s">
        <v>353</v>
      </c>
      <c r="K17" s="506"/>
    </row>
    <row r="18" spans="2:11" ht="40.5" customHeight="1" x14ac:dyDescent="0.35">
      <c r="B18" s="1540"/>
      <c r="C18" s="559" t="s">
        <v>355</v>
      </c>
      <c r="D18" s="744" t="s">
        <v>1429</v>
      </c>
      <c r="E18" s="673" t="s">
        <v>356</v>
      </c>
    </row>
    <row r="19" spans="2:11" ht="43.5" customHeight="1" x14ac:dyDescent="0.35">
      <c r="B19" s="1538" t="s">
        <v>357</v>
      </c>
      <c r="C19" s="558" t="s">
        <v>358</v>
      </c>
      <c r="D19" s="744" t="s">
        <v>1430</v>
      </c>
      <c r="E19" s="672" t="s">
        <v>359</v>
      </c>
    </row>
    <row r="20" spans="2:11" ht="43.5" customHeight="1" x14ac:dyDescent="0.35">
      <c r="B20" s="1539"/>
      <c r="C20" s="557" t="s">
        <v>360</v>
      </c>
      <c r="D20" s="744" t="s">
        <v>1431</v>
      </c>
      <c r="E20" s="674" t="s">
        <v>359</v>
      </c>
    </row>
    <row r="21" spans="2:11" ht="43.5" customHeight="1" x14ac:dyDescent="0.35">
      <c r="B21" s="1540"/>
      <c r="C21" s="559" t="s">
        <v>361</v>
      </c>
      <c r="D21" s="744" t="s">
        <v>1430</v>
      </c>
      <c r="E21" s="673" t="s">
        <v>362</v>
      </c>
    </row>
  </sheetData>
  <sheetProtection algorithmName="SHA-512" hashValue="mucLtI2qHZhuQw0BQV+4wygX9d7rD4Bm+kTUqcXjuiHlpsPOk085UXwqXmseML5dBCAOEIJIBeeSABbJiXfkAA==" saltValue="fhirqOB6pUJdrvZVsm8Q5A==" spinCount="100000" sheet="1" objects="1" scenarios="1"/>
  <mergeCells count="6">
    <mergeCell ref="B13:B15"/>
    <mergeCell ref="B11:B12"/>
    <mergeCell ref="B16:B18"/>
    <mergeCell ref="B19:B21"/>
    <mergeCell ref="B2:D2"/>
    <mergeCell ref="B4:E4"/>
  </mergeCells>
  <phoneticPr fontId="3" type="noConversion"/>
  <pageMargins left="0.70866141732283472" right="0.70866141732283472" top="0.74803149606299213" bottom="0.74803149606299213" header="0.31496062992125984" footer="0.31496062992125984"/>
  <pageSetup paperSize="9" scale="71"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M29"/>
  <sheetViews>
    <sheetView zoomScale="80" zoomScaleNormal="80" workbookViewId="0"/>
  </sheetViews>
  <sheetFormatPr defaultColWidth="8.81640625" defaultRowHeight="13.5" x14ac:dyDescent="0.35"/>
  <cols>
    <col min="1" max="1" width="3.6328125" style="452" customWidth="1"/>
    <col min="2" max="2" width="16.54296875" style="452" customWidth="1"/>
    <col min="3" max="3" width="47.1796875" style="452" customWidth="1"/>
    <col min="4" max="4" width="56.81640625" style="452" customWidth="1"/>
    <col min="5" max="5" width="65" style="822" hidden="1" customWidth="1"/>
    <col min="6" max="6" width="65" style="823" hidden="1" customWidth="1"/>
    <col min="7" max="7" width="35.54296875" style="452" customWidth="1"/>
    <col min="8" max="8" width="52.36328125" style="452" customWidth="1"/>
    <col min="9" max="9" width="50.453125" style="452" customWidth="1"/>
    <col min="10" max="10" width="9.81640625" style="452" bestFit="1" customWidth="1"/>
    <col min="11" max="12" width="8.81640625" style="452"/>
    <col min="13" max="13" width="10.81640625" style="452" bestFit="1" customWidth="1"/>
    <col min="14" max="16384" width="8.81640625" style="452"/>
  </cols>
  <sheetData>
    <row r="2" spans="2:9" ht="24.5" x14ac:dyDescent="0.35">
      <c r="B2" s="1529" t="s">
        <v>363</v>
      </c>
      <c r="C2" s="1529"/>
      <c r="D2" s="1529"/>
      <c r="E2" s="1529"/>
      <c r="F2" s="1529"/>
    </row>
    <row r="4" spans="2:9" x14ac:dyDescent="0.35">
      <c r="B4" s="824" t="s">
        <v>48</v>
      </c>
    </row>
    <row r="5" spans="2:9" x14ac:dyDescent="0.35">
      <c r="B5" s="5" t="s">
        <v>49</v>
      </c>
    </row>
    <row r="6" spans="2:9" x14ac:dyDescent="0.35">
      <c r="B6" s="5" t="s">
        <v>50</v>
      </c>
    </row>
    <row r="8" spans="2:9" s="503" customFormat="1" ht="17.5" customHeight="1" x14ac:dyDescent="0.35">
      <c r="B8" s="798" t="s">
        <v>364</v>
      </c>
      <c r="C8" s="798" t="s">
        <v>365</v>
      </c>
      <c r="D8" s="798" t="s">
        <v>366</v>
      </c>
      <c r="E8" s="798" t="s">
        <v>364</v>
      </c>
      <c r="F8" s="798" t="s">
        <v>364</v>
      </c>
      <c r="G8" s="799" t="s">
        <v>271</v>
      </c>
      <c r="H8" s="799" t="s">
        <v>272</v>
      </c>
    </row>
    <row r="9" spans="2:9" ht="27" x14ac:dyDescent="0.35">
      <c r="B9" s="1542" t="s">
        <v>140</v>
      </c>
      <c r="C9" s="1548" t="s">
        <v>367</v>
      </c>
      <c r="D9" s="507" t="s">
        <v>368</v>
      </c>
      <c r="E9" s="800"/>
      <c r="F9" s="1543" t="s">
        <v>369</v>
      </c>
      <c r="G9" s="802" t="s">
        <v>1432</v>
      </c>
      <c r="H9" s="803" t="str">
        <f>TEXT(ROUNDDOWN(Environment!D11,0),"#,###")&amp;" tonnes CO₂e"</f>
        <v>225,330 tonnes CO₂e</v>
      </c>
    </row>
    <row r="10" spans="2:9" ht="27" x14ac:dyDescent="0.35">
      <c r="B10" s="1542"/>
      <c r="C10" s="1548"/>
      <c r="D10" s="507" t="s">
        <v>370</v>
      </c>
      <c r="E10" s="800"/>
      <c r="F10" s="1543"/>
      <c r="G10" s="802" t="s">
        <v>1432</v>
      </c>
      <c r="H10" s="803" t="str">
        <f>TEXT(ROUNDDOWN(Environment!D12,0),"#,###")&amp;" tonnes CO₂e"</f>
        <v>21,204 tonnes CO₂e</v>
      </c>
      <c r="I10" s="825"/>
    </row>
    <row r="11" spans="2:9" ht="27" x14ac:dyDescent="0.35">
      <c r="B11" s="1542"/>
      <c r="C11" s="1548"/>
      <c r="D11" s="507" t="s">
        <v>371</v>
      </c>
      <c r="E11" s="800"/>
      <c r="F11" s="1543"/>
      <c r="G11" s="802" t="s">
        <v>1432</v>
      </c>
      <c r="H11" s="803" t="str">
        <f>TEXT(ROUND(Environment!D36,0),"#,###")&amp;" tonnes CO₂e"</f>
        <v>3,445,486 tonnes CO₂e</v>
      </c>
    </row>
    <row r="12" spans="2:9" ht="31" customHeight="1" x14ac:dyDescent="0.35">
      <c r="B12" s="1542"/>
      <c r="C12" s="1548"/>
      <c r="D12" s="507" t="s">
        <v>372</v>
      </c>
      <c r="E12" s="800"/>
      <c r="F12" s="1543"/>
      <c r="G12" s="802" t="s">
        <v>1432</v>
      </c>
      <c r="H12" s="803" t="str">
        <f>TEXT(ROUND(Environment!D43,0),"#,###")&amp;" tonnes CO₂e"</f>
        <v>3,692,020 tonnes CO₂e</v>
      </c>
      <c r="I12" s="826"/>
    </row>
    <row r="13" spans="2:9" ht="54" hidden="1" customHeight="1" x14ac:dyDescent="0.35">
      <c r="B13" s="1542"/>
      <c r="C13" s="800" t="s">
        <v>373</v>
      </c>
      <c r="D13" s="800" t="s">
        <v>373</v>
      </c>
      <c r="E13" s="800"/>
      <c r="F13" s="801" t="s">
        <v>374</v>
      </c>
      <c r="G13" s="804"/>
      <c r="H13" s="803" t="str">
        <f>TEXT(ROUNDUP(Environment!E44,0),"#,###")&amp;" tonnes CO₂e"</f>
        <v>39 tonnes CO₂e</v>
      </c>
    </row>
    <row r="14" spans="2:9" ht="31" customHeight="1" x14ac:dyDescent="0.35">
      <c r="B14" s="1542"/>
      <c r="C14" s="805" t="s">
        <v>375</v>
      </c>
      <c r="D14" s="507" t="s">
        <v>376</v>
      </c>
      <c r="E14" s="800"/>
      <c r="F14" s="801" t="s">
        <v>377</v>
      </c>
      <c r="G14" s="802" t="s">
        <v>330</v>
      </c>
      <c r="H14" s="803" t="str">
        <f>TEXT(Environment!D45,"0.0")&amp;" tonnes CO₂e/£ million revenue"</f>
        <v>316.3 tonnes CO₂e/£ million revenue</v>
      </c>
      <c r="I14" s="827"/>
    </row>
    <row r="15" spans="2:9" ht="31" customHeight="1" x14ac:dyDescent="0.35">
      <c r="B15" s="1542"/>
      <c r="C15" s="806" t="s">
        <v>378</v>
      </c>
      <c r="D15" s="806" t="s">
        <v>379</v>
      </c>
      <c r="E15" s="807" t="s">
        <v>380</v>
      </c>
      <c r="F15" s="808" t="s">
        <v>381</v>
      </c>
      <c r="G15" s="802" t="s">
        <v>1318</v>
      </c>
      <c r="H15" s="809" t="s">
        <v>1319</v>
      </c>
      <c r="I15" s="828"/>
    </row>
    <row r="16" spans="2:9" ht="49" customHeight="1" x14ac:dyDescent="0.35">
      <c r="B16" s="1542"/>
      <c r="C16" s="805" t="s">
        <v>382</v>
      </c>
      <c r="D16" s="805" t="s">
        <v>383</v>
      </c>
      <c r="E16" s="810" t="s">
        <v>384</v>
      </c>
      <c r="F16" s="801" t="s">
        <v>385</v>
      </c>
      <c r="G16" s="802" t="s">
        <v>330</v>
      </c>
      <c r="H16" s="811" t="s">
        <v>1288</v>
      </c>
      <c r="I16" s="829"/>
    </row>
    <row r="17" spans="2:13" ht="30" customHeight="1" x14ac:dyDescent="0.35">
      <c r="B17" s="1542"/>
      <c r="C17" s="805" t="s">
        <v>386</v>
      </c>
      <c r="D17" s="805" t="s">
        <v>387</v>
      </c>
      <c r="E17" s="812" t="s">
        <v>388</v>
      </c>
      <c r="F17" s="813" t="s">
        <v>389</v>
      </c>
      <c r="G17" s="802" t="s">
        <v>330</v>
      </c>
      <c r="H17" s="809" t="s">
        <v>1287</v>
      </c>
    </row>
    <row r="18" spans="2:13" ht="61" customHeight="1" x14ac:dyDescent="0.35">
      <c r="B18" s="814" t="s">
        <v>35</v>
      </c>
      <c r="C18" s="805" t="s">
        <v>390</v>
      </c>
      <c r="D18" s="805" t="s">
        <v>391</v>
      </c>
      <c r="E18" s="815" t="s">
        <v>392</v>
      </c>
      <c r="F18" s="801" t="s">
        <v>393</v>
      </c>
      <c r="G18" s="816" t="s">
        <v>394</v>
      </c>
      <c r="H18" s="811" t="s">
        <v>1286</v>
      </c>
    </row>
    <row r="19" spans="2:13" ht="81" x14ac:dyDescent="0.35">
      <c r="B19" s="814" t="s">
        <v>34</v>
      </c>
      <c r="C19" s="817" t="s">
        <v>395</v>
      </c>
      <c r="D19" s="805" t="s">
        <v>396</v>
      </c>
      <c r="E19" s="815" t="s">
        <v>397</v>
      </c>
      <c r="F19" s="801" t="s">
        <v>398</v>
      </c>
      <c r="G19" s="802" t="s">
        <v>1285</v>
      </c>
      <c r="H19" s="811" t="s">
        <v>399</v>
      </c>
      <c r="L19" s="830"/>
    </row>
    <row r="20" spans="2:13" ht="38" customHeight="1" x14ac:dyDescent="0.35">
      <c r="B20" s="814" t="s">
        <v>149</v>
      </c>
      <c r="C20" s="805" t="s">
        <v>400</v>
      </c>
      <c r="D20" s="805" t="s">
        <v>401</v>
      </c>
      <c r="E20" s="815" t="s">
        <v>402</v>
      </c>
      <c r="F20" s="801" t="s">
        <v>403</v>
      </c>
      <c r="G20" s="802" t="s">
        <v>330</v>
      </c>
      <c r="H20" s="811" t="str">
        <f>TEXT(ROUNDDOWN(Environment!D112,0),"#,###")&amp;" tonnes"</f>
        <v>37,435 tonnes</v>
      </c>
    </row>
    <row r="21" spans="2:13" ht="57" customHeight="1" x14ac:dyDescent="0.35">
      <c r="B21" s="1544" t="s">
        <v>404</v>
      </c>
      <c r="C21" s="805" t="s">
        <v>405</v>
      </c>
      <c r="D21" s="805" t="s">
        <v>405</v>
      </c>
      <c r="E21" s="818"/>
      <c r="F21" s="801" t="s">
        <v>406</v>
      </c>
      <c r="G21" s="819"/>
      <c r="H21" s="820" t="s">
        <v>407</v>
      </c>
    </row>
    <row r="22" spans="2:13" ht="37" customHeight="1" x14ac:dyDescent="0.35">
      <c r="B22" s="1544"/>
      <c r="C22" s="1545" t="s">
        <v>408</v>
      </c>
      <c r="D22" s="1545" t="s">
        <v>409</v>
      </c>
      <c r="E22" s="818"/>
      <c r="F22" s="801" t="s">
        <v>410</v>
      </c>
      <c r="G22" s="1549" t="s">
        <v>411</v>
      </c>
      <c r="H22" s="1547" t="s">
        <v>412</v>
      </c>
      <c r="M22" s="831"/>
    </row>
    <row r="23" spans="2:13" ht="34.5" customHeight="1" x14ac:dyDescent="0.35">
      <c r="B23" s="1544"/>
      <c r="C23" s="1545"/>
      <c r="D23" s="1545"/>
      <c r="E23" s="818"/>
      <c r="F23" s="801"/>
      <c r="G23" s="1549"/>
      <c r="H23" s="1547"/>
      <c r="M23" s="831"/>
    </row>
    <row r="24" spans="2:13" ht="11.5" customHeight="1" x14ac:dyDescent="0.35">
      <c r="B24" s="1544"/>
      <c r="C24" s="1545" t="s">
        <v>413</v>
      </c>
      <c r="D24" s="1545" t="s">
        <v>414</v>
      </c>
      <c r="E24" s="818"/>
      <c r="F24" s="801" t="s">
        <v>415</v>
      </c>
      <c r="G24" s="1550" t="s">
        <v>417</v>
      </c>
      <c r="H24" s="1546" t="s">
        <v>416</v>
      </c>
    </row>
    <row r="25" spans="2:13" ht="14.5" customHeight="1" x14ac:dyDescent="0.35">
      <c r="B25" s="1544"/>
      <c r="C25" s="1545"/>
      <c r="D25" s="1545"/>
      <c r="E25" s="818"/>
      <c r="F25" s="801"/>
      <c r="G25" s="1551"/>
      <c r="H25" s="1546"/>
    </row>
    <row r="26" spans="2:13" ht="37.5" customHeight="1" x14ac:dyDescent="0.35">
      <c r="B26" s="1544"/>
      <c r="C26" s="805" t="s">
        <v>418</v>
      </c>
      <c r="D26" s="805" t="s">
        <v>419</v>
      </c>
      <c r="E26" s="818"/>
      <c r="F26" s="801" t="s">
        <v>420</v>
      </c>
      <c r="G26" s="802" t="s">
        <v>1433</v>
      </c>
      <c r="H26" s="811" t="s">
        <v>421</v>
      </c>
    </row>
    <row r="27" spans="2:13" ht="46.5" customHeight="1" x14ac:dyDescent="0.35">
      <c r="B27" s="1544"/>
      <c r="C27" s="805" t="s">
        <v>422</v>
      </c>
      <c r="D27" s="805" t="s">
        <v>423</v>
      </c>
      <c r="E27" s="818"/>
      <c r="F27" s="801" t="s">
        <v>424</v>
      </c>
      <c r="G27" s="819"/>
      <c r="H27" s="811" t="s">
        <v>1434</v>
      </c>
    </row>
    <row r="28" spans="2:13" x14ac:dyDescent="0.35">
      <c r="E28" s="832"/>
      <c r="H28" s="833"/>
    </row>
    <row r="29" spans="2:13" x14ac:dyDescent="0.35">
      <c r="E29" s="832"/>
    </row>
  </sheetData>
  <sheetProtection algorithmName="SHA-512" hashValue="N9YtF0LQcmjQxYIdcyKglMp+I5I80Hu1nsSNBvdxNqZFSlFb8/zJUnmmyZWb9EkRddUBJcq3fRgZSbtZLH4x7A==" saltValue="iApLNUBLYXKw2rCVAe7n5g==" spinCount="100000" sheet="1" objects="1" scenarios="1"/>
  <mergeCells count="13">
    <mergeCell ref="H24:H25"/>
    <mergeCell ref="C22:C23"/>
    <mergeCell ref="D22:D23"/>
    <mergeCell ref="H22:H23"/>
    <mergeCell ref="C9:C12"/>
    <mergeCell ref="G22:G23"/>
    <mergeCell ref="G24:G25"/>
    <mergeCell ref="B9:B17"/>
    <mergeCell ref="F9:F12"/>
    <mergeCell ref="B21:B27"/>
    <mergeCell ref="B2:F2"/>
    <mergeCell ref="C24:C25"/>
    <mergeCell ref="D24:D25"/>
  </mergeCells>
  <hyperlinks>
    <hyperlink ref="G24" r:id="rId1" xr:uid="{56E27788-FCB8-4905-9EE0-9BB306062DAD}"/>
    <hyperlink ref="G22" r:id="rId2" xr:uid="{EC01C020-7808-4B6D-AB2F-7636701D8CA0}"/>
    <hyperlink ref="G18" r:id="rId3" display="https://matthey.com/contact-us?assetCategoryIds=&amp;sort=ddm__keyword__232321__Country" xr:uid="{90784D5D-E25B-480A-B107-1751B6F184AB}"/>
  </hyperlinks>
  <pageMargins left="0.70866141732283472" right="0.70866141732283472" top="0.74803149606299213" bottom="0.74803149606299213" header="0.31496062992125984" footer="0.31496062992125984"/>
  <pageSetup paperSize="9" scale="60" orientation="landscape" r:id="rId4"/>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38B-A4B7-4785-97C8-68FD2F1B1373}">
  <sheetPr codeName="Sheet14">
    <pageSetUpPr fitToPage="1"/>
  </sheetPr>
  <dimension ref="B2:W38"/>
  <sheetViews>
    <sheetView zoomScale="80" zoomScaleNormal="80" workbookViewId="0"/>
  </sheetViews>
  <sheetFormatPr defaultColWidth="8.81640625" defaultRowHeight="13.5" x14ac:dyDescent="0.35"/>
  <cols>
    <col min="1" max="1" width="3.81640625" style="58" customWidth="1"/>
    <col min="2" max="2" width="69.1796875" style="58" customWidth="1"/>
    <col min="3" max="3" width="30.54296875" style="58" customWidth="1"/>
    <col min="4" max="5" width="16.54296875" style="58" bestFit="1" customWidth="1"/>
    <col min="6" max="6" width="15.81640625" style="58" customWidth="1"/>
    <col min="7" max="7" width="16.1796875" style="58" customWidth="1"/>
    <col min="8" max="9" width="14.1796875" style="58" customWidth="1"/>
    <col min="10" max="10" width="14.81640625" style="58" customWidth="1"/>
    <col min="11" max="11" width="12.453125" style="58" customWidth="1"/>
    <col min="12" max="12" width="12.81640625" style="58" customWidth="1"/>
    <col min="13" max="13" width="15" style="58" bestFit="1" customWidth="1"/>
    <col min="14" max="14" width="12.453125" style="58" customWidth="1"/>
    <col min="15" max="15" width="13.1796875" style="58" customWidth="1"/>
    <col min="16" max="16" width="15" style="58" bestFit="1" customWidth="1"/>
    <col min="17" max="17" width="14.453125" style="58" customWidth="1"/>
    <col min="18" max="18" width="12.54296875" style="58" customWidth="1"/>
    <col min="19" max="19" width="14.81640625" style="58" customWidth="1"/>
    <col min="20" max="21" width="13.453125" style="58" customWidth="1"/>
    <col min="22" max="22" width="26.54296875" style="58" bestFit="1" customWidth="1"/>
    <col min="23" max="16384" width="8.81640625" style="58"/>
  </cols>
  <sheetData>
    <row r="2" spans="2:23" ht="24.5" x14ac:dyDescent="0.35">
      <c r="B2" s="660" t="s">
        <v>425</v>
      </c>
      <c r="C2" s="660"/>
      <c r="D2" s="660"/>
    </row>
    <row r="3" spans="2:23" x14ac:dyDescent="0.35">
      <c r="B3" s="590"/>
      <c r="C3" s="590"/>
      <c r="D3" s="590"/>
    </row>
    <row r="4" spans="2:23" ht="3" customHeight="1" x14ac:dyDescent="0.35">
      <c r="B4" s="1563" t="s">
        <v>426</v>
      </c>
      <c r="C4" s="1563"/>
      <c r="D4" s="1563"/>
      <c r="E4" s="1563"/>
      <c r="F4" s="1563"/>
      <c r="G4" s="1563"/>
      <c r="H4" s="1563"/>
      <c r="I4" s="1563"/>
      <c r="J4" s="1563"/>
      <c r="K4" s="1563"/>
      <c r="L4" s="1563"/>
      <c r="M4" s="1563"/>
      <c r="N4" s="1563"/>
      <c r="O4" s="1563"/>
      <c r="P4" s="1563"/>
      <c r="Q4" s="1563"/>
      <c r="R4" s="1563"/>
    </row>
    <row r="5" spans="2:23" ht="13.5" customHeight="1" x14ac:dyDescent="0.35">
      <c r="B5" s="1563"/>
      <c r="C5" s="1563"/>
      <c r="D5" s="1563"/>
      <c r="E5" s="1563"/>
      <c r="F5" s="1563"/>
      <c r="G5" s="1563"/>
      <c r="H5" s="1563"/>
      <c r="I5" s="1563"/>
      <c r="J5" s="1563"/>
      <c r="K5" s="1563"/>
      <c r="L5" s="1563"/>
      <c r="M5" s="1563"/>
      <c r="N5" s="1563"/>
      <c r="O5" s="1563"/>
      <c r="P5" s="1563"/>
      <c r="Q5" s="1563"/>
      <c r="R5" s="1563"/>
    </row>
    <row r="6" spans="2:23" ht="59.5" customHeight="1" x14ac:dyDescent="0.35">
      <c r="B6" s="1563"/>
      <c r="C6" s="1563"/>
      <c r="D6" s="1563"/>
      <c r="E6" s="1563"/>
      <c r="F6" s="1563"/>
      <c r="G6" s="1563"/>
      <c r="H6" s="1563"/>
      <c r="I6" s="1563"/>
      <c r="J6" s="1563"/>
      <c r="K6" s="1563"/>
      <c r="L6" s="1563"/>
      <c r="M6" s="1563"/>
      <c r="N6" s="1563"/>
      <c r="O6" s="1563"/>
      <c r="P6" s="1563"/>
      <c r="Q6" s="1563"/>
      <c r="R6" s="1563"/>
    </row>
    <row r="7" spans="2:23" ht="15" x14ac:dyDescent="0.35">
      <c r="B7" s="784" t="s">
        <v>427</v>
      </c>
      <c r="C7" s="8"/>
      <c r="D7" s="8"/>
    </row>
    <row r="8" spans="2:23" ht="15" x14ac:dyDescent="0.35">
      <c r="B8" s="785" t="s">
        <v>428</v>
      </c>
      <c r="C8" s="8"/>
      <c r="D8" s="8"/>
    </row>
    <row r="9" spans="2:23" x14ac:dyDescent="0.35">
      <c r="B9" s="5"/>
      <c r="C9" s="8"/>
      <c r="D9" s="8"/>
    </row>
    <row r="10" spans="2:23" s="503" customFormat="1" ht="14.5" customHeight="1" x14ac:dyDescent="0.35">
      <c r="B10" s="1569" t="s">
        <v>429</v>
      </c>
      <c r="C10" s="1570" t="s">
        <v>430</v>
      </c>
      <c r="D10" s="1552" t="s">
        <v>431</v>
      </c>
      <c r="E10" s="1553"/>
      <c r="F10" s="1554"/>
      <c r="G10" s="1564" t="s">
        <v>432</v>
      </c>
      <c r="H10" s="1565"/>
      <c r="I10" s="1568"/>
      <c r="J10" s="1564" t="s">
        <v>433</v>
      </c>
      <c r="K10" s="1565"/>
      <c r="L10" s="1568"/>
      <c r="M10" s="1564" t="s">
        <v>434</v>
      </c>
      <c r="N10" s="1565"/>
      <c r="O10" s="1568"/>
      <c r="P10" s="1564" t="s">
        <v>435</v>
      </c>
      <c r="Q10" s="1565"/>
      <c r="R10" s="1568"/>
      <c r="S10" s="1564" t="s">
        <v>436</v>
      </c>
      <c r="T10" s="1565"/>
      <c r="U10" s="1565"/>
      <c r="V10" s="1555" t="s">
        <v>437</v>
      </c>
    </row>
    <row r="11" spans="2:23" s="503" customFormat="1" ht="15" x14ac:dyDescent="0.35">
      <c r="B11" s="1569"/>
      <c r="C11" s="1570"/>
      <c r="D11" s="760" t="s">
        <v>438</v>
      </c>
      <c r="E11" s="760" t="s">
        <v>439</v>
      </c>
      <c r="F11" s="760" t="s">
        <v>440</v>
      </c>
      <c r="G11" s="760" t="s">
        <v>438</v>
      </c>
      <c r="H11" s="760" t="s">
        <v>439</v>
      </c>
      <c r="I11" s="760" t="s">
        <v>440</v>
      </c>
      <c r="J11" s="760" t="s">
        <v>438</v>
      </c>
      <c r="K11" s="760" t="s">
        <v>439</v>
      </c>
      <c r="L11" s="760" t="s">
        <v>440</v>
      </c>
      <c r="M11" s="760" t="s">
        <v>438</v>
      </c>
      <c r="N11" s="760" t="s">
        <v>439</v>
      </c>
      <c r="O11" s="760" t="s">
        <v>440</v>
      </c>
      <c r="P11" s="760" t="s">
        <v>438</v>
      </c>
      <c r="Q11" s="760" t="s">
        <v>439</v>
      </c>
      <c r="R11" s="760" t="s">
        <v>440</v>
      </c>
      <c r="S11" s="760" t="s">
        <v>438</v>
      </c>
      <c r="T11" s="760" t="s">
        <v>439</v>
      </c>
      <c r="U11" s="761" t="s">
        <v>440</v>
      </c>
      <c r="V11" s="1555"/>
    </row>
    <row r="12" spans="2:23" s="503" customFormat="1" ht="17" x14ac:dyDescent="0.35">
      <c r="B12" s="534" t="s">
        <v>368</v>
      </c>
      <c r="C12" s="568" t="s">
        <v>441</v>
      </c>
      <c r="D12" s="595">
        <f>E12+F12</f>
        <v>225329.5</v>
      </c>
      <c r="E12" s="595">
        <v>115184.5</v>
      </c>
      <c r="F12" s="595">
        <v>110145</v>
      </c>
      <c r="G12" s="535">
        <f>H12+I12</f>
        <v>215647.08</v>
      </c>
      <c r="H12" s="535">
        <v>103157.2</v>
      </c>
      <c r="I12" s="535">
        <v>112489.87999999999</v>
      </c>
      <c r="J12" s="535">
        <f>K12+L12</f>
        <v>215165.84</v>
      </c>
      <c r="K12" s="535">
        <v>102084.39</v>
      </c>
      <c r="L12" s="535">
        <v>113081.45</v>
      </c>
      <c r="M12" s="535">
        <f>N12+O12</f>
        <v>226340.99</v>
      </c>
      <c r="N12" s="535">
        <v>104922.09</v>
      </c>
      <c r="O12" s="535">
        <v>121418.9</v>
      </c>
      <c r="P12" s="535">
        <f>Q12+R12</f>
        <v>229149.57</v>
      </c>
      <c r="Q12" s="535">
        <v>114568.14</v>
      </c>
      <c r="R12" s="535">
        <v>114581.43000000001</v>
      </c>
      <c r="S12" s="535">
        <f>T12+U12</f>
        <v>227933</v>
      </c>
      <c r="T12" s="535">
        <v>110387.47</v>
      </c>
      <c r="U12" s="733">
        <v>117545.53</v>
      </c>
      <c r="V12" s="762">
        <f>(G12-D12)/G12</f>
        <v>-4.4899379115172874E-2</v>
      </c>
      <c r="W12" s="763"/>
    </row>
    <row r="13" spans="2:23" s="503" customFormat="1" ht="17" x14ac:dyDescent="0.35">
      <c r="B13" s="534" t="s">
        <v>370</v>
      </c>
      <c r="C13" s="568" t="s">
        <v>441</v>
      </c>
      <c r="D13" s="595">
        <f>E13+F13</f>
        <v>21203.81</v>
      </c>
      <c r="E13" s="595">
        <v>1076.4100000000001</v>
      </c>
      <c r="F13" s="595">
        <v>20127.400000000001</v>
      </c>
      <c r="G13" s="535">
        <f>H13+I13</f>
        <v>66265.350000000006</v>
      </c>
      <c r="H13" s="535">
        <v>635</v>
      </c>
      <c r="I13" s="535">
        <v>65630.350000000006</v>
      </c>
      <c r="J13" s="535">
        <f>K13+L13</f>
        <v>128767.54</v>
      </c>
      <c r="K13" s="535">
        <v>1023.59</v>
      </c>
      <c r="L13" s="535">
        <v>127743.95</v>
      </c>
      <c r="M13" s="535">
        <f>N13+O13</f>
        <v>167772</v>
      </c>
      <c r="N13" s="535">
        <v>1265.23</v>
      </c>
      <c r="O13" s="535">
        <v>166506.76999999999</v>
      </c>
      <c r="P13" s="535">
        <f>Q13+R13</f>
        <v>165830.01</v>
      </c>
      <c r="Q13" s="535">
        <v>3968.71</v>
      </c>
      <c r="R13" s="535">
        <v>161861.30000000002</v>
      </c>
      <c r="S13" s="535">
        <f>T13+U13</f>
        <v>176107.33</v>
      </c>
      <c r="T13" s="535">
        <v>3761.42</v>
      </c>
      <c r="U13" s="733">
        <v>172345.90999999997</v>
      </c>
      <c r="V13" s="762">
        <f t="shared" ref="V13:V17" si="0">(G13-D13)/G13</f>
        <v>0.6800166301090993</v>
      </c>
      <c r="W13" s="763"/>
    </row>
    <row r="14" spans="2:23" s="503" customFormat="1" ht="17" x14ac:dyDescent="0.35">
      <c r="B14" s="534" t="s">
        <v>442</v>
      </c>
      <c r="C14" s="568" t="s">
        <v>441</v>
      </c>
      <c r="D14" s="595">
        <f>E14+F14</f>
        <v>178481</v>
      </c>
      <c r="E14" s="595">
        <v>18083</v>
      </c>
      <c r="F14" s="595">
        <v>160398</v>
      </c>
      <c r="G14" s="535">
        <f>H14+I14</f>
        <v>195176.27</v>
      </c>
      <c r="H14" s="535">
        <v>21689.24</v>
      </c>
      <c r="I14" s="535">
        <v>173487.03</v>
      </c>
      <c r="J14" s="535">
        <f>K14+L14</f>
        <v>202347.79</v>
      </c>
      <c r="K14" s="535">
        <v>21710.13</v>
      </c>
      <c r="L14" s="535">
        <v>180637.66</v>
      </c>
      <c r="M14" s="535">
        <f>N14+O14</f>
        <v>223642.5</v>
      </c>
      <c r="N14" s="535">
        <v>24704.94</v>
      </c>
      <c r="O14" s="535">
        <v>198937.56</v>
      </c>
      <c r="P14" s="535">
        <f>Q14+R14</f>
        <v>205942.86</v>
      </c>
      <c r="Q14" s="535">
        <v>29486.92</v>
      </c>
      <c r="R14" s="535">
        <v>176455.94</v>
      </c>
      <c r="S14" s="535">
        <f>T14+U14</f>
        <v>227469.08</v>
      </c>
      <c r="T14" s="535">
        <v>34440.620000000003</v>
      </c>
      <c r="U14" s="733">
        <v>193028.46</v>
      </c>
      <c r="V14" s="762">
        <f t="shared" si="0"/>
        <v>8.553944595826117E-2</v>
      </c>
      <c r="W14" s="763"/>
    </row>
    <row r="15" spans="2:23" s="503" customFormat="1" ht="17" x14ac:dyDescent="0.35">
      <c r="B15" s="536" t="s">
        <v>443</v>
      </c>
      <c r="C15" s="569" t="s">
        <v>444</v>
      </c>
      <c r="D15" s="595">
        <f>E15+F15</f>
        <v>246532.91</v>
      </c>
      <c r="E15" s="595">
        <f>E12+E13</f>
        <v>116260.91</v>
      </c>
      <c r="F15" s="595">
        <v>130272</v>
      </c>
      <c r="G15" s="535">
        <f>H15+I15</f>
        <v>281912.43</v>
      </c>
      <c r="H15" s="535">
        <v>103792.19</v>
      </c>
      <c r="I15" s="535">
        <v>178120.24</v>
      </c>
      <c r="J15" s="535">
        <f>K15+L15</f>
        <v>343933.38</v>
      </c>
      <c r="K15" s="535">
        <v>103107.98</v>
      </c>
      <c r="L15" s="535">
        <v>240825.40000000002</v>
      </c>
      <c r="M15" s="535">
        <f>N15+O15</f>
        <v>394113</v>
      </c>
      <c r="N15" s="535">
        <v>106187.32</v>
      </c>
      <c r="O15" s="535">
        <v>287925.68</v>
      </c>
      <c r="P15" s="535">
        <f>Q15+R15</f>
        <v>394979.57999999996</v>
      </c>
      <c r="Q15" s="535">
        <v>118536.85</v>
      </c>
      <c r="R15" s="535">
        <v>276442.73</v>
      </c>
      <c r="S15" s="535">
        <f>T15+U15</f>
        <v>404040.33</v>
      </c>
      <c r="T15" s="535">
        <v>114148.89</v>
      </c>
      <c r="U15" s="733">
        <v>289891.44</v>
      </c>
      <c r="V15" s="762">
        <f t="shared" si="0"/>
        <v>0.12549826199575517</v>
      </c>
      <c r="W15" s="763"/>
    </row>
    <row r="16" spans="2:23" s="503" customFormat="1" ht="17" x14ac:dyDescent="0.35">
      <c r="B16" s="534" t="s">
        <v>445</v>
      </c>
      <c r="C16" s="568" t="s">
        <v>441</v>
      </c>
      <c r="D16" s="595">
        <f>E16+F16</f>
        <v>403811</v>
      </c>
      <c r="E16" s="595">
        <v>133268</v>
      </c>
      <c r="F16" s="595">
        <v>270543</v>
      </c>
      <c r="G16" s="535">
        <f>H16+I16</f>
        <v>410823.35</v>
      </c>
      <c r="H16" s="535">
        <v>124846.44</v>
      </c>
      <c r="I16" s="535">
        <v>285976.90999999997</v>
      </c>
      <c r="J16" s="535">
        <f>K16+L16</f>
        <v>417513.63</v>
      </c>
      <c r="K16" s="535">
        <v>123794.52</v>
      </c>
      <c r="L16" s="535">
        <v>293719.11</v>
      </c>
      <c r="M16" s="535">
        <f>N16+O16</f>
        <v>449983.5</v>
      </c>
      <c r="N16" s="535">
        <v>129627.03</v>
      </c>
      <c r="O16" s="535">
        <v>320356.46999999997</v>
      </c>
      <c r="P16" s="535">
        <f>Q16+R16</f>
        <v>435092.42</v>
      </c>
      <c r="Q16" s="535">
        <v>144055.06</v>
      </c>
      <c r="R16" s="535">
        <v>291037.36</v>
      </c>
      <c r="S16" s="535">
        <f>T16+U16</f>
        <v>455402.07999999996</v>
      </c>
      <c r="T16" s="535">
        <v>144828.07999999999</v>
      </c>
      <c r="U16" s="733">
        <v>310574</v>
      </c>
      <c r="V16" s="762">
        <f t="shared" si="0"/>
        <v>1.7069015186210759E-2</v>
      </c>
      <c r="W16" s="763"/>
    </row>
    <row r="17" spans="2:23" s="503" customFormat="1" ht="32" x14ac:dyDescent="0.35">
      <c r="B17" s="536" t="s">
        <v>446</v>
      </c>
      <c r="C17" s="569" t="s">
        <v>1438</v>
      </c>
      <c r="D17" s="662">
        <v>2.518831582819077</v>
      </c>
      <c r="E17" s="709">
        <v>9.8000000000000007</v>
      </c>
      <c r="F17" s="709">
        <v>1.5</v>
      </c>
      <c r="G17" s="663">
        <v>2.685033716212355</v>
      </c>
      <c r="H17" s="737">
        <v>7.1808627369586278</v>
      </c>
      <c r="I17" s="737">
        <v>1.9673099182681686</v>
      </c>
      <c r="J17" s="737">
        <v>3.3209101442558371</v>
      </c>
      <c r="K17" s="737">
        <v>6.9292997311827955</v>
      </c>
      <c r="L17" s="737">
        <v>2.7154838418690663</v>
      </c>
      <c r="M17" s="737">
        <v>3.7216986477298484</v>
      </c>
      <c r="N17" s="737">
        <v>5.7451344478710169</v>
      </c>
      <c r="O17" s="737">
        <v>3.293854232208024</v>
      </c>
      <c r="P17" s="737">
        <v>3.8646195843606908</v>
      </c>
      <c r="Q17" s="737">
        <v>6.1073136173939924</v>
      </c>
      <c r="R17" s="737">
        <v>3.3388819373150551</v>
      </c>
      <c r="S17" s="737">
        <v>3.7166804341826882</v>
      </c>
      <c r="T17" s="737">
        <v>4.7015482515754359</v>
      </c>
      <c r="U17" s="738">
        <v>3.4334715921877037</v>
      </c>
      <c r="V17" s="764">
        <f t="shared" si="0"/>
        <v>6.1899458613775292E-2</v>
      </c>
      <c r="W17" s="763"/>
    </row>
    <row r="18" spans="2:23" s="503" customFormat="1" ht="15" x14ac:dyDescent="0.35">
      <c r="W18" s="763"/>
    </row>
    <row r="19" spans="2:23" s="503" customFormat="1" ht="15" x14ac:dyDescent="0.35">
      <c r="E19" s="765"/>
      <c r="F19" s="765"/>
      <c r="H19" s="765"/>
      <c r="I19" s="765"/>
      <c r="K19" s="765"/>
      <c r="L19" s="765"/>
      <c r="N19" s="765"/>
      <c r="O19" s="765"/>
      <c r="Q19" s="765"/>
      <c r="R19" s="765"/>
      <c r="T19" s="765"/>
      <c r="U19" s="765"/>
      <c r="V19" s="763"/>
      <c r="W19" s="763"/>
    </row>
    <row r="20" spans="2:23" s="503" customFormat="1" ht="15" x14ac:dyDescent="0.35">
      <c r="B20" s="1566" t="s">
        <v>448</v>
      </c>
      <c r="C20" s="1557" t="s">
        <v>430</v>
      </c>
      <c r="D20" s="1552" t="s">
        <v>431</v>
      </c>
      <c r="E20" s="1553"/>
      <c r="F20" s="1554"/>
      <c r="G20" s="1564" t="s">
        <v>432</v>
      </c>
      <c r="H20" s="1565"/>
      <c r="I20" s="1568"/>
      <c r="J20" s="1564" t="s">
        <v>433</v>
      </c>
      <c r="K20" s="1565"/>
      <c r="L20" s="1568"/>
      <c r="M20" s="1564" t="s">
        <v>434</v>
      </c>
      <c r="N20" s="1565"/>
      <c r="O20" s="1568"/>
      <c r="P20" s="1564" t="s">
        <v>435</v>
      </c>
      <c r="Q20" s="1565"/>
      <c r="R20" s="1568"/>
      <c r="S20" s="1564" t="s">
        <v>436</v>
      </c>
      <c r="T20" s="1565"/>
      <c r="U20" s="1565"/>
      <c r="V20" s="1555" t="s">
        <v>437</v>
      </c>
      <c r="W20" s="763"/>
    </row>
    <row r="21" spans="2:23" s="503" customFormat="1" ht="13.5" customHeight="1" x14ac:dyDescent="0.35">
      <c r="B21" s="1567"/>
      <c r="C21" s="1558"/>
      <c r="D21" s="760" t="s">
        <v>438</v>
      </c>
      <c r="E21" s="760" t="s">
        <v>439</v>
      </c>
      <c r="F21" s="760" t="s">
        <v>440</v>
      </c>
      <c r="G21" s="760" t="s">
        <v>438</v>
      </c>
      <c r="H21" s="760" t="s">
        <v>439</v>
      </c>
      <c r="I21" s="760" t="s">
        <v>440</v>
      </c>
      <c r="J21" s="760" t="s">
        <v>438</v>
      </c>
      <c r="K21" s="760" t="s">
        <v>439</v>
      </c>
      <c r="L21" s="760" t="s">
        <v>440</v>
      </c>
      <c r="M21" s="760" t="s">
        <v>438</v>
      </c>
      <c r="N21" s="760" t="s">
        <v>439</v>
      </c>
      <c r="O21" s="760" t="s">
        <v>440</v>
      </c>
      <c r="P21" s="760" t="s">
        <v>438</v>
      </c>
      <c r="Q21" s="760" t="s">
        <v>439</v>
      </c>
      <c r="R21" s="760" t="s">
        <v>440</v>
      </c>
      <c r="S21" s="760" t="s">
        <v>438</v>
      </c>
      <c r="T21" s="760" t="s">
        <v>439</v>
      </c>
      <c r="U21" s="761" t="s">
        <v>440</v>
      </c>
      <c r="V21" s="1555"/>
      <c r="W21" s="763"/>
    </row>
    <row r="22" spans="2:23" s="503" customFormat="1" ht="15" x14ac:dyDescent="0.35">
      <c r="B22" s="530" t="s">
        <v>449</v>
      </c>
      <c r="C22" s="570" t="s">
        <v>450</v>
      </c>
      <c r="D22" s="539">
        <f>F22+E22</f>
        <v>1126107.6223499998</v>
      </c>
      <c r="E22" s="539">
        <v>329650.70068000001</v>
      </c>
      <c r="F22" s="539">
        <v>796456.92166999984</v>
      </c>
      <c r="G22" s="531">
        <v>1206508</v>
      </c>
      <c r="H22" s="766">
        <v>348744</v>
      </c>
      <c r="I22" s="531">
        <f>G22-H22</f>
        <v>857764</v>
      </c>
      <c r="J22" s="531">
        <v>1203247</v>
      </c>
      <c r="K22" s="766">
        <v>337747.64269000001</v>
      </c>
      <c r="L22" s="531">
        <v>865498.97879999992</v>
      </c>
      <c r="M22" s="531">
        <v>1270929</v>
      </c>
      <c r="N22" s="766">
        <v>371400.67975000001</v>
      </c>
      <c r="O22" s="531">
        <v>899528.35901000001</v>
      </c>
      <c r="P22" s="531">
        <v>1199807</v>
      </c>
      <c r="Q22" s="766">
        <v>387584.09269000002</v>
      </c>
      <c r="R22" s="531">
        <v>812223.04309999989</v>
      </c>
      <c r="S22" s="531">
        <v>1231348</v>
      </c>
      <c r="T22" s="766">
        <v>375504.88628999999</v>
      </c>
      <c r="U22" s="734">
        <v>855843.34701999999</v>
      </c>
      <c r="V22" s="764">
        <f>(G22-D22)/G22</f>
        <v>6.6638909688124859E-2</v>
      </c>
      <c r="W22" s="767"/>
    </row>
    <row r="23" spans="2:23" s="503" customFormat="1" ht="15" x14ac:dyDescent="0.35">
      <c r="B23" s="530" t="s">
        <v>451</v>
      </c>
      <c r="C23" s="571" t="s">
        <v>452</v>
      </c>
      <c r="D23" s="540">
        <v>11.505455882953942</v>
      </c>
      <c r="E23" s="709">
        <v>27.8</v>
      </c>
      <c r="F23" s="709">
        <v>9.3000000000000007</v>
      </c>
      <c r="G23" s="739">
        <v>11.491209021467894</v>
      </c>
      <c r="H23" s="739">
        <v>24.1</v>
      </c>
      <c r="I23" s="739">
        <v>9.9</v>
      </c>
      <c r="J23" s="739">
        <v>11.61816619353842</v>
      </c>
      <c r="K23" s="739">
        <v>22.698094266801075</v>
      </c>
      <c r="L23" s="739">
        <v>9.7591387456870304</v>
      </c>
      <c r="M23" s="739">
        <v>12.001671451235174</v>
      </c>
      <c r="N23" s="739">
        <v>20.094177338635504</v>
      </c>
      <c r="O23" s="739">
        <v>10.290555855650762</v>
      </c>
      <c r="P23" s="739">
        <v>11.739335055379437</v>
      </c>
      <c r="Q23" s="739">
        <v>19.969297371837808</v>
      </c>
      <c r="R23" s="739">
        <v>9.8100494365601776</v>
      </c>
      <c r="S23" s="739">
        <v>11.326906448348819</v>
      </c>
      <c r="T23" s="739">
        <v>15.466241867045595</v>
      </c>
      <c r="U23" s="740">
        <v>10.136600857741824</v>
      </c>
      <c r="V23" s="764">
        <f t="shared" ref="V23" si="1">(G23-D23)/G23</f>
        <v>-1.239805268482428E-3</v>
      </c>
      <c r="W23" s="767"/>
    </row>
    <row r="24" spans="2:23" s="503" customFormat="1" ht="15" x14ac:dyDescent="0.35">
      <c r="D24" s="768"/>
      <c r="E24" s="769"/>
      <c r="F24" s="769"/>
      <c r="G24" s="768"/>
      <c r="I24" s="669"/>
      <c r="J24" s="770"/>
      <c r="K24" s="770"/>
      <c r="L24" s="770"/>
      <c r="M24" s="770"/>
      <c r="N24" s="770"/>
      <c r="O24" s="770"/>
      <c r="P24" s="770"/>
      <c r="Q24" s="770"/>
      <c r="R24" s="770"/>
      <c r="S24" s="770"/>
      <c r="T24" s="770"/>
      <c r="U24" s="770"/>
      <c r="V24" s="770"/>
    </row>
    <row r="25" spans="2:23" s="503" customFormat="1" ht="15" x14ac:dyDescent="0.35">
      <c r="E25" s="765"/>
      <c r="F25" s="765"/>
      <c r="H25" s="765"/>
      <c r="I25" s="771"/>
      <c r="J25" s="768"/>
      <c r="K25" s="765"/>
      <c r="L25" s="765"/>
      <c r="N25" s="765"/>
      <c r="O25" s="765"/>
      <c r="Q25" s="765"/>
      <c r="R25" s="765"/>
      <c r="T25" s="765"/>
      <c r="U25" s="765"/>
    </row>
    <row r="26" spans="2:23" s="503" customFormat="1" ht="15" x14ac:dyDescent="0.35">
      <c r="B26" s="1556" t="s">
        <v>453</v>
      </c>
      <c r="C26" s="1557" t="s">
        <v>430</v>
      </c>
      <c r="D26" s="1559" t="s">
        <v>431</v>
      </c>
      <c r="E26" s="1561" t="s">
        <v>432</v>
      </c>
      <c r="F26" s="1561" t="s">
        <v>433</v>
      </c>
      <c r="G26" s="1561" t="s">
        <v>434</v>
      </c>
      <c r="H26" s="1561" t="s">
        <v>435</v>
      </c>
    </row>
    <row r="27" spans="2:23" s="503" customFormat="1" ht="15" x14ac:dyDescent="0.35">
      <c r="B27" s="1556"/>
      <c r="C27" s="1558"/>
      <c r="D27" s="1560"/>
      <c r="E27" s="1562"/>
      <c r="F27" s="1562"/>
      <c r="G27" s="1562"/>
      <c r="H27" s="1562"/>
      <c r="I27" s="772"/>
      <c r="J27" s="772"/>
      <c r="K27" s="772"/>
      <c r="L27" s="772"/>
      <c r="M27" s="772"/>
      <c r="N27" s="772"/>
      <c r="O27" s="772"/>
      <c r="P27" s="772"/>
      <c r="Q27" s="772"/>
      <c r="R27" s="772"/>
    </row>
    <row r="28" spans="2:23" s="503" customFormat="1" ht="15" x14ac:dyDescent="0.35">
      <c r="B28" s="773" t="str">
        <f t="shared" ref="B28:D29" si="2">B22</f>
        <v>Total energy consumption</v>
      </c>
      <c r="C28" s="773" t="str">
        <f t="shared" si="2"/>
        <v>MWh</v>
      </c>
      <c r="D28" s="774">
        <f t="shared" si="2"/>
        <v>1126107.6223499998</v>
      </c>
      <c r="E28" s="775">
        <f>G22</f>
        <v>1206508</v>
      </c>
      <c r="F28" s="775">
        <f>J22</f>
        <v>1203247</v>
      </c>
      <c r="G28" s="775">
        <f>M22</f>
        <v>1270929</v>
      </c>
      <c r="H28" s="776">
        <f>P22</f>
        <v>1199807</v>
      </c>
    </row>
    <row r="29" spans="2:23" s="503" customFormat="1" ht="16.5" customHeight="1" x14ac:dyDescent="0.35">
      <c r="B29" s="773" t="str">
        <f t="shared" si="2"/>
        <v>Total energy efficiency</v>
      </c>
      <c r="C29" s="773" t="str">
        <f t="shared" si="2"/>
        <v>MWh/tonne</v>
      </c>
      <c r="D29" s="777">
        <f t="shared" si="2"/>
        <v>11.505455882953942</v>
      </c>
      <c r="E29" s="778">
        <f>G23</f>
        <v>11.491209021467894</v>
      </c>
      <c r="F29" s="778">
        <f>J23</f>
        <v>11.61816619353842</v>
      </c>
      <c r="G29" s="778">
        <f>M23</f>
        <v>12.001671451235174</v>
      </c>
      <c r="H29" s="778">
        <f>P23</f>
        <v>11.739335055379437</v>
      </c>
    </row>
    <row r="30" spans="2:23" s="503" customFormat="1" ht="17" x14ac:dyDescent="0.35">
      <c r="B30" s="773" t="str">
        <f>B15</f>
        <v>Total Scope 1 and 2 GHG emission (market-based)</v>
      </c>
      <c r="C30" s="568" t="s">
        <v>441</v>
      </c>
      <c r="D30" s="779">
        <f>D15</f>
        <v>246532.91</v>
      </c>
      <c r="E30" s="776">
        <f>G15</f>
        <v>281912.43</v>
      </c>
      <c r="F30" s="776">
        <f>J15</f>
        <v>343933.38</v>
      </c>
      <c r="G30" s="776">
        <f>M15</f>
        <v>394113</v>
      </c>
      <c r="H30" s="776">
        <f>P15</f>
        <v>394979.57999999996</v>
      </c>
    </row>
    <row r="31" spans="2:23" s="503" customFormat="1" ht="17" x14ac:dyDescent="0.35">
      <c r="B31" s="773" t="str">
        <f>B17</f>
        <v>Total Scope 1 and 2 carbon intensity (market-based)</v>
      </c>
      <c r="C31" s="568" t="s">
        <v>1439</v>
      </c>
      <c r="D31" s="780">
        <f>D17</f>
        <v>2.518831582819077</v>
      </c>
      <c r="E31" s="781">
        <f>G17</f>
        <v>2.685033716212355</v>
      </c>
      <c r="F31" s="781">
        <f>J17</f>
        <v>3.3209101442558371</v>
      </c>
      <c r="G31" s="781">
        <f>M17</f>
        <v>3.7216986477298484</v>
      </c>
      <c r="H31" s="781">
        <f>P17</f>
        <v>3.8646195843606908</v>
      </c>
    </row>
    <row r="32" spans="2:23" s="503" customFormat="1" ht="17" x14ac:dyDescent="0.35">
      <c r="B32" s="773" t="str">
        <f>Environment!B36</f>
        <v>Total Scope 3 (all categories) GHG emissions</v>
      </c>
      <c r="C32" s="568" t="s">
        <v>441</v>
      </c>
      <c r="D32" s="782">
        <f>Environment!D36</f>
        <v>3445486.0185479606</v>
      </c>
      <c r="E32" s="783">
        <f>Environment!E36</f>
        <v>3726800.7445285856</v>
      </c>
      <c r="F32" s="783">
        <f>Environment!F36</f>
        <v>3530148.8953033364</v>
      </c>
      <c r="G32" s="783">
        <f>Environment!G36</f>
        <v>3452287.5053755767</v>
      </c>
      <c r="H32" s="783">
        <f>Environment!H36</f>
        <v>3531785.1296996837</v>
      </c>
    </row>
    <row r="33" spans="5:7" ht="20.5" customHeight="1" x14ac:dyDescent="0.35">
      <c r="G33" s="720"/>
    </row>
    <row r="36" spans="5:7" x14ac:dyDescent="0.35">
      <c r="E36" s="735"/>
      <c r="F36" s="736"/>
      <c r="G36" s="736"/>
    </row>
    <row r="37" spans="5:7" x14ac:dyDescent="0.35">
      <c r="E37" s="736"/>
      <c r="G37" s="736"/>
    </row>
    <row r="38" spans="5:7" x14ac:dyDescent="0.35">
      <c r="F38" s="736"/>
      <c r="G38" s="736"/>
    </row>
  </sheetData>
  <sheetProtection algorithmName="SHA-512" hashValue="xW343FdC+CsiwKDbjfEj9WWeXhPHkQ/297iRFAVrv6xUPSVQt5k/PCndjh1EPgRBcbWvyQMerX5dFilAJtO8DA==" saltValue="WsNSiQLxcRdCZc0YhOMrog==" spinCount="100000" sheet="1" objects="1" scenarios="1"/>
  <mergeCells count="26">
    <mergeCell ref="B4:R6"/>
    <mergeCell ref="S10:U10"/>
    <mergeCell ref="B20:B21"/>
    <mergeCell ref="C20:C21"/>
    <mergeCell ref="G20:I20"/>
    <mergeCell ref="J20:L20"/>
    <mergeCell ref="M20:O20"/>
    <mergeCell ref="P20:R20"/>
    <mergeCell ref="S20:U20"/>
    <mergeCell ref="B10:B11"/>
    <mergeCell ref="C10:C11"/>
    <mergeCell ref="G10:I10"/>
    <mergeCell ref="J10:L10"/>
    <mergeCell ref="M10:O10"/>
    <mergeCell ref="P10:R10"/>
    <mergeCell ref="D10:F10"/>
    <mergeCell ref="D20:F20"/>
    <mergeCell ref="V10:V11"/>
    <mergeCell ref="V20:V21"/>
    <mergeCell ref="B26:B27"/>
    <mergeCell ref="C26:C27"/>
    <mergeCell ref="D26:D27"/>
    <mergeCell ref="E26:E27"/>
    <mergeCell ref="F26:F27"/>
    <mergeCell ref="G26:G27"/>
    <mergeCell ref="H26:H27"/>
  </mergeCells>
  <phoneticPr fontId="3" type="noConversion"/>
  <pageMargins left="0.70866141732283472" right="0.70866141732283472" top="0.74803149606299213" bottom="0.74803149606299213" header="0.31496062992125984" footer="0.31496062992125984"/>
  <pageSetup paperSize="9" scale="8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326A464BC14C4EB3B5F37AC7745352" ma:contentTypeVersion="12" ma:contentTypeDescription="Create a new document." ma:contentTypeScope="" ma:versionID="c167dd66ca3ddc8afb9bcd82f818eaa8">
  <xsd:schema xmlns:xsd="http://www.w3.org/2001/XMLSchema" xmlns:xs="http://www.w3.org/2001/XMLSchema" xmlns:p="http://schemas.microsoft.com/office/2006/metadata/properties" xmlns:ns2="2dc667c4-149b-475d-931d-57dacbd44eb1" xmlns:ns3="a4c58c2a-c055-4d84-892f-b379b4479c88" targetNamespace="http://schemas.microsoft.com/office/2006/metadata/properties" ma:root="true" ma:fieldsID="a71f3790b1bac85c9c28872d02bdd907" ns2:_="" ns3:_="">
    <xsd:import namespace="2dc667c4-149b-475d-931d-57dacbd44eb1"/>
    <xsd:import namespace="a4c58c2a-c055-4d84-892f-b379b4479c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667c4-149b-475d-931d-57dacbd44e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c58c2a-c055-4d84-892f-b379b4479c8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4838c-41a4-4d62-9c1a-791edf4a8168}" ma:internalName="TaxCatchAll" ma:showField="CatchAllData" ma:web="a4c58c2a-c055-4d84-892f-b379b4479c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c667c4-149b-475d-931d-57dacbd44eb1">
      <Terms xmlns="http://schemas.microsoft.com/office/infopath/2007/PartnerControls"/>
    </lcf76f155ced4ddcb4097134ff3c332f>
    <TaxCatchAll xmlns="a4c58c2a-c055-4d84-892f-b379b4479c88" xsi:nil="true"/>
  </documentManagement>
</p:properties>
</file>

<file path=customXml/itemProps1.xml><?xml version="1.0" encoding="utf-8"?>
<ds:datastoreItem xmlns:ds="http://schemas.openxmlformats.org/officeDocument/2006/customXml" ds:itemID="{47EAA61E-8633-454A-9578-38005D3BD72C}">
  <ds:schemaRefs>
    <ds:schemaRef ds:uri="http://schemas.microsoft.com/sharepoint/v3/contenttype/forms"/>
  </ds:schemaRefs>
</ds:datastoreItem>
</file>

<file path=customXml/itemProps2.xml><?xml version="1.0" encoding="utf-8"?>
<ds:datastoreItem xmlns:ds="http://schemas.openxmlformats.org/officeDocument/2006/customXml" ds:itemID="{EB89B8F5-0A23-4CE4-B37A-1F738C5C1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667c4-149b-475d-931d-57dacbd44eb1"/>
    <ds:schemaRef ds:uri="a4c58c2a-c055-4d84-892f-b379b4479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1BA9B-8476-4E9B-98B4-E64B30113A62}">
  <ds:schemaRefs>
    <ds:schemaRef ds:uri="2dc667c4-149b-475d-931d-57dacbd44eb1"/>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a4c58c2a-c055-4d84-892f-b379b4479c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18</vt:i4>
      </vt:variant>
    </vt:vector>
  </HeadingPairs>
  <TitlesOfParts>
    <vt:vector size="41" baseType="lpstr">
      <vt:lpstr>Cover</vt:lpstr>
      <vt:lpstr>Home</vt:lpstr>
      <vt:lpstr>Contents</vt:lpstr>
      <vt:lpstr>Material Topics</vt:lpstr>
      <vt:lpstr>GRI Content index in accordance</vt:lpstr>
      <vt:lpstr>SASB Index</vt:lpstr>
      <vt:lpstr>TCFD Compliance Table</vt:lpstr>
      <vt:lpstr>PAI statement</vt:lpstr>
      <vt:lpstr>UK SECR</vt:lpstr>
      <vt:lpstr>ERM CVS assured metrics</vt:lpstr>
      <vt:lpstr>2030 targets</vt:lpstr>
      <vt:lpstr>UN SDGs</vt:lpstr>
      <vt:lpstr>Environment</vt:lpstr>
      <vt:lpstr>Environment (pre-divest Data)</vt:lpstr>
      <vt:lpstr>People</vt:lpstr>
      <vt:lpstr>Health and Safety</vt:lpstr>
      <vt:lpstr>Ethics and Compliance</vt:lpstr>
      <vt:lpstr>Community Investment</vt:lpstr>
      <vt:lpstr>Responsible Sourcing</vt:lpstr>
      <vt:lpstr>Product Stewardship</vt:lpstr>
      <vt:lpstr>Basis of Reporting</vt:lpstr>
      <vt:lpstr>Environment (original)</vt:lpstr>
      <vt:lpstr>People (Internal)</vt:lpstr>
      <vt:lpstr>'2030 targets'!Print_Area</vt:lpstr>
      <vt:lpstr>'Community Investment'!Print_Area</vt:lpstr>
      <vt:lpstr>Contents!Print_Area</vt:lpstr>
      <vt:lpstr>Cover!Print_Area</vt:lpstr>
      <vt:lpstr>Environment!Print_Area</vt:lpstr>
      <vt:lpstr>'ERM CVS assured metrics'!Print_Area</vt:lpstr>
      <vt:lpstr>'Ethics and Compliance'!Print_Area</vt:lpstr>
      <vt:lpstr>'GRI Content index in accordance'!Print_Area</vt:lpstr>
      <vt:lpstr>'Health and Safety'!Print_Area</vt:lpstr>
      <vt:lpstr>Home!Print_Area</vt:lpstr>
      <vt:lpstr>'Material Topics'!Print_Area</vt:lpstr>
      <vt:lpstr>'PAI statement'!Print_Area</vt:lpstr>
      <vt:lpstr>People!Print_Area</vt:lpstr>
      <vt:lpstr>'Product Stewardship'!Print_Area</vt:lpstr>
      <vt:lpstr>'Responsible Sourcing'!Print_Area</vt:lpstr>
      <vt:lpstr>'SASB Index'!Print_Area</vt:lpstr>
      <vt:lpstr>'TCFD Compliance Table'!Print_Area</vt:lpstr>
      <vt:lpstr>'UK SECR'!Print_Area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Gayner</dc:creator>
  <cp:keywords/>
  <dc:description/>
  <cp:lastModifiedBy>Xin Ngfat</cp:lastModifiedBy>
  <cp:revision/>
  <dcterms:created xsi:type="dcterms:W3CDTF">2022-08-26T08:41:21Z</dcterms:created>
  <dcterms:modified xsi:type="dcterms:W3CDTF">2025-07-28T12:27:10Z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2022-08-30T17:25:58Z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ed44937c-fb3e-4020-aa7b-34a0e87db4fb</vt:lpwstr>
  </property>
  <property fmtid="{D5CDD505-2E9C-101B-9397-08002B2CF9AE}" pid="8" name="MSIP_Label_8ffbc0b8-e97b-47d1-beac-cb0955d66f3b_ContentBits">
    <vt:lpwstr>2</vt:lpwstr>
  </property>
  <property fmtid="{D5CDD505-2E9C-101B-9397-08002B2CF9AE}" pid="9" name="MSIP_Label_4e511531-3b62-4ad0-a3e4-a04202c385ac_Enabled">
    <vt:lpwstr>true</vt:lpwstr>
  </property>
  <property fmtid="{D5CDD505-2E9C-101B-9397-08002B2CF9AE}" pid="10" name="MSIP_Label_4e511531-3b62-4ad0-a3e4-a04202c385ac_SetDate">
    <vt:lpwstr>2023-03-10T09:51:16Z</vt:lpwstr>
  </property>
  <property fmtid="{D5CDD505-2E9C-101B-9397-08002B2CF9AE}" pid="11" name="MSIP_Label_4e511531-3b62-4ad0-a3e4-a04202c385ac_Method">
    <vt:lpwstr>Standard</vt:lpwstr>
  </property>
  <property fmtid="{D5CDD505-2E9C-101B-9397-08002B2CF9AE}" pid="12" name="MSIP_Label_4e511531-3b62-4ad0-a3e4-a04202c385ac_Name">
    <vt:lpwstr>4e511531-3b62-4ad0-a3e4-a04202c385ac</vt:lpwstr>
  </property>
  <property fmtid="{D5CDD505-2E9C-101B-9397-08002B2CF9AE}" pid="13" name="MSIP_Label_4e511531-3b62-4ad0-a3e4-a04202c385ac_SiteId">
    <vt:lpwstr>cc7f83dd-bc5a-4682-9b3e-062a900202a2</vt:lpwstr>
  </property>
  <property fmtid="{D5CDD505-2E9C-101B-9397-08002B2CF9AE}" pid="14" name="MSIP_Label_4e511531-3b62-4ad0-a3e4-a04202c385ac_ActionId">
    <vt:lpwstr>ce526ce4-865d-46b9-a3ad-20f5fb347403</vt:lpwstr>
  </property>
  <property fmtid="{D5CDD505-2E9C-101B-9397-08002B2CF9AE}" pid="15" name="MSIP_Label_4e511531-3b62-4ad0-a3e4-a04202c385ac_ContentBits">
    <vt:lpwstr>0</vt:lpwstr>
  </property>
  <property fmtid="{D5CDD505-2E9C-101B-9397-08002B2CF9AE}" pid="16" name="ContentTypeId">
    <vt:lpwstr>0x0101001A326A464BC14C4EB3B5F37AC7745352</vt:lpwstr>
  </property>
  <property fmtid="{D5CDD505-2E9C-101B-9397-08002B2CF9AE}" pid="17" name="MediaServiceImageTags">
    <vt:lpwstr/>
  </property>
</Properties>
</file>