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4.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drawings/drawing15.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xml"/>
  <Override PartName="/xl/comments7.xml" ContentType="application/vnd.openxmlformats-officedocument.spreadsheetml.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8.xml" ContentType="application/vnd.openxmlformats-officedocument.drawing+xml"/>
  <Override PartName="/xl/comments8.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comments9.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omments10.xml" ContentType="application/vnd.openxmlformats-officedocument.spreadsheetml.comments+xml"/>
  <Override PartName="/xl/threadedComments/threadedComment2.xml" ContentType="application/vnd.ms-excel.threaded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3.xml" ContentType="application/vnd.openxmlformats-officedocument.drawing+xml"/>
  <Override PartName="/xl/comments11.xml" ContentType="application/vnd.openxmlformats-officedocument.spreadsheetml.comments+xml"/>
  <Override PartName="/xl/threadedComments/threadedComment3.xml" ContentType="application/vnd.ms-excel.threadedcomment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myjm.sharepoint.com/sites/GRP-GBCO-2026JMAnnualReport/Shared Documents/Sustainability/Sustainability Performance Databook/Website version/"/>
    </mc:Choice>
  </mc:AlternateContent>
  <xr:revisionPtr revIDLastSave="135" documentId="8_{A9090445-CBAC-4601-A68B-A4BB69A558A8}" xr6:coauthVersionLast="47" xr6:coauthVersionMax="47" xr10:uidLastSave="{1E54C985-A6E6-44B9-B92E-27109A87A1F2}"/>
  <workbookProtection workbookAlgorithmName="SHA-512" workbookHashValue="7ssDqFjmv6liQe7SxLnTxXpQ5ctFSWD7t6EumbvRmz1gs9iOsnqfGyIS1apXxYJlzZyqKVxBeNy2J83oUW+FdQ==" workbookSaltValue="QgCDI/P3p/RFLBEX45hCKw==" workbookSpinCount="100000" lockStructure="1"/>
  <bookViews>
    <workbookView xWindow="50280" yWindow="-120" windowWidth="21840" windowHeight="13020" tabRatio="889" xr2:uid="{9A61AC86-E372-4067-B61F-247E7F3B60FB}"/>
  </bookViews>
  <sheets>
    <sheet name="Cover" sheetId="5" r:id="rId1"/>
    <sheet name="Home" sheetId="4" r:id="rId2"/>
    <sheet name="Contents" sheetId="37" r:id="rId3"/>
    <sheet name="Material Topics" sheetId="20" r:id="rId4"/>
    <sheet name="GRI Content index in accordance" sheetId="15" r:id="rId5"/>
    <sheet name="TCFD Compliance Table" sheetId="12" r:id="rId6"/>
    <sheet name="SASB Index" sheetId="13" r:id="rId7"/>
    <sheet name="PAI statement" sheetId="2" r:id="rId8"/>
    <sheet name="UK SECR" sheetId="28" r:id="rId9"/>
    <sheet name="UN SDGs" sheetId="29" r:id="rId10"/>
    <sheet name="ERM CVS assured metrics" sheetId="18" r:id="rId11"/>
    <sheet name="2030 targets" sheetId="19" r:id="rId12"/>
    <sheet name="Environment" sheetId="36" r:id="rId13"/>
    <sheet name="Environment (pre-divest Data)" sheetId="3" state="hidden" r:id="rId14"/>
    <sheet name="Health and Safety" sheetId="6" r:id="rId15"/>
    <sheet name="Ethics and Compliance" sheetId="10" r:id="rId16"/>
    <sheet name="People" sheetId="35" r:id="rId17"/>
    <sheet name="Community Investment" sheetId="8" r:id="rId18"/>
    <sheet name="Product Stewardship" sheetId="32" r:id="rId19"/>
    <sheet name="Responsible Sourcing" sheetId="16" r:id="rId20"/>
    <sheet name="Basis of Reporting" sheetId="30" r:id="rId21"/>
    <sheet name="Environment (original)" sheetId="14" state="hidden" r:id="rId22"/>
    <sheet name="People (Internal)" sheetId="22" state="hidden" r:id="rId23"/>
  </sheets>
  <definedNames>
    <definedName name="_xlnm.Print_Area" localSheetId="11">'2030 targets'!$B$2:$T$14</definedName>
    <definedName name="_xlnm.Print_Area" localSheetId="20">'Basis of Reporting'!$B$2:$D$117</definedName>
    <definedName name="_xlnm.Print_Area" localSheetId="17">'Community Investment'!$B$2:$K$42</definedName>
    <definedName name="_xlnm.Print_Area" localSheetId="2">Contents!$A$1:$E$21</definedName>
    <definedName name="_xlnm.Print_Area" localSheetId="0">Cover!$A$1:$P$34</definedName>
    <definedName name="_xlnm.Print_Area" localSheetId="12">Environment!$B$2:$L$179</definedName>
    <definedName name="_xlnm.Print_Area" localSheetId="10">'ERM CVS assured metrics'!$B$2:$E$55</definedName>
    <definedName name="_xlnm.Print_Area" localSheetId="15">'Ethics and Compliance'!$B$2:$U$39</definedName>
    <definedName name="_xlnm.Print_Area" localSheetId="4">'GRI Content index in accordance'!$B$2:$I$249</definedName>
    <definedName name="_xlnm.Print_Area" localSheetId="14">'Health and Safety'!$B$2:$Q$39</definedName>
    <definedName name="_xlnm.Print_Area" localSheetId="1">Home!$A$2:$K$23</definedName>
    <definedName name="_xlnm.Print_Area" localSheetId="3">'Material Topics'!$B$2:$Q$17</definedName>
    <definedName name="_xlnm.Print_Area" localSheetId="7">'PAI statement'!$B$2:$H$27</definedName>
    <definedName name="_xlnm.Print_Area" localSheetId="16">People!$A$1:$AD$268</definedName>
    <definedName name="_xlnm.Print_Area" localSheetId="18">'Product Stewardship'!$B$2:$N$27</definedName>
    <definedName name="_xlnm.Print_Area" localSheetId="19">'Responsible Sourcing'!$B$2:$K$41</definedName>
    <definedName name="_xlnm.Print_Area" localSheetId="6">'SASB Index'!$B$2:$F$39</definedName>
    <definedName name="_xlnm.Print_Area" localSheetId="5">'TCFD Compliance Table'!$B$2:$E$21</definedName>
    <definedName name="_xlnm.Print_Area" localSheetId="8">'UK SECR'!$B$1:$Y$32</definedName>
    <definedName name="_xlnm.Print_Area" localSheetId="9">'UN SDGs'!$B$2:$H$42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8" l="1"/>
  <c r="E165" i="35" l="1"/>
  <c r="E168" i="35"/>
  <c r="E162" i="35"/>
  <c r="D21" i="8" l="1"/>
  <c r="H16" i="36"/>
  <c r="F16" i="36"/>
  <c r="J15" i="36"/>
  <c r="F15" i="36"/>
  <c r="E15" i="36"/>
  <c r="D15" i="36"/>
  <c r="D14" i="36"/>
  <c r="D16" i="36" s="1"/>
  <c r="I14" i="36"/>
  <c r="I16" i="36" s="1"/>
  <c r="J14" i="36"/>
  <c r="J16" i="36" s="1"/>
  <c r="H14" i="36"/>
  <c r="F14" i="36"/>
  <c r="O7" i="19" s="1"/>
  <c r="G14" i="36"/>
  <c r="R7" i="19" s="1"/>
  <c r="E14" i="36"/>
  <c r="L7" i="19" s="1"/>
  <c r="I15" i="36"/>
  <c r="H15" i="36"/>
  <c r="G15" i="36"/>
  <c r="L77" i="36"/>
  <c r="K48" i="36"/>
  <c r="L48" i="36"/>
  <c r="E157" i="36"/>
  <c r="D114" i="36"/>
  <c r="H150" i="36"/>
  <c r="I150" i="36"/>
  <c r="J150" i="36"/>
  <c r="F150" i="36"/>
  <c r="G150" i="36"/>
  <c r="E150" i="36"/>
  <c r="H20" i="2"/>
  <c r="H10" i="2"/>
  <c r="H9" i="2"/>
  <c r="D44" i="18"/>
  <c r="K16" i="8"/>
  <c r="K12" i="8"/>
  <c r="K13" i="8"/>
  <c r="K14" i="8"/>
  <c r="K15" i="8"/>
  <c r="K11" i="8"/>
  <c r="K8" i="8"/>
  <c r="K7" i="8"/>
  <c r="E16" i="36" l="1"/>
  <c r="G16" i="36"/>
  <c r="I7" i="19"/>
  <c r="E41" i="36"/>
  <c r="Q39" i="36"/>
  <c r="I8" i="19"/>
  <c r="D176" i="36"/>
  <c r="F57" i="36" l="1"/>
  <c r="G57" i="36"/>
  <c r="H57" i="36"/>
  <c r="I57" i="36"/>
  <c r="J57" i="36"/>
  <c r="E57" i="36"/>
  <c r="G22" i="28"/>
  <c r="E28" i="28"/>
  <c r="E17" i="28"/>
  <c r="X22" i="6"/>
  <c r="X29" i="6"/>
  <c r="D47" i="18"/>
  <c r="D45" i="18"/>
  <c r="D46" i="18"/>
  <c r="D42" i="18"/>
  <c r="D43" i="18"/>
  <c r="D41" i="18"/>
  <c r="D39" i="18"/>
  <c r="D38" i="18"/>
  <c r="D37" i="18"/>
  <c r="D36" i="18"/>
  <c r="D35" i="18"/>
  <c r="D34" i="18"/>
  <c r="D33" i="18"/>
  <c r="D32" i="18"/>
  <c r="D30" i="18"/>
  <c r="D29" i="18"/>
  <c r="D28" i="18"/>
  <c r="D27" i="18"/>
  <c r="D26" i="18"/>
  <c r="D25" i="18"/>
  <c r="D24" i="18"/>
  <c r="D23" i="18"/>
  <c r="K161" i="36"/>
  <c r="L132" i="36"/>
  <c r="L131" i="36"/>
  <c r="L130" i="36"/>
  <c r="L129" i="36"/>
  <c r="L128" i="36"/>
  <c r="L127" i="36"/>
  <c r="K127" i="36"/>
  <c r="L119" i="36"/>
  <c r="L120" i="36"/>
  <c r="L121" i="36"/>
  <c r="L122" i="36"/>
  <c r="L118" i="36"/>
  <c r="K118" i="36"/>
  <c r="K128" i="36"/>
  <c r="L109" i="36"/>
  <c r="L108" i="36"/>
  <c r="K109" i="36"/>
  <c r="K108" i="36"/>
  <c r="L100" i="36"/>
  <c r="L97" i="36"/>
  <c r="L92" i="36"/>
  <c r="L94" i="36"/>
  <c r="L96" i="36"/>
  <c r="L90" i="36"/>
  <c r="K100" i="36"/>
  <c r="K97" i="36"/>
  <c r="K96" i="36"/>
  <c r="K94" i="36"/>
  <c r="K92" i="36"/>
  <c r="K90" i="36"/>
  <c r="D22" i="18"/>
  <c r="D21" i="18"/>
  <c r="D19" i="18"/>
  <c r="D18" i="18"/>
  <c r="K162" i="36"/>
  <c r="K163" i="36"/>
  <c r="D111" i="36"/>
  <c r="D110" i="36"/>
  <c r="L110" i="36" s="1"/>
  <c r="K76" i="36"/>
  <c r="K72" i="36"/>
  <c r="K82" i="36"/>
  <c r="K81" i="36"/>
  <c r="L72" i="36"/>
  <c r="K73" i="36"/>
  <c r="K56" i="36"/>
  <c r="K54" i="36"/>
  <c r="D57" i="36"/>
  <c r="D55" i="36"/>
  <c r="D23" i="28" s="1"/>
  <c r="Y23" i="28" s="1"/>
  <c r="K28" i="36"/>
  <c r="K19" i="36"/>
  <c r="D36" i="36"/>
  <c r="D35" i="36"/>
  <c r="D34" i="36"/>
  <c r="E55" i="36"/>
  <c r="E114" i="36"/>
  <c r="L73" i="36"/>
  <c r="L74" i="36"/>
  <c r="L75" i="36"/>
  <c r="L76" i="36"/>
  <c r="L79" i="36"/>
  <c r="L80" i="36"/>
  <c r="L81" i="36"/>
  <c r="L82" i="36"/>
  <c r="K80" i="36"/>
  <c r="K79" i="36"/>
  <c r="K78" i="36"/>
  <c r="K77" i="36"/>
  <c r="K75" i="36"/>
  <c r="K74" i="36"/>
  <c r="L19" i="36"/>
  <c r="L15" i="36"/>
  <c r="L14" i="36"/>
  <c r="L13" i="36"/>
  <c r="L12" i="36"/>
  <c r="L11" i="36"/>
  <c r="K15" i="36"/>
  <c r="K14" i="36"/>
  <c r="K13" i="36"/>
  <c r="K12" i="36"/>
  <c r="K11" i="36"/>
  <c r="F23" i="28"/>
  <c r="E23" i="28"/>
  <c r="D42" i="36" l="1"/>
  <c r="H11" i="2"/>
  <c r="K57" i="36"/>
  <c r="K55" i="36"/>
  <c r="K110" i="36"/>
  <c r="D20" i="18"/>
  <c r="D32" i="28"/>
  <c r="F22" i="28"/>
  <c r="D13" i="28"/>
  <c r="D14" i="28"/>
  <c r="D15" i="28"/>
  <c r="D16" i="28"/>
  <c r="D12" i="28"/>
  <c r="Y12" i="28" s="1"/>
  <c r="D12" i="18"/>
  <c r="D17" i="18"/>
  <c r="D16" i="18"/>
  <c r="D15" i="18"/>
  <c r="D14" i="18"/>
  <c r="G121" i="35"/>
  <c r="D11" i="18"/>
  <c r="D10" i="18"/>
  <c r="D9" i="18"/>
  <c r="D8" i="18"/>
  <c r="K131" i="36"/>
  <c r="K130" i="36"/>
  <c r="K129" i="36"/>
  <c r="K132" i="36"/>
  <c r="I11" i="19"/>
  <c r="F10" i="19"/>
  <c r="F111" i="36"/>
  <c r="G111" i="36"/>
  <c r="H111" i="36"/>
  <c r="I111" i="36"/>
  <c r="J111" i="36"/>
  <c r="E111" i="36"/>
  <c r="D124" i="36"/>
  <c r="F12" i="28" l="1"/>
  <c r="D17" i="28"/>
  <c r="K16" i="36"/>
  <c r="F14" i="28"/>
  <c r="Y14" i="28"/>
  <c r="F15" i="28"/>
  <c r="F17" i="28" s="1"/>
  <c r="Y15" i="28"/>
  <c r="F13" i="28"/>
  <c r="Y13" i="28"/>
  <c r="F16" i="28"/>
  <c r="Y16" i="28"/>
  <c r="D31" i="18"/>
  <c r="L124" i="36"/>
  <c r="K119" i="36"/>
  <c r="K120" i="36"/>
  <c r="K121" i="36"/>
  <c r="K122" i="36"/>
  <c r="K124" i="36"/>
  <c r="D41" i="36"/>
  <c r="D39" i="36"/>
  <c r="D40" i="36"/>
  <c r="L26" i="36"/>
  <c r="L23" i="36"/>
  <c r="K23" i="36"/>
  <c r="K27" i="36"/>
  <c r="K20" i="36"/>
  <c r="L20" i="36"/>
  <c r="K21" i="36"/>
  <c r="L21" i="36"/>
  <c r="K22" i="36"/>
  <c r="L22" i="36"/>
  <c r="K24" i="36"/>
  <c r="L24" i="36"/>
  <c r="K25" i="36"/>
  <c r="L25" i="36"/>
  <c r="K26" i="36"/>
  <c r="L28" i="36"/>
  <c r="K30" i="36"/>
  <c r="L30" i="36"/>
  <c r="K31" i="36"/>
  <c r="L31" i="36"/>
  <c r="K33" i="36"/>
  <c r="L33" i="36"/>
  <c r="D43" i="36" l="1"/>
  <c r="K41" i="36"/>
  <c r="R8" i="19"/>
  <c r="O8" i="19"/>
  <c r="L8" i="19"/>
  <c r="F9" i="35"/>
  <c r="L30" i="6"/>
  <c r="L23" i="6"/>
  <c r="L24" i="6"/>
  <c r="L25" i="6"/>
  <c r="L26" i="6"/>
  <c r="L27" i="6"/>
  <c r="L28" i="6"/>
  <c r="L29" i="6"/>
  <c r="L31" i="6"/>
  <c r="L32" i="6"/>
  <c r="L22" i="6"/>
  <c r="H26" i="8"/>
  <c r="F26" i="8"/>
  <c r="H22" i="8"/>
  <c r="H23" i="8"/>
  <c r="H24" i="8"/>
  <c r="H21" i="8"/>
  <c r="F22" i="8"/>
  <c r="F23" i="8"/>
  <c r="F24" i="8"/>
  <c r="F21" i="8"/>
  <c r="D22" i="8"/>
  <c r="D23" i="8"/>
  <c r="D24" i="8"/>
  <c r="D25" i="8"/>
  <c r="D26" i="8"/>
  <c r="H13" i="19"/>
  <c r="E9" i="35"/>
  <c r="D44" i="36" l="1"/>
  <c r="H12" i="2"/>
  <c r="D45" i="36"/>
  <c r="H14" i="2" s="1"/>
  <c r="T13" i="19"/>
  <c r="Q13" i="19"/>
  <c r="N13" i="19"/>
  <c r="R10" i="19"/>
  <c r="T10" i="19" s="1"/>
  <c r="O10" i="19"/>
  <c r="L10" i="19"/>
  <c r="N10" i="19" s="1"/>
  <c r="I10" i="19"/>
  <c r="K10" i="19" s="1"/>
  <c r="G10" i="19"/>
  <c r="H10" i="19" s="1"/>
  <c r="F7" i="19"/>
  <c r="G7" i="19" s="1"/>
  <c r="F8" i="19"/>
  <c r="J157" i="36"/>
  <c r="I157" i="36"/>
  <c r="H157" i="36"/>
  <c r="G157" i="36"/>
  <c r="F157" i="36"/>
  <c r="J123" i="36"/>
  <c r="L123" i="36" s="1"/>
  <c r="I123" i="36"/>
  <c r="H123" i="36"/>
  <c r="G123" i="36"/>
  <c r="F123" i="36"/>
  <c r="E123" i="36"/>
  <c r="K123" i="36" s="1"/>
  <c r="L88" i="36"/>
  <c r="L116" i="36" s="1"/>
  <c r="K88" i="36"/>
  <c r="K160" i="36" s="1"/>
  <c r="L71" i="36"/>
  <c r="K71" i="36"/>
  <c r="J69" i="36"/>
  <c r="I69" i="36"/>
  <c r="H69" i="36"/>
  <c r="G69" i="36"/>
  <c r="I68" i="36"/>
  <c r="H68" i="36"/>
  <c r="G68" i="36"/>
  <c r="L68" i="36" s="1"/>
  <c r="J67" i="36"/>
  <c r="I67" i="36"/>
  <c r="H67" i="36"/>
  <c r="G67" i="36"/>
  <c r="J66" i="36"/>
  <c r="I66" i="36"/>
  <c r="H66" i="36"/>
  <c r="G66" i="36"/>
  <c r="J65" i="36"/>
  <c r="I65" i="36"/>
  <c r="H65" i="36"/>
  <c r="G65" i="36"/>
  <c r="J64" i="36"/>
  <c r="I64" i="36"/>
  <c r="H64" i="36"/>
  <c r="G64" i="36"/>
  <c r="J63" i="36"/>
  <c r="I63" i="36"/>
  <c r="H63" i="36"/>
  <c r="G63" i="36"/>
  <c r="J62" i="36"/>
  <c r="I62" i="36"/>
  <c r="H62" i="36"/>
  <c r="G62" i="36"/>
  <c r="J61" i="36"/>
  <c r="I61" i="36"/>
  <c r="H61" i="36"/>
  <c r="G61" i="36"/>
  <c r="J55" i="36"/>
  <c r="I55" i="36"/>
  <c r="H55" i="36"/>
  <c r="G55" i="36"/>
  <c r="F55" i="36"/>
  <c r="B42" i="36"/>
  <c r="N42" i="36" s="1"/>
  <c r="J41" i="36"/>
  <c r="L41" i="36" s="1"/>
  <c r="I41" i="36"/>
  <c r="H41" i="36"/>
  <c r="G41" i="36"/>
  <c r="F41" i="36"/>
  <c r="B41" i="36"/>
  <c r="N41" i="36" s="1"/>
  <c r="J40" i="36"/>
  <c r="L40" i="36" s="1"/>
  <c r="I40" i="36"/>
  <c r="H40" i="36"/>
  <c r="G40" i="36"/>
  <c r="F40" i="36"/>
  <c r="E40" i="36"/>
  <c r="K40" i="36" s="1"/>
  <c r="B40" i="36"/>
  <c r="N40" i="36" s="1"/>
  <c r="J39" i="36"/>
  <c r="L39" i="36" s="1"/>
  <c r="I39" i="36"/>
  <c r="H39" i="36"/>
  <c r="G39" i="36"/>
  <c r="F39" i="36"/>
  <c r="E39" i="36"/>
  <c r="K39" i="36" s="1"/>
  <c r="B39" i="36"/>
  <c r="N39" i="36" s="1"/>
  <c r="J38" i="36"/>
  <c r="J168" i="36" s="1"/>
  <c r="I38" i="36"/>
  <c r="I168" i="36" s="1"/>
  <c r="H38" i="36"/>
  <c r="H168" i="36" s="1"/>
  <c r="G38" i="36"/>
  <c r="G168" i="36" s="1"/>
  <c r="J36" i="36"/>
  <c r="J42" i="36" s="1"/>
  <c r="I36" i="36"/>
  <c r="H36" i="36"/>
  <c r="G36" i="36"/>
  <c r="F36" i="36"/>
  <c r="E36" i="36"/>
  <c r="J35" i="36"/>
  <c r="I35" i="36"/>
  <c r="H35" i="36"/>
  <c r="G35" i="36"/>
  <c r="F35" i="36"/>
  <c r="E35" i="36"/>
  <c r="J34" i="36"/>
  <c r="L34" i="36" s="1"/>
  <c r="I34" i="36"/>
  <c r="H34" i="36"/>
  <c r="G34" i="36"/>
  <c r="F34" i="36"/>
  <c r="E34" i="36"/>
  <c r="K34" i="36" s="1"/>
  <c r="L16" i="36"/>
  <c r="D13" i="18"/>
  <c r="K69" i="36" l="1"/>
  <c r="I42" i="36"/>
  <c r="I32" i="28"/>
  <c r="K36" i="36"/>
  <c r="E32" i="28"/>
  <c r="F42" i="36"/>
  <c r="F43" i="36" s="1"/>
  <c r="F45" i="36" s="1"/>
  <c r="F32" i="28"/>
  <c r="H42" i="36"/>
  <c r="H43" i="36" s="1"/>
  <c r="H44" i="36" s="1"/>
  <c r="H32" i="28"/>
  <c r="G42" i="36"/>
  <c r="G43" i="36" s="1"/>
  <c r="G45" i="36" s="1"/>
  <c r="G32" i="28"/>
  <c r="L42" i="36"/>
  <c r="K63" i="36"/>
  <c r="L62" i="36"/>
  <c r="L66" i="36"/>
  <c r="L61" i="36"/>
  <c r="K67" i="36"/>
  <c r="K62" i="36"/>
  <c r="L67" i="36"/>
  <c r="K64" i="36"/>
  <c r="K66" i="36"/>
  <c r="M10" i="19"/>
  <c r="L65" i="36"/>
  <c r="L35" i="36"/>
  <c r="K35" i="36"/>
  <c r="K116" i="36"/>
  <c r="K52" i="36" s="1"/>
  <c r="L64" i="36"/>
  <c r="G8" i="19"/>
  <c r="S10" i="19"/>
  <c r="L63" i="36"/>
  <c r="L36" i="36"/>
  <c r="E42" i="36"/>
  <c r="K42" i="36" s="1"/>
  <c r="J43" i="36"/>
  <c r="J45" i="36" s="1"/>
  <c r="L45" i="36" s="1"/>
  <c r="P10" i="19"/>
  <c r="Q10" i="19"/>
  <c r="J10" i="19"/>
  <c r="I43" i="36"/>
  <c r="K61" i="36"/>
  <c r="K65" i="36"/>
  <c r="L69" i="36"/>
  <c r="K68" i="36"/>
  <c r="E43" i="36" l="1"/>
  <c r="E44" i="36" s="1"/>
  <c r="K44" i="36" s="1"/>
  <c r="O42" i="36"/>
  <c r="L43" i="36"/>
  <c r="O41" i="36"/>
  <c r="O40" i="36"/>
  <c r="O39" i="36"/>
  <c r="G44" i="36"/>
  <c r="J44" i="36"/>
  <c r="L44" i="36" s="1"/>
  <c r="H45" i="36"/>
  <c r="F44" i="36"/>
  <c r="I45" i="36"/>
  <c r="I44" i="36"/>
  <c r="E45" i="36" l="1"/>
  <c r="K45" i="36" s="1"/>
  <c r="K43" i="36"/>
  <c r="O43" i="36"/>
  <c r="C23" i="10" l="1"/>
  <c r="G194" i="35"/>
  <c r="L183" i="35"/>
  <c r="E175" i="35"/>
  <c r="E173" i="35"/>
  <c r="E169" i="35"/>
  <c r="G154" i="35"/>
  <c r="G155" i="35"/>
  <c r="G153" i="35"/>
  <c r="I146" i="35"/>
  <c r="I145" i="35"/>
  <c r="G62" i="35" l="1"/>
  <c r="G61" i="35"/>
  <c r="G60" i="35"/>
  <c r="G59" i="35"/>
  <c r="F63" i="35"/>
  <c r="E63" i="35"/>
  <c r="D63" i="35"/>
  <c r="C63" i="35"/>
  <c r="G47" i="35"/>
  <c r="G43" i="35"/>
  <c r="F34" i="35"/>
  <c r="F33" i="35"/>
  <c r="G183" i="35" s="1"/>
  <c r="G63" i="35" l="1"/>
  <c r="T206" i="35"/>
  <c r="S206" i="35"/>
  <c r="U205" i="35"/>
  <c r="U204" i="35"/>
  <c r="J200" i="35"/>
  <c r="I200" i="35"/>
  <c r="H200" i="35"/>
  <c r="G200" i="35"/>
  <c r="S194" i="35"/>
  <c r="T194" i="35" s="1"/>
  <c r="O194" i="35"/>
  <c r="P194" i="35" s="1"/>
  <c r="L194" i="35"/>
  <c r="S193" i="35"/>
  <c r="T193" i="35" s="1"/>
  <c r="O193" i="35"/>
  <c r="P193" i="35" s="1"/>
  <c r="L193" i="35"/>
  <c r="G193" i="35"/>
  <c r="S189" i="35"/>
  <c r="R189" i="35"/>
  <c r="Q189" i="35"/>
  <c r="O189" i="35"/>
  <c r="L189" i="35"/>
  <c r="O188" i="35"/>
  <c r="L188" i="35"/>
  <c r="O186" i="35"/>
  <c r="L186" i="35"/>
  <c r="O185" i="35"/>
  <c r="L185" i="35"/>
  <c r="O184" i="35"/>
  <c r="L184" i="35"/>
  <c r="O183" i="35"/>
  <c r="E179" i="35"/>
  <c r="E177" i="35"/>
  <c r="E176" i="35"/>
  <c r="E174" i="35"/>
  <c r="M169" i="35"/>
  <c r="N169" i="35" s="1"/>
  <c r="K169" i="35"/>
  <c r="N168" i="35"/>
  <c r="K168" i="35"/>
  <c r="N167" i="35"/>
  <c r="K167" i="35"/>
  <c r="E167" i="35"/>
  <c r="L166" i="35"/>
  <c r="N166" i="35" s="1"/>
  <c r="I166" i="35"/>
  <c r="K166" i="35" s="1"/>
  <c r="E166" i="35"/>
  <c r="N165" i="35"/>
  <c r="K165" i="35"/>
  <c r="E164" i="35"/>
  <c r="N163" i="35"/>
  <c r="K163" i="35"/>
  <c r="E163" i="35"/>
  <c r="N162" i="35"/>
  <c r="K162" i="35"/>
  <c r="H140" i="35"/>
  <c r="G140" i="35"/>
  <c r="E140" i="35"/>
  <c r="F140" i="35" s="1"/>
  <c r="I139" i="35"/>
  <c r="F139" i="35"/>
  <c r="I138" i="35"/>
  <c r="F138" i="35"/>
  <c r="I137" i="35"/>
  <c r="F137" i="35"/>
  <c r="I136" i="35"/>
  <c r="F136" i="35"/>
  <c r="I135" i="35"/>
  <c r="F135" i="35"/>
  <c r="Y129" i="35"/>
  <c r="U129" i="35"/>
  <c r="S129" i="35"/>
  <c r="R129" i="35"/>
  <c r="Q129" i="35"/>
  <c r="O129" i="35"/>
  <c r="N129" i="35"/>
  <c r="M129" i="35"/>
  <c r="Z126" i="35"/>
  <c r="Y126" i="35"/>
  <c r="V126" i="35"/>
  <c r="U126" i="35"/>
  <c r="R126" i="35"/>
  <c r="Q126" i="35"/>
  <c r="N126" i="35"/>
  <c r="M126" i="35"/>
  <c r="K126" i="35"/>
  <c r="J126" i="35"/>
  <c r="I126" i="35"/>
  <c r="H126" i="35"/>
  <c r="F126" i="35"/>
  <c r="E126" i="35"/>
  <c r="D126" i="35"/>
  <c r="AB125" i="35"/>
  <c r="X125" i="35"/>
  <c r="T125" i="35"/>
  <c r="O125" i="35"/>
  <c r="P125" i="35" s="1"/>
  <c r="L125" i="35"/>
  <c r="G125" i="35"/>
  <c r="AA124" i="35"/>
  <c r="AB124" i="35" s="1"/>
  <c r="W124" i="35"/>
  <c r="X124" i="35" s="1"/>
  <c r="S124" i="35"/>
  <c r="T124" i="35" s="1"/>
  <c r="O124" i="35"/>
  <c r="P124" i="35" s="1"/>
  <c r="L124" i="35"/>
  <c r="G124" i="35"/>
  <c r="AB123" i="35"/>
  <c r="X123" i="35"/>
  <c r="T123" i="35"/>
  <c r="O123" i="35"/>
  <c r="P123" i="35" s="1"/>
  <c r="L123" i="35"/>
  <c r="G123" i="35"/>
  <c r="AA122" i="35"/>
  <c r="W122" i="35"/>
  <c r="S122" i="35"/>
  <c r="T122" i="35" s="1"/>
  <c r="O122" i="35"/>
  <c r="L122" i="35"/>
  <c r="G122" i="35"/>
  <c r="AA120" i="35"/>
  <c r="AB120" i="35" s="1"/>
  <c r="W120" i="35"/>
  <c r="X120" i="35" s="1"/>
  <c r="S120" i="35"/>
  <c r="T120" i="35" s="1"/>
  <c r="O120" i="35"/>
  <c r="P120" i="35" s="1"/>
  <c r="L120" i="35"/>
  <c r="G120" i="35"/>
  <c r="I115" i="35"/>
  <c r="J110" i="35" s="1"/>
  <c r="G115" i="35"/>
  <c r="H112" i="35" s="1"/>
  <c r="E115" i="35"/>
  <c r="F112" i="35" s="1"/>
  <c r="D115" i="35"/>
  <c r="D114" i="35"/>
  <c r="D113" i="35"/>
  <c r="D112" i="35"/>
  <c r="D111" i="35"/>
  <c r="D110" i="35"/>
  <c r="D109" i="35"/>
  <c r="K107" i="35"/>
  <c r="L105" i="35" s="1"/>
  <c r="I107" i="35"/>
  <c r="J105" i="35" s="1"/>
  <c r="G107" i="35"/>
  <c r="H103" i="35" s="1"/>
  <c r="C107" i="35"/>
  <c r="D104" i="35" s="1"/>
  <c r="F106" i="35"/>
  <c r="F105" i="35"/>
  <c r="F104" i="35"/>
  <c r="F103" i="35"/>
  <c r="K101" i="35"/>
  <c r="L99" i="35" s="1"/>
  <c r="I101" i="35"/>
  <c r="J99" i="35" s="1"/>
  <c r="G101" i="35"/>
  <c r="H98" i="35" s="1"/>
  <c r="C101" i="35"/>
  <c r="D100" i="35" s="1"/>
  <c r="F100" i="35"/>
  <c r="F99" i="35"/>
  <c r="F98" i="35"/>
  <c r="K96" i="35"/>
  <c r="L95" i="35" s="1"/>
  <c r="I96" i="35"/>
  <c r="J94" i="35" s="1"/>
  <c r="G96" i="35"/>
  <c r="H94" i="35" s="1"/>
  <c r="E96" i="35"/>
  <c r="F93" i="35" s="1"/>
  <c r="C96" i="35"/>
  <c r="D94" i="35" s="1"/>
  <c r="C88" i="35"/>
  <c r="D77" i="35"/>
  <c r="D76" i="35"/>
  <c r="D75" i="35"/>
  <c r="D74" i="35"/>
  <c r="D73" i="35"/>
  <c r="D72" i="35"/>
  <c r="T68" i="35"/>
  <c r="P68" i="35"/>
  <c r="L68" i="35"/>
  <c r="AA67" i="35"/>
  <c r="AB67" i="35" s="1"/>
  <c r="W67" i="35"/>
  <c r="X67" i="35" s="1"/>
  <c r="S67" i="35"/>
  <c r="T67" i="35" s="1"/>
  <c r="O67" i="35"/>
  <c r="P67" i="35" s="1"/>
  <c r="L67" i="35"/>
  <c r="AB66" i="35"/>
  <c r="X66" i="35"/>
  <c r="S66" i="35"/>
  <c r="T66" i="35" s="1"/>
  <c r="O66" i="35"/>
  <c r="P66" i="35" s="1"/>
  <c r="L66" i="35"/>
  <c r="AA65" i="35"/>
  <c r="AB65" i="35" s="1"/>
  <c r="W65" i="35"/>
  <c r="X65" i="35" s="1"/>
  <c r="S65" i="35"/>
  <c r="T65" i="35" s="1"/>
  <c r="O65" i="35"/>
  <c r="P65" i="35" s="1"/>
  <c r="L65" i="35"/>
  <c r="AA64" i="35"/>
  <c r="AB64" i="35" s="1"/>
  <c r="W64" i="35"/>
  <c r="X64" i="35" s="1"/>
  <c r="S64" i="35"/>
  <c r="T64" i="35" s="1"/>
  <c r="O64" i="35"/>
  <c r="P64" i="35" s="1"/>
  <c r="L64" i="35"/>
  <c r="AA63" i="35"/>
  <c r="AB63" i="35" s="1"/>
  <c r="Z63" i="35"/>
  <c r="Y63" i="35"/>
  <c r="V63" i="35"/>
  <c r="U63" i="35"/>
  <c r="R63" i="35"/>
  <c r="Q63" i="35"/>
  <c r="N63" i="35"/>
  <c r="M63" i="35"/>
  <c r="L63" i="35"/>
  <c r="AB58" i="35"/>
  <c r="W58" i="35"/>
  <c r="S58" i="35"/>
  <c r="S63" i="35" s="1"/>
  <c r="O58" i="35"/>
  <c r="O63" i="35" s="1"/>
  <c r="L58" i="35"/>
  <c r="AB57" i="35"/>
  <c r="W57" i="35"/>
  <c r="X57" i="35" s="1"/>
  <c r="S57" i="35"/>
  <c r="T57" i="35" s="1"/>
  <c r="O57" i="35"/>
  <c r="P57" i="35" s="1"/>
  <c r="L57" i="35"/>
  <c r="AB56" i="35"/>
  <c r="W56" i="35"/>
  <c r="X56" i="35" s="1"/>
  <c r="S56" i="35"/>
  <c r="T56" i="35" s="1"/>
  <c r="O56" i="35"/>
  <c r="P56" i="35" s="1"/>
  <c r="L56" i="35"/>
  <c r="AB55" i="35"/>
  <c r="W55" i="35"/>
  <c r="X55" i="35" s="1"/>
  <c r="S55" i="35"/>
  <c r="T55" i="35" s="1"/>
  <c r="O55" i="35"/>
  <c r="P55" i="35" s="1"/>
  <c r="L55" i="35"/>
  <c r="Z54" i="35"/>
  <c r="Y54" i="35"/>
  <c r="V54" i="35"/>
  <c r="U54" i="35"/>
  <c r="R54" i="35"/>
  <c r="Q54" i="35"/>
  <c r="N54" i="35"/>
  <c r="M54" i="35"/>
  <c r="L54" i="35"/>
  <c r="G54" i="35"/>
  <c r="G53" i="35"/>
  <c r="G46" i="35"/>
  <c r="G45" i="35"/>
  <c r="W44" i="35"/>
  <c r="X44" i="35" s="1"/>
  <c r="S44" i="35"/>
  <c r="T44" i="35" s="1"/>
  <c r="O44" i="35"/>
  <c r="P44" i="35" s="1"/>
  <c r="L44" i="35"/>
  <c r="G44" i="35"/>
  <c r="AA43" i="35"/>
  <c r="AB43" i="35" s="1"/>
  <c r="W43" i="35"/>
  <c r="X43" i="35" s="1"/>
  <c r="S43" i="35"/>
  <c r="T43" i="35" s="1"/>
  <c r="O43" i="35"/>
  <c r="P43" i="35" s="1"/>
  <c r="L43" i="35"/>
  <c r="AA42" i="35"/>
  <c r="AB42" i="35" s="1"/>
  <c r="W42" i="35"/>
  <c r="X42" i="35" s="1"/>
  <c r="S42" i="35"/>
  <c r="T42" i="35" s="1"/>
  <c r="O42" i="35"/>
  <c r="P42" i="35" s="1"/>
  <c r="L42" i="35"/>
  <c r="G42" i="35"/>
  <c r="AA41" i="35"/>
  <c r="AB41" i="35" s="1"/>
  <c r="W41" i="35"/>
  <c r="X41" i="35" s="1"/>
  <c r="S41" i="35"/>
  <c r="T41" i="35" s="1"/>
  <c r="O41" i="35"/>
  <c r="P41" i="35" s="1"/>
  <c r="L41" i="35"/>
  <c r="G41" i="35"/>
  <c r="AA40" i="35"/>
  <c r="AB40" i="35" s="1"/>
  <c r="W40" i="35"/>
  <c r="X40" i="35" s="1"/>
  <c r="S40" i="35"/>
  <c r="T40" i="35" s="1"/>
  <c r="O40" i="35"/>
  <c r="P40" i="35" s="1"/>
  <c r="L40" i="35"/>
  <c r="F40" i="35"/>
  <c r="G40" i="35" s="1"/>
  <c r="AH39" i="35"/>
  <c r="N39" i="35"/>
  <c r="M39" i="35"/>
  <c r="L39" i="35"/>
  <c r="F39" i="35"/>
  <c r="AN38" i="35"/>
  <c r="AJ38" i="35"/>
  <c r="AI38" i="35"/>
  <c r="AE38" i="35"/>
  <c r="Z38" i="35"/>
  <c r="Y38" i="35"/>
  <c r="V38" i="35"/>
  <c r="U38" i="35"/>
  <c r="R38" i="35"/>
  <c r="Q38" i="35"/>
  <c r="O38" i="35"/>
  <c r="P38" i="35" s="1"/>
  <c r="L38" i="35"/>
  <c r="F38" i="35"/>
  <c r="G38" i="35" s="1"/>
  <c r="AE37" i="35"/>
  <c r="F37" i="35"/>
  <c r="G37" i="35" s="1"/>
  <c r="AJ36" i="35"/>
  <c r="AI36" i="35"/>
  <c r="AE36" i="35"/>
  <c r="Z36" i="35"/>
  <c r="Y36" i="35"/>
  <c r="V36" i="35"/>
  <c r="U36" i="35"/>
  <c r="R36" i="35"/>
  <c r="Q36" i="35"/>
  <c r="O36" i="35"/>
  <c r="P36" i="35" s="1"/>
  <c r="L36" i="35"/>
  <c r="AJ35" i="35"/>
  <c r="AI35" i="35"/>
  <c r="AE35" i="35"/>
  <c r="Z35" i="35"/>
  <c r="Y35" i="35"/>
  <c r="V35" i="35"/>
  <c r="U35" i="35"/>
  <c r="R35" i="35"/>
  <c r="Q35" i="35"/>
  <c r="O35" i="35"/>
  <c r="P35" i="35" s="1"/>
  <c r="L35" i="35"/>
  <c r="G185" i="35"/>
  <c r="AN34" i="35"/>
  <c r="AJ34" i="35"/>
  <c r="AI34" i="35"/>
  <c r="AF34" i="35"/>
  <c r="AE34" i="35"/>
  <c r="R34" i="35"/>
  <c r="Q34" i="35"/>
  <c r="O34" i="35"/>
  <c r="P34" i="35" s="1"/>
  <c r="L34" i="35"/>
  <c r="G34" i="35"/>
  <c r="AN33" i="35"/>
  <c r="AJ33" i="35"/>
  <c r="AI33" i="35"/>
  <c r="AF33" i="35"/>
  <c r="AE33" i="35"/>
  <c r="Z33" i="35"/>
  <c r="Y33" i="35"/>
  <c r="V33" i="35"/>
  <c r="U33" i="35"/>
  <c r="R33" i="35"/>
  <c r="Q33" i="35"/>
  <c r="O33" i="35"/>
  <c r="L33" i="35"/>
  <c r="AG31" i="35"/>
  <c r="AF31" i="35"/>
  <c r="Z31" i="35"/>
  <c r="Y31" i="35"/>
  <c r="V31" i="35"/>
  <c r="U31" i="35"/>
  <c r="R31" i="35"/>
  <c r="Q31" i="35"/>
  <c r="AA30" i="35"/>
  <c r="W30" i="35"/>
  <c r="S30" i="35"/>
  <c r="AA29" i="35"/>
  <c r="W29" i="35"/>
  <c r="S29" i="35"/>
  <c r="AA28" i="35"/>
  <c r="W28" i="35"/>
  <c r="S28" i="35"/>
  <c r="S27" i="35"/>
  <c r="AA26" i="35"/>
  <c r="W26" i="35"/>
  <c r="S26" i="35"/>
  <c r="Z24" i="35"/>
  <c r="Y24" i="35"/>
  <c r="V24" i="35"/>
  <c r="U24" i="35"/>
  <c r="R24" i="35"/>
  <c r="Q24" i="35"/>
  <c r="AE23" i="35"/>
  <c r="AA23" i="35"/>
  <c r="W23" i="35"/>
  <c r="S23" i="35"/>
  <c r="AE22" i="35"/>
  <c r="AA22" i="35"/>
  <c r="W22" i="35"/>
  <c r="S22" i="35"/>
  <c r="AE21" i="35"/>
  <c r="AA21" i="35"/>
  <c r="W21" i="35"/>
  <c r="S21" i="35"/>
  <c r="AE20" i="35"/>
  <c r="S20" i="35"/>
  <c r="AE19" i="35"/>
  <c r="AA19" i="35"/>
  <c r="W19" i="35"/>
  <c r="S19" i="35"/>
  <c r="G9" i="35"/>
  <c r="D9" i="35"/>
  <c r="C9" i="35"/>
  <c r="D54" i="18"/>
  <c r="D53" i="18"/>
  <c r="D52" i="18"/>
  <c r="D51" i="18"/>
  <c r="D50" i="18"/>
  <c r="D49" i="18"/>
  <c r="C42" i="29"/>
  <c r="B42" i="29"/>
  <c r="D9" i="8"/>
  <c r="K9" i="8" s="1"/>
  <c r="K7" i="19"/>
  <c r="I14" i="19" l="1"/>
  <c r="D55" i="18"/>
  <c r="W33" i="35"/>
  <c r="W35" i="35"/>
  <c r="X35" i="35" s="1"/>
  <c r="R14" i="19"/>
  <c r="T14" i="19" s="1"/>
  <c r="L14" i="19"/>
  <c r="N14" i="19" s="1"/>
  <c r="O14" i="19"/>
  <c r="Q14" i="19" s="1"/>
  <c r="O54" i="35"/>
  <c r="P54" i="35" s="1"/>
  <c r="G189" i="35"/>
  <c r="G39" i="35"/>
  <c r="F101" i="35"/>
  <c r="AG34" i="35"/>
  <c r="W54" i="35"/>
  <c r="X54" i="35" s="1"/>
  <c r="T63" i="35"/>
  <c r="AF20" i="35"/>
  <c r="J103" i="35"/>
  <c r="O39" i="35"/>
  <c r="AA54" i="35"/>
  <c r="AB54" i="35" s="1"/>
  <c r="W24" i="35"/>
  <c r="F110" i="35"/>
  <c r="F109" i="35"/>
  <c r="L126" i="35"/>
  <c r="F107" i="35"/>
  <c r="P186" i="35"/>
  <c r="D107" i="35"/>
  <c r="S33" i="35"/>
  <c r="T183" i="35" s="1"/>
  <c r="W36" i="35"/>
  <c r="X36" i="35" s="1"/>
  <c r="AG38" i="35"/>
  <c r="AH38" i="35" s="1"/>
  <c r="J98" i="35"/>
  <c r="H110" i="35"/>
  <c r="F114" i="35"/>
  <c r="P184" i="35"/>
  <c r="AA36" i="35"/>
  <c r="AB36" i="35" s="1"/>
  <c r="H93" i="35"/>
  <c r="H114" i="35"/>
  <c r="P185" i="35"/>
  <c r="U206" i="35"/>
  <c r="S35" i="35"/>
  <c r="T185" i="35" s="1"/>
  <c r="Q39" i="35"/>
  <c r="AG36" i="35"/>
  <c r="AH36" i="35" s="1"/>
  <c r="G186" i="35"/>
  <c r="H109" i="35"/>
  <c r="H113" i="35"/>
  <c r="W38" i="35"/>
  <c r="X38" i="35" s="1"/>
  <c r="S54" i="35"/>
  <c r="T54" i="35" s="1"/>
  <c r="L100" i="35"/>
  <c r="H111" i="35"/>
  <c r="G126" i="35"/>
  <c r="D96" i="35"/>
  <c r="P58" i="35"/>
  <c r="L103" i="35"/>
  <c r="L98" i="35"/>
  <c r="P188" i="35"/>
  <c r="AA33" i="35"/>
  <c r="AB33" i="35" s="1"/>
  <c r="L104" i="35"/>
  <c r="AA126" i="35"/>
  <c r="AB126" i="35" s="1"/>
  <c r="Y39" i="35"/>
  <c r="J93" i="35"/>
  <c r="H99" i="35"/>
  <c r="Z39" i="35"/>
  <c r="AG33" i="35"/>
  <c r="D95" i="35"/>
  <c r="R39" i="35"/>
  <c r="D93" i="35"/>
  <c r="AA24" i="35"/>
  <c r="H95" i="35"/>
  <c r="H100" i="35"/>
  <c r="L106" i="35"/>
  <c r="AA38" i="35"/>
  <c r="AB38" i="35" s="1"/>
  <c r="AJ39" i="35"/>
  <c r="J95" i="35"/>
  <c r="J100" i="35"/>
  <c r="F111" i="35"/>
  <c r="S126" i="35"/>
  <c r="T126" i="35" s="1"/>
  <c r="F113" i="35"/>
  <c r="C200" i="35"/>
  <c r="D200" i="35"/>
  <c r="AG35" i="35"/>
  <c r="AH35" i="35" s="1"/>
  <c r="G33" i="35"/>
  <c r="F200" i="35"/>
  <c r="P183" i="35"/>
  <c r="P33" i="35"/>
  <c r="G187" i="35"/>
  <c r="AG37" i="35"/>
  <c r="X58" i="35"/>
  <c r="W63" i="35"/>
  <c r="X63" i="35" s="1"/>
  <c r="X33" i="35"/>
  <c r="W31" i="35"/>
  <c r="X31" i="35" s="1"/>
  <c r="S31" i="35"/>
  <c r="T31" i="35" s="1"/>
  <c r="AF37" i="35"/>
  <c r="P122" i="35"/>
  <c r="O126" i="35"/>
  <c r="P126" i="35" s="1"/>
  <c r="P39" i="35"/>
  <c r="D84" i="35"/>
  <c r="D83" i="35"/>
  <c r="D82" i="35"/>
  <c r="D87" i="35"/>
  <c r="D86" i="35"/>
  <c r="D85" i="35"/>
  <c r="H105" i="35"/>
  <c r="H106" i="35"/>
  <c r="H104" i="35"/>
  <c r="I140" i="35"/>
  <c r="T58" i="35"/>
  <c r="S38" i="35"/>
  <c r="T188" i="35" s="1"/>
  <c r="AF23" i="35"/>
  <c r="W126" i="35"/>
  <c r="X126" i="35" s="1"/>
  <c r="X122" i="35"/>
  <c r="AF19" i="35"/>
  <c r="J111" i="35"/>
  <c r="J114" i="35"/>
  <c r="J113" i="35"/>
  <c r="J109" i="35"/>
  <c r="J112" i="35"/>
  <c r="S34" i="35"/>
  <c r="T184" i="35" s="1"/>
  <c r="S24" i="35"/>
  <c r="F94" i="35"/>
  <c r="F95" i="35"/>
  <c r="D106" i="35"/>
  <c r="D103" i="35"/>
  <c r="D105" i="35"/>
  <c r="L94" i="35"/>
  <c r="D98" i="35"/>
  <c r="AB122" i="35"/>
  <c r="U39" i="35"/>
  <c r="G184" i="35"/>
  <c r="AF35" i="35"/>
  <c r="G35" i="35"/>
  <c r="L93" i="35"/>
  <c r="D101" i="35"/>
  <c r="J104" i="35"/>
  <c r="AA35" i="35"/>
  <c r="AB35" i="35" s="1"/>
  <c r="AF38" i="35"/>
  <c r="AN36" i="35" s="1"/>
  <c r="AA31" i="35"/>
  <c r="AB31" i="35" s="1"/>
  <c r="AF21" i="35"/>
  <c r="AF22" i="35"/>
  <c r="S36" i="35"/>
  <c r="T186" i="35" s="1"/>
  <c r="G36" i="35"/>
  <c r="AF36" i="35"/>
  <c r="AN35" i="35" s="1"/>
  <c r="D99" i="35"/>
  <c r="J106" i="35"/>
  <c r="V39" i="35"/>
  <c r="P63" i="35"/>
  <c r="X25" i="6"/>
  <c r="X21" i="6"/>
  <c r="S39" i="35" l="1"/>
  <c r="L200" i="35"/>
  <c r="P189" i="35"/>
  <c r="T36" i="35"/>
  <c r="J107" i="35"/>
  <c r="K200" i="35"/>
  <c r="M200" i="35"/>
  <c r="F115" i="35"/>
  <c r="AA39" i="35"/>
  <c r="J10" i="35" s="1"/>
  <c r="J9" i="35" s="1"/>
  <c r="L101" i="35"/>
  <c r="H96" i="35"/>
  <c r="J101" i="35"/>
  <c r="T33" i="35"/>
  <c r="H115" i="35"/>
  <c r="AG40" i="35"/>
  <c r="AH33" i="35"/>
  <c r="AH40" i="35" s="1"/>
  <c r="H101" i="35"/>
  <c r="F96" i="35"/>
  <c r="J96" i="35"/>
  <c r="T35" i="35"/>
  <c r="H107" i="35"/>
  <c r="T38" i="35"/>
  <c r="L107" i="35"/>
  <c r="AF40" i="35"/>
  <c r="W39" i="35"/>
  <c r="I10" i="35" s="1"/>
  <c r="I9" i="35" s="1"/>
  <c r="J115" i="35"/>
  <c r="L96" i="35"/>
  <c r="AB39" i="35" l="1"/>
  <c r="H10" i="35"/>
  <c r="H9" i="35" s="1"/>
  <c r="T189" i="35"/>
  <c r="T39" i="35"/>
  <c r="X39" i="35"/>
  <c r="I12" i="19"/>
  <c r="F12" i="19"/>
  <c r="F11" i="19"/>
  <c r="K13" i="19"/>
  <c r="K14" i="19"/>
  <c r="N8" i="19"/>
  <c r="K11" i="19" l="1"/>
  <c r="K12" i="19"/>
  <c r="AC16" i="10"/>
  <c r="S13" i="19" l="1"/>
  <c r="P13" i="19"/>
  <c r="M13" i="19"/>
  <c r="J13" i="19"/>
  <c r="H7" i="19"/>
  <c r="J7" i="19" l="1"/>
  <c r="M7" i="19"/>
  <c r="Y17" i="28"/>
  <c r="N7" i="19" l="1"/>
  <c r="L22" i="28" l="1"/>
  <c r="F28" i="28" l="1"/>
  <c r="Y22" i="28"/>
  <c r="G16" i="28" l="1"/>
  <c r="H15" i="28"/>
  <c r="G15" i="28" s="1"/>
  <c r="G13" i="28"/>
  <c r="G12" i="28"/>
  <c r="I31" i="28"/>
  <c r="H31" i="28"/>
  <c r="G31" i="28"/>
  <c r="F31" i="28"/>
  <c r="E31" i="28"/>
  <c r="E29" i="28"/>
  <c r="F29" i="28"/>
  <c r="G29" i="28"/>
  <c r="H29" i="28"/>
  <c r="I29" i="28"/>
  <c r="I28" i="28"/>
  <c r="H28" i="28"/>
  <c r="G28" i="28"/>
  <c r="C28" i="28"/>
  <c r="C29" i="28"/>
  <c r="B31" i="28"/>
  <c r="B30" i="28"/>
  <c r="B29" i="28"/>
  <c r="B28" i="28"/>
  <c r="E30" i="28" l="1"/>
  <c r="F21" i="10" l="1"/>
  <c r="V13" i="28" l="1"/>
  <c r="V14" i="28"/>
  <c r="V15" i="28"/>
  <c r="V16" i="28"/>
  <c r="V12" i="28"/>
  <c r="S13" i="28"/>
  <c r="S14" i="28"/>
  <c r="S15" i="28"/>
  <c r="I30" i="28" s="1"/>
  <c r="S16" i="28"/>
  <c r="S12" i="28"/>
  <c r="P13" i="28"/>
  <c r="P14" i="28"/>
  <c r="P15" i="28"/>
  <c r="H30" i="28" s="1"/>
  <c r="P16" i="28"/>
  <c r="P12" i="28"/>
  <c r="M13" i="28"/>
  <c r="M14" i="28"/>
  <c r="M15" i="28"/>
  <c r="G30" i="28" s="1"/>
  <c r="M16" i="28"/>
  <c r="M12" i="28"/>
  <c r="J13" i="28"/>
  <c r="J14" i="28"/>
  <c r="J15" i="28"/>
  <c r="F30" i="28" s="1"/>
  <c r="J16" i="28"/>
  <c r="J12" i="28"/>
  <c r="G14" i="28"/>
  <c r="M29" i="6"/>
  <c r="M25" i="6"/>
  <c r="AB16" i="10"/>
  <c r="L12" i="19"/>
  <c r="N12" i="19" s="1"/>
  <c r="L11" i="19"/>
  <c r="N11" i="19" s="1"/>
  <c r="Q7" i="19" l="1"/>
  <c r="P7" i="19"/>
  <c r="W29" i="6"/>
  <c r="W25" i="6"/>
  <c r="W22" i="6"/>
  <c r="W21" i="6"/>
  <c r="H14" i="19" l="1"/>
  <c r="R11" i="19"/>
  <c r="R12" i="19"/>
  <c r="T7" i="19" l="1"/>
  <c r="S7" i="19"/>
  <c r="T11" i="19"/>
  <c r="T8" i="19"/>
  <c r="T12" i="19"/>
  <c r="S14" i="19"/>
  <c r="P14" i="19"/>
  <c r="M14" i="19"/>
  <c r="J14" i="19"/>
  <c r="H11" i="19"/>
  <c r="J11" i="19" s="1"/>
  <c r="H12" i="19"/>
  <c r="S12" i="19" s="1"/>
  <c r="S11" i="19" l="1"/>
  <c r="J12" i="19"/>
  <c r="M12" i="19"/>
  <c r="M11" i="19"/>
  <c r="H13" i="2" l="1"/>
  <c r="K8" i="19" l="1"/>
  <c r="H8" i="19"/>
  <c r="J8" i="19" s="1"/>
  <c r="M8" i="19" l="1"/>
  <c r="S8" i="19"/>
  <c r="V29" i="6"/>
  <c r="U29" i="6"/>
  <c r="V25" i="6"/>
  <c r="U25" i="6"/>
  <c r="V22" i="6"/>
  <c r="R22" i="6"/>
  <c r="S22" i="6"/>
  <c r="T22" i="6"/>
  <c r="U22" i="6"/>
  <c r="V21" i="6"/>
  <c r="U21" i="6"/>
  <c r="K10" i="6" l="1"/>
  <c r="O12" i="19" l="1"/>
  <c r="O11" i="19"/>
  <c r="P8" i="19" l="1"/>
  <c r="Q8" i="19"/>
  <c r="Q11" i="19"/>
  <c r="P11" i="19"/>
  <c r="Q12" i="19"/>
  <c r="P12" i="19"/>
  <c r="I21" i="10"/>
  <c r="AA16" i="10" l="1"/>
  <c r="H152" i="22" l="1"/>
  <c r="H153" i="22"/>
  <c r="H154" i="22"/>
  <c r="H155" i="22"/>
  <c r="H156" i="22"/>
  <c r="H157" i="22"/>
  <c r="H158" i="22"/>
  <c r="G159" i="22"/>
  <c r="H159" i="22"/>
  <c r="G160" i="22"/>
  <c r="G161" i="22"/>
  <c r="G162" i="22"/>
  <c r="G163" i="22"/>
  <c r="G164" i="22"/>
  <c r="G165" i="22"/>
  <c r="G166" i="22"/>
  <c r="G167" i="22"/>
  <c r="G168" i="22"/>
  <c r="G169" i="22"/>
  <c r="G170" i="22"/>
  <c r="G171" i="22"/>
  <c r="H171" i="22"/>
  <c r="G172" i="22"/>
  <c r="G173" i="22"/>
  <c r="G174" i="22"/>
  <c r="G175" i="22"/>
  <c r="G176" i="22"/>
  <c r="G177" i="22"/>
  <c r="G178" i="22"/>
  <c r="G179" i="22"/>
  <c r="G180" i="22"/>
  <c r="G181" i="22"/>
  <c r="G117" i="22"/>
  <c r="G118" i="22"/>
  <c r="G119" i="22"/>
  <c r="G120" i="22"/>
  <c r="D122" i="22"/>
  <c r="E122" i="22"/>
  <c r="F122" i="22"/>
  <c r="F108" i="22"/>
  <c r="F109" i="22"/>
  <c r="F110" i="22"/>
  <c r="F111" i="22"/>
  <c r="F112" i="22"/>
  <c r="D113" i="22"/>
  <c r="E113" i="22"/>
  <c r="F113" i="22"/>
  <c r="G113" i="22"/>
  <c r="I113" i="22"/>
  <c r="F99" i="22"/>
  <c r="I99" i="22"/>
  <c r="F101" i="22"/>
  <c r="I101" i="22"/>
  <c r="F102" i="22"/>
  <c r="I102" i="22"/>
  <c r="F103" i="22"/>
  <c r="I103" i="22"/>
  <c r="D104" i="22"/>
  <c r="E104" i="22"/>
  <c r="F104" i="22"/>
  <c r="G104" i="22"/>
  <c r="H104" i="22"/>
  <c r="I104" i="22"/>
  <c r="J104" i="22"/>
  <c r="K104" i="22"/>
  <c r="L104" i="22"/>
  <c r="F92" i="22"/>
  <c r="D67" i="22"/>
  <c r="E67" i="22"/>
  <c r="F67" i="22"/>
  <c r="D74" i="22"/>
  <c r="E74" i="22"/>
  <c r="F74" i="22"/>
  <c r="D81" i="22"/>
  <c r="E81" i="22"/>
  <c r="F81" i="22"/>
  <c r="D82" i="22"/>
  <c r="E82" i="22"/>
  <c r="F82" i="22"/>
  <c r="D89" i="22"/>
  <c r="E89" i="22"/>
  <c r="F89" i="22"/>
  <c r="F49" i="22"/>
  <c r="I49" i="22"/>
  <c r="L49" i="22"/>
  <c r="F50" i="22"/>
  <c r="I50" i="22"/>
  <c r="L50" i="22"/>
  <c r="F51" i="22"/>
  <c r="I51" i="22"/>
  <c r="L51" i="22"/>
  <c r="F52" i="22"/>
  <c r="D56" i="22"/>
  <c r="E56" i="22"/>
  <c r="F56" i="22"/>
  <c r="G56" i="22"/>
  <c r="J56" i="22"/>
  <c r="D57" i="22"/>
  <c r="E57" i="22"/>
  <c r="F57" i="22"/>
  <c r="G57" i="22"/>
  <c r="J57" i="22"/>
  <c r="F43" i="22"/>
  <c r="I43" i="22"/>
  <c r="L43" i="22"/>
  <c r="M43" i="22"/>
  <c r="F44" i="22"/>
  <c r="I44" i="22"/>
  <c r="L44" i="22"/>
  <c r="M44" i="22"/>
  <c r="F45" i="22"/>
  <c r="M45" i="22"/>
  <c r="F46" i="22"/>
  <c r="I46" i="22"/>
  <c r="L46" i="22"/>
  <c r="M46" i="22"/>
  <c r="D47" i="22"/>
  <c r="E47" i="22"/>
  <c r="F47" i="22"/>
  <c r="G47" i="22"/>
  <c r="H47" i="22"/>
  <c r="I47" i="22"/>
  <c r="J47" i="22"/>
  <c r="K47" i="22"/>
  <c r="L47" i="22"/>
  <c r="M47" i="22"/>
  <c r="F37" i="22"/>
  <c r="I37" i="22"/>
  <c r="F38" i="22"/>
  <c r="I38" i="22"/>
  <c r="F39" i="22"/>
  <c r="I39" i="22"/>
  <c r="F40" i="22"/>
  <c r="I40" i="22"/>
  <c r="D41" i="22"/>
  <c r="E41" i="22"/>
  <c r="F41" i="22"/>
  <c r="M41" i="22" s="1"/>
  <c r="G41" i="22"/>
  <c r="H41" i="22"/>
  <c r="I41" i="22"/>
  <c r="J41" i="22"/>
  <c r="K41" i="22"/>
  <c r="F30" i="22"/>
  <c r="I30" i="22"/>
  <c r="L30" i="22"/>
  <c r="M30" i="22"/>
  <c r="F31" i="22"/>
  <c r="I31" i="22"/>
  <c r="L31" i="22"/>
  <c r="M31" i="22"/>
  <c r="F32" i="22"/>
  <c r="I32" i="22"/>
  <c r="L32" i="22"/>
  <c r="M32" i="22"/>
  <c r="F33" i="22"/>
  <c r="I33" i="22"/>
  <c r="L33" i="22"/>
  <c r="M33" i="22"/>
  <c r="F34" i="22"/>
  <c r="I34" i="22"/>
  <c r="L34" i="22"/>
  <c r="M34" i="22"/>
  <c r="N34" i="22"/>
  <c r="F35" i="22"/>
  <c r="I35" i="22"/>
  <c r="L35" i="22"/>
  <c r="M35" i="22"/>
  <c r="F9" i="22"/>
  <c r="I9" i="22"/>
  <c r="L9" i="22"/>
  <c r="M9" i="22"/>
  <c r="P9" i="22"/>
  <c r="Q9" i="22"/>
  <c r="F10" i="22"/>
  <c r="M10" i="22"/>
  <c r="P10" i="22"/>
  <c r="Q10" i="22"/>
  <c r="F11" i="22"/>
  <c r="I11" i="22"/>
  <c r="L11" i="22"/>
  <c r="M11" i="22"/>
  <c r="P11" i="22"/>
  <c r="Q11" i="22"/>
  <c r="F12" i="22"/>
  <c r="I12" i="22"/>
  <c r="L12" i="22"/>
  <c r="M12" i="22"/>
  <c r="P12" i="22"/>
  <c r="Q12" i="22"/>
  <c r="F13" i="22"/>
  <c r="I13" i="22"/>
  <c r="L13" i="22"/>
  <c r="M13" i="22"/>
  <c r="P13" i="22"/>
  <c r="Q13" i="22"/>
  <c r="D14" i="22"/>
  <c r="E14" i="22"/>
  <c r="F14" i="22"/>
  <c r="G14" i="22"/>
  <c r="H14" i="22"/>
  <c r="I14" i="22"/>
  <c r="J14" i="22"/>
  <c r="K14" i="22"/>
  <c r="L14" i="22"/>
  <c r="M14" i="22"/>
  <c r="F16" i="22"/>
  <c r="I16" i="22"/>
  <c r="L16" i="22"/>
  <c r="M16" i="22"/>
  <c r="F17" i="22"/>
  <c r="M17" i="22"/>
  <c r="F18" i="22"/>
  <c r="I18" i="22"/>
  <c r="L18" i="22"/>
  <c r="M18" i="22"/>
  <c r="F19" i="22"/>
  <c r="I19" i="22"/>
  <c r="L19" i="22"/>
  <c r="M19" i="22"/>
  <c r="F20" i="22"/>
  <c r="I20" i="22"/>
  <c r="L20" i="22"/>
  <c r="M20" i="22"/>
  <c r="D21" i="22"/>
  <c r="E21" i="22"/>
  <c r="F21" i="22"/>
  <c r="M21" i="22" s="1"/>
  <c r="G21" i="22"/>
  <c r="H21" i="22"/>
  <c r="I21" i="22"/>
  <c r="J21" i="22"/>
  <c r="K21" i="22"/>
  <c r="L21" i="22"/>
  <c r="Q21" i="22"/>
  <c r="R21" i="22"/>
  <c r="D23" i="22"/>
  <c r="E23" i="22"/>
  <c r="F23" i="22"/>
  <c r="G23" i="22"/>
  <c r="H23" i="22"/>
  <c r="I23" i="22"/>
  <c r="J23" i="22"/>
  <c r="K23" i="22"/>
  <c r="L23" i="22"/>
  <c r="M23" i="22"/>
  <c r="D24" i="22"/>
  <c r="E24" i="22"/>
  <c r="F24" i="22"/>
  <c r="M24" i="22" s="1"/>
  <c r="D25" i="22"/>
  <c r="E25" i="22"/>
  <c r="F25" i="22"/>
  <c r="G25" i="22"/>
  <c r="H25" i="22"/>
  <c r="I25" i="22"/>
  <c r="J25" i="22"/>
  <c r="K25" i="22"/>
  <c r="L25" i="22"/>
  <c r="M25" i="22"/>
  <c r="D26" i="22"/>
  <c r="E26" i="22"/>
  <c r="F26" i="22"/>
  <c r="G26" i="22"/>
  <c r="H26" i="22"/>
  <c r="I26" i="22"/>
  <c r="J26" i="22"/>
  <c r="K26" i="22"/>
  <c r="L26" i="22"/>
  <c r="M26" i="22"/>
  <c r="D27" i="22"/>
  <c r="E27" i="22"/>
  <c r="F27" i="22"/>
  <c r="M27" i="22" s="1"/>
  <c r="G27" i="22"/>
  <c r="H27" i="22"/>
  <c r="I27" i="22"/>
  <c r="J27" i="22"/>
  <c r="K27" i="22"/>
  <c r="L27" i="22"/>
  <c r="D28" i="22"/>
  <c r="E28" i="22"/>
  <c r="F28" i="22"/>
  <c r="D140" i="22" s="1"/>
  <c r="G28" i="22"/>
  <c r="H28" i="22"/>
  <c r="I28" i="22"/>
  <c r="E92" i="22" s="1"/>
  <c r="J28" i="22"/>
  <c r="K28" i="22"/>
  <c r="L28" i="22"/>
  <c r="M28" i="22" l="1"/>
  <c r="D92" i="22"/>
  <c r="G121" i="22"/>
  <c r="G122" i="22"/>
  <c r="E40" i="14" l="1"/>
  <c r="H42" i="14" l="1"/>
  <c r="G42" i="14"/>
  <c r="F42" i="14"/>
  <c r="E42" i="14"/>
  <c r="N41" i="14"/>
  <c r="R137" i="14"/>
  <c r="E72" i="14" l="1"/>
  <c r="E94" i="14"/>
  <c r="E71" i="14"/>
  <c r="E73" i="14"/>
  <c r="N125" i="3" l="1"/>
  <c r="N120" i="3"/>
  <c r="N121" i="3"/>
  <c r="N122" i="3"/>
  <c r="N123" i="3"/>
  <c r="K120" i="3"/>
  <c r="K121" i="3"/>
  <c r="K122" i="3"/>
  <c r="K123" i="3"/>
  <c r="K124" i="3"/>
  <c r="K125" i="3"/>
  <c r="H120" i="3"/>
  <c r="H121" i="3"/>
  <c r="H122" i="3"/>
  <c r="H123" i="3"/>
  <c r="H124" i="3"/>
  <c r="H125" i="3"/>
  <c r="N119" i="3"/>
  <c r="K119" i="3"/>
  <c r="H119" i="3"/>
  <c r="N118" i="3"/>
  <c r="K118" i="3"/>
  <c r="H118" i="3"/>
  <c r="N117" i="3"/>
  <c r="K117" i="3"/>
  <c r="H117" i="3"/>
  <c r="E42" i="3"/>
  <c r="E52" i="3"/>
  <c r="O15" i="14"/>
  <c r="I13" i="14"/>
  <c r="J13" i="14" s="1"/>
  <c r="N134" i="14"/>
  <c r="G134" i="14"/>
  <c r="Q129" i="14"/>
  <c r="Q127" i="14"/>
  <c r="G58" i="14"/>
  <c r="F58" i="14"/>
  <c r="B42" i="3"/>
  <c r="B41" i="3"/>
  <c r="B40" i="3"/>
  <c r="B39" i="3"/>
  <c r="M134" i="3"/>
  <c r="L124" i="3"/>
  <c r="M124" i="3" s="1"/>
  <c r="J134" i="3"/>
  <c r="I124" i="3"/>
  <c r="G134" i="3"/>
  <c r="F124" i="3"/>
  <c r="E124" i="3"/>
  <c r="E71" i="3"/>
  <c r="E33" i="14"/>
  <c r="N76" i="14"/>
  <c r="Q133" i="14"/>
  <c r="Q132" i="14"/>
  <c r="Q131" i="14"/>
  <c r="Q130" i="14"/>
  <c r="Q128" i="14"/>
  <c r="Q135" i="14" l="1"/>
  <c r="R128" i="14" s="1"/>
  <c r="E39" i="14"/>
  <c r="R127" i="14"/>
  <c r="G124" i="3"/>
  <c r="J124" i="3"/>
  <c r="R131" i="14" l="1"/>
  <c r="R129" i="14"/>
  <c r="R130" i="14"/>
  <c r="R133" i="14"/>
  <c r="R132" i="14"/>
  <c r="R135" i="14" l="1"/>
  <c r="K18" i="14" l="1"/>
  <c r="Q13" i="14"/>
  <c r="P13" i="14" l="1"/>
  <c r="J18" i="14"/>
  <c r="I18" i="14"/>
  <c r="J49" i="14" l="1"/>
  <c r="H124" i="14" l="1"/>
  <c r="I124" i="14"/>
  <c r="K124" i="14"/>
  <c r="L124" i="14"/>
  <c r="F124" i="14"/>
  <c r="E124" i="14"/>
  <c r="M134" i="14"/>
  <c r="M124" i="14" s="1"/>
  <c r="J134" i="14"/>
  <c r="J124" i="14" s="1"/>
  <c r="G124" i="14"/>
  <c r="I49" i="14"/>
  <c r="I51" i="14"/>
  <c r="J51" i="14"/>
  <c r="I54" i="14"/>
  <c r="J54" i="14"/>
  <c r="P12" i="14"/>
  <c r="K17" i="14"/>
  <c r="J17" i="14"/>
  <c r="J47" i="14" s="1"/>
  <c r="J65" i="14" s="1"/>
  <c r="I17" i="14"/>
  <c r="I47" i="14" s="1"/>
  <c r="I65" i="14" s="1"/>
  <c r="O109" i="14" s="1"/>
  <c r="H123" i="14"/>
  <c r="K47" i="14" l="1"/>
  <c r="K65" i="14" s="1"/>
  <c r="P15" i="14"/>
  <c r="P14" i="14"/>
  <c r="P10" i="14"/>
  <c r="J67" i="14"/>
  <c r="I67" i="14"/>
  <c r="J70" i="14"/>
  <c r="J69" i="14"/>
  <c r="J68" i="14"/>
  <c r="B38" i="14"/>
  <c r="O13" i="14"/>
  <c r="G130" i="14"/>
  <c r="E120" i="14"/>
  <c r="E83" i="14"/>
  <c r="E77" i="14"/>
  <c r="E81" i="14"/>
  <c r="E58" i="14"/>
  <c r="G9" i="8"/>
  <c r="H9" i="8"/>
  <c r="J9" i="8"/>
  <c r="I9" i="8"/>
  <c r="G30" i="6"/>
  <c r="H30" i="6"/>
  <c r="I30" i="6"/>
  <c r="J30" i="6"/>
  <c r="K30" i="6"/>
  <c r="I69" i="14"/>
  <c r="I68" i="14"/>
  <c r="I70" i="14"/>
  <c r="O10" i="14"/>
  <c r="O76" i="14"/>
  <c r="P76" i="14"/>
  <c r="Q76" i="14"/>
  <c r="O77" i="14"/>
  <c r="P77" i="14"/>
  <c r="Q77" i="14"/>
  <c r="O78" i="14"/>
  <c r="P78" i="14"/>
  <c r="Q78" i="14"/>
  <c r="O79" i="14"/>
  <c r="P79" i="14"/>
  <c r="Q79" i="14"/>
  <c r="N79" i="14"/>
  <c r="N78" i="14"/>
  <c r="N77" i="14"/>
  <c r="E82" i="14" l="1"/>
  <c r="H94" i="14"/>
  <c r="H97" i="14" s="1"/>
  <c r="H89" i="3"/>
  <c r="G89" i="3"/>
  <c r="E38" i="14"/>
  <c r="F89" i="3"/>
  <c r="O112" i="14"/>
  <c r="G71" i="3"/>
  <c r="H71" i="3"/>
  <c r="F71" i="3"/>
  <c r="G89" i="14"/>
  <c r="H89" i="14"/>
  <c r="F89" i="14"/>
  <c r="E89" i="14"/>
  <c r="F71" i="14"/>
  <c r="G71" i="14"/>
  <c r="H71" i="14"/>
  <c r="F94" i="14"/>
  <c r="F97" i="14" s="1"/>
  <c r="G94" i="14"/>
  <c r="G97" i="14" s="1"/>
  <c r="F97" i="3"/>
  <c r="G97" i="3"/>
  <c r="H97" i="3"/>
  <c r="E97" i="14"/>
  <c r="E97" i="3"/>
  <c r="J71" i="14" l="1"/>
  <c r="K71" i="14"/>
  <c r="I71" i="14"/>
  <c r="F111" i="3"/>
  <c r="E111" i="3"/>
  <c r="J10" i="6"/>
  <c r="K13" i="6"/>
  <c r="L111" i="14"/>
  <c r="F111" i="14"/>
  <c r="E111" i="14"/>
  <c r="H81" i="14"/>
  <c r="F137" i="14" l="1"/>
  <c r="G127" i="14"/>
  <c r="O11" i="14"/>
  <c r="E39" i="3" l="1"/>
  <c r="E40" i="3"/>
  <c r="E41" i="3"/>
  <c r="H39" i="3"/>
  <c r="H40" i="3"/>
  <c r="H41" i="3"/>
  <c r="G39" i="3"/>
  <c r="G40" i="3"/>
  <c r="G41" i="3"/>
  <c r="F39" i="3"/>
  <c r="F40" i="3"/>
  <c r="F41" i="3"/>
  <c r="H38" i="3"/>
  <c r="G38" i="3"/>
  <c r="F38" i="3"/>
  <c r="E38" i="3"/>
  <c r="E37" i="14"/>
  <c r="E36" i="14"/>
  <c r="F36" i="14"/>
  <c r="F37" i="14"/>
  <c r="F38" i="14"/>
  <c r="F33" i="14"/>
  <c r="F39" i="14" s="1"/>
  <c r="G36" i="14"/>
  <c r="G37" i="14"/>
  <c r="G38" i="14"/>
  <c r="G33" i="14"/>
  <c r="G39" i="14" s="1"/>
  <c r="H36" i="14"/>
  <c r="H37" i="14"/>
  <c r="H38" i="14"/>
  <c r="H33" i="14"/>
  <c r="H39" i="14" s="1"/>
  <c r="H35" i="14"/>
  <c r="G35" i="14"/>
  <c r="F35" i="14"/>
  <c r="E35" i="14"/>
  <c r="B39" i="14"/>
  <c r="B37" i="14"/>
  <c r="B36" i="14"/>
  <c r="I19" i="14"/>
  <c r="J19" i="14"/>
  <c r="I20" i="14"/>
  <c r="J20" i="14"/>
  <c r="I21" i="14"/>
  <c r="J21" i="14"/>
  <c r="I22" i="14"/>
  <c r="J22" i="14"/>
  <c r="I23" i="14"/>
  <c r="J23" i="14"/>
  <c r="I24" i="14"/>
  <c r="J24" i="14"/>
  <c r="I25" i="14"/>
  <c r="J25" i="14"/>
  <c r="I32" i="14"/>
  <c r="J32" i="14"/>
  <c r="O12" i="14"/>
  <c r="O14" i="14"/>
  <c r="G111" i="14"/>
  <c r="H111" i="14"/>
  <c r="O111" i="14" s="1"/>
  <c r="I111" i="14"/>
  <c r="J127" i="14"/>
  <c r="J111" i="14" s="1"/>
  <c r="K111" i="14"/>
  <c r="M127" i="14"/>
  <c r="M111" i="14" s="1"/>
  <c r="N111" i="14"/>
  <c r="P11" i="14"/>
  <c r="E83" i="3"/>
  <c r="F137" i="3"/>
  <c r="E137" i="3"/>
  <c r="G135" i="3"/>
  <c r="G128" i="3"/>
  <c r="G127" i="3"/>
  <c r="G111" i="3" s="1"/>
  <c r="G129" i="3"/>
  <c r="G130" i="3"/>
  <c r="E121" i="3"/>
  <c r="F121" i="3"/>
  <c r="G131" i="3"/>
  <c r="G132" i="3"/>
  <c r="G133" i="3"/>
  <c r="E125" i="3"/>
  <c r="F125" i="3"/>
  <c r="E123" i="3"/>
  <c r="F123" i="3"/>
  <c r="E122" i="3"/>
  <c r="F122" i="3"/>
  <c r="E120" i="3"/>
  <c r="F120" i="3"/>
  <c r="E119" i="3"/>
  <c r="F119" i="3"/>
  <c r="E118" i="3"/>
  <c r="F118" i="3"/>
  <c r="E117" i="3"/>
  <c r="F117" i="3"/>
  <c r="E90" i="3"/>
  <c r="E91" i="3"/>
  <c r="E92" i="3"/>
  <c r="E81" i="3"/>
  <c r="E82" i="3" s="1"/>
  <c r="M11" i="3"/>
  <c r="E137" i="14"/>
  <c r="E125" i="14"/>
  <c r="F125" i="14"/>
  <c r="E123" i="14"/>
  <c r="F123" i="14"/>
  <c r="E122" i="14"/>
  <c r="F122" i="14"/>
  <c r="E121" i="14"/>
  <c r="F121" i="14"/>
  <c r="F120" i="14"/>
  <c r="E119" i="14"/>
  <c r="F119" i="14"/>
  <c r="E118" i="14"/>
  <c r="F118" i="14"/>
  <c r="F117" i="14"/>
  <c r="G128" i="14"/>
  <c r="G129" i="14"/>
  <c r="G131" i="14"/>
  <c r="G132" i="14"/>
  <c r="G133" i="14"/>
  <c r="G135" i="14"/>
  <c r="E117" i="14"/>
  <c r="P25" i="6"/>
  <c r="P22" i="6"/>
  <c r="Q22" i="6"/>
  <c r="H77" i="14"/>
  <c r="H82" i="14" s="1"/>
  <c r="H72" i="14"/>
  <c r="G11" i="14"/>
  <c r="G12" i="14"/>
  <c r="G13" i="14"/>
  <c r="G14" i="14"/>
  <c r="G10" i="14"/>
  <c r="J10" i="14"/>
  <c r="J11" i="14"/>
  <c r="J12" i="14"/>
  <c r="M10" i="14"/>
  <c r="M11" i="14"/>
  <c r="M12" i="14"/>
  <c r="M13" i="14"/>
  <c r="J14" i="14"/>
  <c r="G11" i="3"/>
  <c r="G12" i="3"/>
  <c r="G13" i="3"/>
  <c r="G14" i="3"/>
  <c r="G10" i="3"/>
  <c r="J11" i="3"/>
  <c r="J12" i="3"/>
  <c r="J10" i="3"/>
  <c r="M12" i="3"/>
  <c r="M10" i="3"/>
  <c r="U22" i="10"/>
  <c r="W16" i="10" s="1"/>
  <c r="R22" i="10"/>
  <c r="X16" i="10" s="1"/>
  <c r="O24" i="10"/>
  <c r="Y16" i="10" s="1"/>
  <c r="J128" i="14"/>
  <c r="J118" i="14" s="1"/>
  <c r="L125" i="14"/>
  <c r="L123" i="14"/>
  <c r="L122" i="14"/>
  <c r="L121" i="14"/>
  <c r="L120" i="14"/>
  <c r="L119" i="14"/>
  <c r="L118" i="14"/>
  <c r="L117" i="14"/>
  <c r="M135" i="14"/>
  <c r="M125" i="14" s="1"/>
  <c r="M133" i="14"/>
  <c r="M123" i="14" s="1"/>
  <c r="M132" i="14"/>
  <c r="M122" i="14" s="1"/>
  <c r="M131" i="14"/>
  <c r="M121" i="14" s="1"/>
  <c r="M130" i="14"/>
  <c r="M120" i="14" s="1"/>
  <c r="M129" i="14"/>
  <c r="M119" i="14" s="1"/>
  <c r="M128" i="14"/>
  <c r="M118" i="14" s="1"/>
  <c r="L137" i="14"/>
  <c r="I137" i="14"/>
  <c r="I125" i="14"/>
  <c r="I123" i="14"/>
  <c r="I122" i="14"/>
  <c r="I121" i="14"/>
  <c r="I120" i="14"/>
  <c r="I119" i="14"/>
  <c r="I118" i="14"/>
  <c r="I117" i="14"/>
  <c r="J135" i="14"/>
  <c r="J125" i="14" s="1"/>
  <c r="J133" i="14"/>
  <c r="J123" i="14" s="1"/>
  <c r="J132" i="14"/>
  <c r="J122" i="14" s="1"/>
  <c r="J131" i="14"/>
  <c r="J121" i="14" s="1"/>
  <c r="J130" i="14"/>
  <c r="J120" i="14" s="1"/>
  <c r="J129" i="14"/>
  <c r="J119" i="14" s="1"/>
  <c r="H125" i="14"/>
  <c r="H122" i="14"/>
  <c r="H121" i="14"/>
  <c r="H120" i="14"/>
  <c r="H119" i="14"/>
  <c r="H118" i="14"/>
  <c r="N118" i="14"/>
  <c r="N119" i="14"/>
  <c r="N120" i="14"/>
  <c r="N121" i="14"/>
  <c r="N122" i="14"/>
  <c r="N123" i="14"/>
  <c r="N125" i="14"/>
  <c r="K125" i="14"/>
  <c r="K123" i="14"/>
  <c r="K122" i="14"/>
  <c r="K121" i="14"/>
  <c r="K120" i="14"/>
  <c r="K119" i="14"/>
  <c r="K118" i="14"/>
  <c r="N117" i="14"/>
  <c r="K117" i="14"/>
  <c r="H117" i="14"/>
  <c r="L137" i="3"/>
  <c r="M135" i="3"/>
  <c r="M133" i="3"/>
  <c r="M132" i="3"/>
  <c r="M131" i="3"/>
  <c r="M130" i="3"/>
  <c r="M129" i="3"/>
  <c r="L125" i="3"/>
  <c r="M125" i="3" s="1"/>
  <c r="L123" i="3"/>
  <c r="M123" i="3" s="1"/>
  <c r="L122" i="3"/>
  <c r="M122" i="3" s="1"/>
  <c r="L121" i="3"/>
  <c r="M121" i="3" s="1"/>
  <c r="L120" i="3"/>
  <c r="M120" i="3" s="1"/>
  <c r="L119" i="3"/>
  <c r="M119" i="3" s="1"/>
  <c r="J135" i="3"/>
  <c r="J133" i="3"/>
  <c r="J132" i="3"/>
  <c r="J131" i="3"/>
  <c r="J130" i="3"/>
  <c r="J129" i="3"/>
  <c r="I125" i="3"/>
  <c r="J125" i="3" s="1"/>
  <c r="I123" i="3"/>
  <c r="J123" i="3" s="1"/>
  <c r="I122" i="3"/>
  <c r="J122" i="3" s="1"/>
  <c r="I121" i="3"/>
  <c r="J121" i="3" s="1"/>
  <c r="I120" i="3"/>
  <c r="J120" i="3" s="1"/>
  <c r="I119" i="3"/>
  <c r="J119" i="3" s="1"/>
  <c r="I137" i="3"/>
  <c r="M128" i="3"/>
  <c r="L118" i="3"/>
  <c r="M118" i="3" s="1"/>
  <c r="L117" i="3"/>
  <c r="M117" i="3" s="1"/>
  <c r="I118" i="3"/>
  <c r="J118" i="3" s="1"/>
  <c r="J128" i="3"/>
  <c r="I117" i="3"/>
  <c r="J117" i="3" s="1"/>
  <c r="M127" i="3"/>
  <c r="J127" i="3"/>
  <c r="F83" i="14"/>
  <c r="O80" i="14" s="1"/>
  <c r="G83" i="14"/>
  <c r="P80" i="14" s="1"/>
  <c r="H83" i="14"/>
  <c r="Q80" i="14" s="1"/>
  <c r="F81" i="14"/>
  <c r="G81" i="14"/>
  <c r="F77" i="14"/>
  <c r="G77" i="14"/>
  <c r="T29" i="6"/>
  <c r="S29" i="6"/>
  <c r="R29" i="6"/>
  <c r="Q29" i="6"/>
  <c r="P29" i="6"/>
  <c r="Q25" i="6"/>
  <c r="R25" i="6"/>
  <c r="S25" i="6"/>
  <c r="T25" i="6"/>
  <c r="T21" i="6"/>
  <c r="S21" i="6"/>
  <c r="R21" i="6"/>
  <c r="Q21" i="6"/>
  <c r="F92" i="3"/>
  <c r="F83" i="3"/>
  <c r="F81" i="3"/>
  <c r="G92" i="3"/>
  <c r="G83" i="3"/>
  <c r="G81" i="3"/>
  <c r="H92" i="3"/>
  <c r="H83" i="3"/>
  <c r="H77" i="3"/>
  <c r="H81" i="3"/>
  <c r="F77" i="3"/>
  <c r="G77" i="3"/>
  <c r="F72" i="14"/>
  <c r="G72" i="14"/>
  <c r="E52" i="14"/>
  <c r="E56" i="14" s="1"/>
  <c r="F52" i="14"/>
  <c r="G52" i="14"/>
  <c r="H52" i="14"/>
  <c r="M14" i="14"/>
  <c r="L19" i="10"/>
  <c r="Z16" i="10" s="1"/>
  <c r="H102" i="3"/>
  <c r="H101" i="3"/>
  <c r="G102" i="3"/>
  <c r="G101" i="3"/>
  <c r="F102" i="3"/>
  <c r="F101" i="3"/>
  <c r="G52" i="3"/>
  <c r="G56" i="3" s="1"/>
  <c r="H52" i="3"/>
  <c r="H56" i="3" s="1"/>
  <c r="F52" i="3"/>
  <c r="F56" i="3" s="1"/>
  <c r="E56" i="3"/>
  <c r="E33" i="3"/>
  <c r="H33" i="3"/>
  <c r="H42" i="3" s="1"/>
  <c r="G33" i="3"/>
  <c r="G42" i="3" s="1"/>
  <c r="F33" i="3"/>
  <c r="F42" i="3" s="1"/>
  <c r="H14" i="3"/>
  <c r="J14" i="3" s="1"/>
  <c r="I13" i="3"/>
  <c r="H13" i="3"/>
  <c r="L14" i="3"/>
  <c r="K14" i="3"/>
  <c r="M13" i="3"/>
  <c r="G90" i="3"/>
  <c r="G91" i="3"/>
  <c r="F90" i="3"/>
  <c r="F91" i="3"/>
  <c r="H91" i="3"/>
  <c r="H90" i="3"/>
  <c r="F82" i="3" l="1"/>
  <c r="G137" i="3"/>
  <c r="I52" i="14"/>
  <c r="J52" i="14"/>
  <c r="J72" i="14"/>
  <c r="G90" i="14"/>
  <c r="P81" i="14"/>
  <c r="N80" i="14"/>
  <c r="H91" i="14"/>
  <c r="Q81" i="14"/>
  <c r="F91" i="14"/>
  <c r="O81" i="14"/>
  <c r="E90" i="14"/>
  <c r="N81" i="14"/>
  <c r="I72" i="14"/>
  <c r="G122" i="3"/>
  <c r="G117" i="14"/>
  <c r="G119" i="14"/>
  <c r="G123" i="14"/>
  <c r="F90" i="14"/>
  <c r="H90" i="14"/>
  <c r="J137" i="3"/>
  <c r="H82" i="3"/>
  <c r="M14" i="3"/>
  <c r="G91" i="14"/>
  <c r="H92" i="14"/>
  <c r="G82" i="14"/>
  <c r="F82" i="14"/>
  <c r="E43" i="3"/>
  <c r="G120" i="3"/>
  <c r="G123" i="3"/>
  <c r="G125" i="3"/>
  <c r="M137" i="3"/>
  <c r="F43" i="3"/>
  <c r="G121" i="3"/>
  <c r="J13" i="3"/>
  <c r="G117" i="3"/>
  <c r="G82" i="3"/>
  <c r="H43" i="3"/>
  <c r="G119" i="3"/>
  <c r="G56" i="14"/>
  <c r="M117" i="14"/>
  <c r="F56" i="14"/>
  <c r="J117" i="14"/>
  <c r="I33" i="14"/>
  <c r="G118" i="3"/>
  <c r="G122" i="14"/>
  <c r="J137" i="14"/>
  <c r="G92" i="14"/>
  <c r="F92" i="14"/>
  <c r="G137" i="14"/>
  <c r="G125" i="14"/>
  <c r="H56" i="14"/>
  <c r="G121" i="14"/>
  <c r="G118" i="14"/>
  <c r="H40" i="14"/>
  <c r="G120" i="14"/>
  <c r="F40" i="14"/>
  <c r="M137" i="14"/>
  <c r="J33" i="14"/>
  <c r="G40" i="14"/>
  <c r="E92" i="14"/>
  <c r="G43" i="3"/>
  <c r="E91" i="14"/>
  <c r="N36" i="14" l="1"/>
  <c r="N39" i="14"/>
  <c r="N37" i="14"/>
  <c r="K56" i="14"/>
  <c r="J56" i="14"/>
  <c r="I56" i="14"/>
  <c r="N40" i="14"/>
  <c r="N3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H15" authorId="0" shapeId="0" xr:uid="{7E96286C-68AB-4133-AF70-FB840EA76AF2}">
      <text>
        <r>
          <rPr>
            <sz val="11"/>
            <color indexed="81"/>
            <rFont val="Verdana"/>
            <family val="2"/>
          </rPr>
          <t>For the purposes of this indicator, customers are classified as active in the fossil fuel sector where a significant proportion (generally understood as a majority) of their revenue is derived from fossil fuel extraction or primary processing. Diversified industrial and chemicals customers are not classified as fossil fuel companies where fossil-related activities are not their primary revenue source.
As a supplier of products and technologies across a range of industrial value chains, this counterparty-based metric does not fully reflect the extent to which our products may be used in fossil fuel-related applications.</t>
        </r>
      </text>
    </comment>
    <comment ref="H19" authorId="0" shapeId="0" xr:uid="{11C9516C-6F64-4172-8CCB-63793648F01A}">
      <text>
        <r>
          <rPr>
            <b/>
            <sz val="9"/>
            <color indexed="81"/>
            <rFont val="Tahoma"/>
            <family val="2"/>
          </rPr>
          <t>Site survey to be updated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tc={D3D927BC-1CDB-4513-B406-DEBDB920A912}</author>
    <author>tc={4E702EDD-0DD4-4CC2-8471-CFD1D7BD8A98}</author>
  </authors>
  <commentList>
    <comment ref="F58" authorId="0" shapeId="0" xr:uid="{D3D927BC-1CDB-4513-B406-DEBDB920A912}">
      <text>
        <t>[Threaded comment]
Your version of Excel allows you to read this threaded comment; however, any edits to it will get removed if the file is opened in a newer version of Excel. Learn more: https://go.microsoft.com/fwlink/?linkid=870924
Comment:
    @Tony Malone I dunno if you have to replicate this on the "actual" tab now?</t>
      </text>
    </comment>
    <comment ref="N134" authorId="1" shapeId="0" xr:uid="{4E702EDD-0DD4-4CC2-8471-CFD1D7BD8A98}">
      <text>
        <t>[Threaded comment]
Your version of Excel allows you to read this threaded comment; however, any edits to it will get removed if the file is opened in a newer version of Excel. Learn more: https://go.microsoft.com/fwlink/?linkid=870924
Comment:
    @Tony Malone I've just subtracted and got this number, is it ok? It was zero in 2019/20?
Reply:
    @Xin Ngfat We were not recording this data at this point so we do not have a number for this indicator</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tc={88CFE28E-21D1-4056-9225-B05788A1C467}</author>
    <author>tc={C02B732B-636A-4CEB-815E-3948C14291C4}</author>
    <author>tc={02AD94CE-5BA5-4EDE-8525-A8931064BB55}</author>
    <author>tc={BEFF355C-3301-4268-899F-0446A980FBF7}</author>
    <author>tc={6E85BAEE-3492-4EDB-A49D-4F4B86EF50CB}</author>
    <author>tc={001970F9-6B2E-4346-99A5-39219D8D021B}</author>
    <author>tc={03841D26-5513-474E-A67B-CF977A8D9E33}</author>
    <author>tc={E9077630-1FCD-49E0-8638-50CEE60F698E}</author>
    <author>tc={8D7664A8-D9AB-409E-BC7A-63330965D85C}</author>
    <author>tc={24774F3C-A95F-4E42-B59F-47A22CD07DB5}</author>
    <author>tc={65C9ADAF-508A-4C6E-B538-0C965DAA136B}</author>
    <author>tc={A2CA4E63-ED3C-426E-B8D2-FEF83A215810}</author>
    <author>tc={D0DCF2E0-067B-4DB8-8039-E4686F86BC52}</author>
    <author>tc={FD15BE50-FFBA-48D5-AEB0-A413712E4AD2}</author>
    <author>tc={728C9CDD-C922-4B62-BF8F-21E63D9803F2}</author>
    <author>tc={7E8A7E52-B244-4F21-B8F8-040ABF19BEC2}</author>
  </authors>
  <commentList>
    <comment ref="B32" authorId="0" shapeId="0" xr:uid="{88CFE28E-21D1-4056-9225-B05788A1C467}">
      <text>
        <t>[Threaded comment]
Your version of Excel allows you to read this threaded comment; however, any edits to it will get removed if the file is opened in a newer version of Excel. Learn more: https://go.microsoft.com/fwlink/?linkid=870924
Comment:
    @Victoria Barlow - for your team to provide numbers once finalised. Thank you.</t>
      </text>
    </comment>
    <comment ref="D33" authorId="1" shapeId="0" xr:uid="{C02B732B-636A-4CEB-815E-3948C14291C4}">
      <text>
        <t>[Threaded comment]
Your version of Excel allows you to read this threaded comment; however, any edits to it will get removed if the file is opened in a newer version of Excel. Learn more: https://go.microsoft.com/fwlink/?linkid=870924
Comment:
    @Trevor Rouse are these numbers as at 31st March 2023 or avg numbers over the financial year?
Reply:
    As at 31st March 2023</t>
      </text>
    </comment>
    <comment ref="C34" authorId="2" shapeId="0" xr:uid="{02AD94CE-5BA5-4EDE-8525-A8931064BB55}">
      <text>
        <t>[Threaded comment]
Your version of Excel allows you to read this threaded comment; however, any edits to it will get removed if the file is opened in a newer version of Excel. Learn more: https://go.microsoft.com/fwlink/?linkid=870924
Comment:
    @Trevor Rouse do you have a definition we can use here? preferably not with GG12+ as that won't mean anything externally
Reply:
    All employees whether they are a People manager or not at a minimum pay grade</t>
      </text>
    </comment>
    <comment ref="M34" authorId="3" shapeId="0" xr:uid="{BEFF355C-3301-4268-899F-0446A980FBF7}">
      <text>
        <t>[Threaded comment]
Your version of Excel allows you to read this threaded comment; however, any edits to it will get removed if the file is opened in a newer version of Excel. Learn more: https://go.microsoft.com/fwlink/?linkid=870924
Comment:
    @Trevor Rouse please could you just confirm this number for me, make sure you are happy with the split and that this is 28% for 2022/23
Reply:
    Yes - happy with the split and the 28%</t>
      </text>
    </comment>
    <comment ref="B37" authorId="4" shapeId="0" xr:uid="{6E85BAEE-3492-4EDB-A49D-4F4B86EF50CB}">
      <text>
        <t>[Threaded comment]
Your version of Excel allows you to read this threaded comment; however, any edits to it will get removed if the file is opened in a newer version of Excel. Learn more: https://go.microsoft.com/fwlink/?linkid=870924
Comment:
    VB reviewed and confirmed 21/04/23
Reply:
    @Victoria Barlow thank you, do we have any historical data?
Reply:
    @Victoria Barlow is there any prior years data available?
Reply:
    @Holly Scott are you able to provide prior year ages?
Reply:
    @Xin Ngfat added in
Reply:
    @Victoria Barlow @Holly Scott definitely some numbers in there</t>
      </text>
    </comment>
    <comment ref="C47" authorId="5" shapeId="0" xr:uid="{001970F9-6B2E-4346-99A5-39219D8D021B}">
      <text>
        <t>[Threaded comment]
Your version of Excel allows you to read this threaded comment; however, any edits to it will get removed if the file is opened in a newer version of Excel. Learn more: https://go.microsoft.com/fwlink/?linkid=870924
Comment:
    @Trevor Rouse why is this? Age details voluntary?
Reply:
    Yes - age details voluntary</t>
      </text>
    </comment>
    <comment ref="C51" authorId="6" shapeId="0" xr:uid="{03841D26-5513-474E-A67B-CF977A8D9E33}">
      <text>
        <t>[Threaded comment]
Your version of Excel allows you to read this threaded comment; however, any edits to it will get removed if the file is opened in a newer version of Excel. Learn more: https://go.microsoft.com/fwlink/?linkid=870924
Comment:
    @Trevor Rouse
Reply:
    Employee turnover rate initiated by employer</t>
      </text>
    </comment>
    <comment ref="C53" authorId="7" shapeId="0" xr:uid="{E9077630-1FCD-49E0-8638-50CEE60F698E}">
      <text>
        <t>[Threaded comment]
Your version of Excel allows you to read this threaded comment; however, any edits to it will get removed if the file is opened in a newer version of Excel. Learn more: https://go.microsoft.com/fwlink/?linkid=870924
Comment:
    @Trevor Rouse can we put in the calculation detail please of first day, last day etc
Reply:
    @Trevor Rouse and perm employee only
Reply:
    @Xin Ngfat - think you have this now - number of leavers over last 12 months divided by average headcount say as at data points 1 April 2022 and 31 March 2023</t>
      </text>
    </comment>
    <comment ref="C54" authorId="8" shapeId="0" xr:uid="{8D7664A8-D9AB-409E-BC7A-63330965D85C}">
      <text>
        <t>[Threaded comment]
Your version of Excel allows you to read this threaded comment; however, any edits to it will get removed if the file is opened in a newer version of Excel. Learn more: https://go.microsoft.com/fwlink/?linkid=870924
Comment:
    @Trevor Rouse
Reply:
    Employee turnover rate initiated by employer</t>
      </text>
    </comment>
    <comment ref="C94" authorId="9" shapeId="0" xr:uid="{24774F3C-A95F-4E42-B59F-47A22CD07DB5}">
      <text>
        <t>[Threaded comment]
Your version of Excel allows you to read this threaded comment; however, any edits to it will get removed if the file is opened in a newer version of Excel. Learn more: https://go.microsoft.com/fwlink/?linkid=870924
Comment:
    @Trevor Rouse could you provide this excl health please - I think it's 12510 this year, any idea for historical?</t>
      </text>
    </comment>
    <comment ref="B115" authorId="10" shapeId="0" xr:uid="{65C9ADAF-508A-4C6E-B538-0C965DAA136B}">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24" authorId="11" shapeId="0" xr:uid="{A2CA4E63-ED3C-426E-B8D2-FEF83A215810}">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32" authorId="12" shapeId="0" xr:uid="{D0DCF2E0-067B-4DB8-8039-E4686F86BC52}">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38" authorId="13" shapeId="0" xr:uid="{FD15BE50-FFBA-48D5-AEB0-A413712E4AD2}">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C151" authorId="14" shapeId="0" xr:uid="{728C9CDD-C922-4B62-BF8F-21E63D9803F2}">
      <text>
        <t>[Threaded comment]
Your version of Excel allows you to read this threaded comment; however, any edits to it will get removed if the file is opened in a newer version of Excel. Learn more: https://go.microsoft.com/fwlink/?linkid=870924
Comment:
    @Julie Bolam to confirm once happy with the breakdown of numbers please.
Reply:
    Only JM employees assigned Comp Law and ABAC. Code of Ethics to CW and JM . 
Reply:
    @Julie Bolam 
So Comp law and ABC to permanent employees only
Code of Ethics to perm staff and temp staff with contracts over 3 months</t>
      </text>
    </comment>
    <comment ref="C182" authorId="15" shapeId="0" xr:uid="{7E8A7E52-B244-4F21-B8F8-040ABF19BEC2}">
      <text>
        <t>[Threaded comment]
Your version of Excel allows you to read this threaded comment; however, any edits to it will get removed if the file is opened in a newer version of Excel. Learn more: https://go.microsoft.com/fwlink/?linkid=870924
Comment:
    @Julie Bolam to confirm once happy with the breakdown of numbers please.
Reply:
    Only JM employees assigned Comp Law and ABAC. Code of Ethics to CW and JM . 
Reply:
    @Julie Bolam 
So Comp law and ABC to permanent employees only
Code of Ethics to perm staff and temp staff with contracts over 3 months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B12" authorId="0" shapeId="0" xr:uid="{8666A49C-821A-4BA8-ACD5-059BF6F66435}">
      <text>
        <r>
          <rPr>
            <sz val="10"/>
            <color indexed="81"/>
            <rFont val="Verdana"/>
            <family val="2"/>
          </rPr>
          <t xml:space="preserve">
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CO2 or CO2 equivalents that we directly emit. The GHG that we consider are those mentioned in the Kyoto Protocol and cover CH4, N2O and refrigerant gases in addition to CO2.  Scope 1 emissions also include emissions from fuel used in JM owned vehicles.
Scope 1 emissions from fuel use are calculated by applying calorific values and emission factors sourced from DEFRA </t>
        </r>
      </text>
    </comment>
    <comment ref="B13" authorId="0" shapeId="0" xr:uid="{A1B4E1F2-BF85-4FCF-8EF8-3F1351495022}">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r>
      </text>
    </comment>
    <comment ref="B14" authorId="0" shapeId="0" xr:uid="{0E167E7A-78AE-4E01-92B9-F2F9DC06A4E9}">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r>
      </text>
    </comment>
    <comment ref="B15" authorId="0" shapeId="0" xr:uid="{BB15AA27-163E-4173-9A0C-ED199EDE971A}">
      <text>
        <r>
          <rPr>
            <sz val="10"/>
            <color indexed="81"/>
            <rFont val="Verdana"/>
            <family val="2"/>
          </rPr>
          <t xml:space="preserve">
This is our operational GHG footprint using the Scope 1 emissions and the market based Scope 2 emissions as stated above.</t>
        </r>
      </text>
    </comment>
    <comment ref="B16" authorId="0" shapeId="0" xr:uid="{C5CFD619-63CF-4C03-A663-A62299BB8E4F}">
      <text>
        <r>
          <rPr>
            <sz val="10"/>
            <color indexed="81"/>
            <rFont val="Verdana"/>
            <family val="2"/>
          </rPr>
          <t xml:space="preserve">
This is our operational GHG footprint using the Scope 1 emissions and the location based Scope 2 emissions as stated above.</t>
        </r>
      </text>
    </comment>
    <comment ref="B17" authorId="0" shapeId="0" xr:uid="{3D39FBB3-BB97-4466-AB8F-81FAFE2A7B63}">
      <text>
        <r>
          <rPr>
            <sz val="10"/>
            <color indexed="81"/>
            <rFont val="Verdana"/>
            <family val="2"/>
          </rPr>
          <t xml:space="preserve">
This is the total scope 1 GHG emissions and  Scope 2 GHG emissions based on the market values factored against the weight of product sold.
UK - This is the (UK) total scope 1 GHG emissions and  Scope 2 GHG emissions based on the market values factored against the weight of product manufatured in the UK and sold.</t>
        </r>
      </text>
    </comment>
    <comment ref="B22" authorId="0" shapeId="0" xr:uid="{5137AD46-C394-43D4-ABAE-2A9AB9C684D0}">
      <text>
        <r>
          <rPr>
            <sz val="10"/>
            <color indexed="81"/>
            <rFont val="Verdana"/>
            <family val="2"/>
          </rPr>
          <t>This is the total energy consumed by JM (expressed in MWh)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r>
      </text>
    </comment>
    <comment ref="B23" authorId="0" shapeId="0" xr:uid="{DCE85ACF-B12D-449F-932C-C499FA7E9B3C}">
      <text>
        <r>
          <rPr>
            <sz val="10"/>
            <color indexed="81"/>
            <rFont val="Verdana"/>
            <family val="2"/>
          </rPr>
          <t>This is the total energy used by the business divided by amount of materials sold to customers.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I13" authorId="0" shapeId="0" xr:uid="{DAC62344-D2A4-4020-8557-DA9A28FD2F8D}">
      <text>
        <r>
          <rPr>
            <b/>
            <sz val="9"/>
            <color indexed="81"/>
            <rFont val="Tahoma"/>
            <family val="2"/>
          </rPr>
          <t>Excludes CT business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B96" authorId="0" shapeId="0" xr:uid="{1FA65024-13AF-437B-9194-2661CD9BB07A}">
      <text>
        <r>
          <rPr>
            <sz val="9"/>
            <color indexed="81"/>
            <rFont val="Tahoma"/>
            <family val="2"/>
          </rPr>
          <t>Total water returned to the source of extraction at similar or higher quality as raw water extracted</t>
        </r>
      </text>
    </comment>
    <comment ref="B169" authorId="0" shapeId="0" xr:uid="{D8B96B5A-9666-4759-A928-C6F59D95D79E}">
      <text>
        <r>
          <rPr>
            <sz val="10"/>
            <color indexed="81"/>
            <rFont val="Verdana"/>
            <family val="2"/>
          </rPr>
          <t xml:space="preserve">Global Weight of product sold. </t>
        </r>
      </text>
    </comment>
    <comment ref="E174" authorId="0" shapeId="0" xr:uid="{69FD71DF-C788-4F80-B1AC-411AACE2AC24}">
      <text>
        <r>
          <rPr>
            <sz val="11"/>
            <color indexed="81"/>
            <rFont val="Verdana"/>
            <family val="2"/>
          </rPr>
          <t>restated</t>
        </r>
      </text>
    </comment>
    <comment ref="B176" authorId="0" shapeId="0" xr:uid="{F7E95F03-F1A3-434D-B586-0153434D221C}">
      <text>
        <r>
          <rPr>
            <sz val="10"/>
            <color indexed="81"/>
            <rFont val="Verdana"/>
            <family val="2"/>
          </rPr>
          <t>Total monetary value of all the fines classified as significant during the year.
Fines are reported as signficant if the individual fine was over $10,000 USD (or equivalent in converted currency)</t>
        </r>
      </text>
    </comment>
    <comment ref="D176" authorId="0" shapeId="0" xr:uid="{8637860C-5753-4DB3-A5E0-8C505F48A415}">
      <text>
        <r>
          <rPr>
            <sz val="10"/>
            <color indexed="81"/>
            <rFont val="Verdana"/>
            <family val="2"/>
          </rPr>
          <t>As noted above, this fine relates to the review period 2018-2022 and is the total combined fine received.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tc={045CEAD6-44D5-4DE1-AE3A-0499C42C9616}</author>
    <author>tc={D8177E34-4D20-4233-952E-063C50A69C81}</author>
    <author>tc={EB1C496A-7E95-46CD-B1C4-2C14A77160C9}</author>
    <author>tc={31588365-2E37-48C3-A341-F195A3CC917D}</author>
    <author>tc={6DE5A362-2CB6-4CAE-918A-B45D7D1B215B}</author>
    <author>tc={66A0C1D0-063F-46BA-B2B7-35584E49DB76}</author>
    <author>tc={7395D06B-4809-436C-8613-C7B8EA4843EA}</author>
    <author>tc={E2DACDBD-2CE9-404F-9CD1-EA1926F7E895}</author>
    <author>tc={5BBA88AF-99A1-4EE5-A219-EE93D2238B34}</author>
    <author>tc={2C43F909-8CE6-44CD-A9BD-F2A9F2136806}</author>
    <author>tc={DCA6DCC2-4F95-4441-8A02-030ECD0194BB}</author>
    <author>tc={E5EF1409-32A3-47D2-95CD-E380E26A28E5}</author>
    <author>tc={B6AECDD5-0693-4415-B7BC-DF4F010AB5EF}</author>
    <author>tc={FD31075B-9724-4D99-9246-CAB9D9771295}</author>
    <author>tc={2D5D4FAA-F4DC-4012-BB10-693DB2B05DC8}</author>
    <author>tc={05FA9193-32F8-40FA-BE15-690D7028CBCC}</author>
    <author>tc={F313A705-16E2-42CA-911B-106A4110655C}</author>
    <author>tc={0218E8B7-C208-4FBE-8BF2-6D8FB15A903F}</author>
    <author>tc={1E44BA25-80ED-4FB3-9E92-571D4DF6C243}</author>
    <author>tc={4B56B321-22A0-41E6-BEBD-72F8A1AB0AB7}</author>
    <author>tc={C8765530-3B60-4CEF-A961-F5F29077E42B}</author>
    <author>tc={56C32388-E193-46ED-9ACA-92FB0958F5BB}</author>
    <author>tc={E99AD1A7-DF42-4DF8-BA52-F02DF784972E}</author>
    <author>tc={1E0FCF4C-9EEA-4D19-B7A5-51AF4D59D8FE}</author>
    <author>tc={ABC36D99-FAA2-463C-B701-6B82A6B210FA}</author>
    <author>tc={07B07872-8C1B-4596-8DAE-D7873EADC94A}</author>
    <author>tc={29719286-53A7-48C2-8938-DF1D49675701}</author>
    <author>tc={1A878988-3E19-4FE6-A6B1-9181675A35CC}</author>
    <author>tc={3E34FCC1-B6DB-4896-A1B4-C063FABAF873}</author>
    <author>tc={E2276F93-69E3-4439-8844-5EA8EE80479C}</author>
  </authors>
  <commentList>
    <comment ref="H10" authorId="0" shapeId="0" xr:uid="{045CEAD6-44D5-4DE1-AE3A-0499C42C961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0" authorId="1" shapeId="0" xr:uid="{D8177E34-4D20-4233-952E-063C50A69C81}">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0" authorId="2" shapeId="0" xr:uid="{EB1C496A-7E95-46CD-B1C4-2C14A77160C9}">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0" authorId="3" shapeId="0" xr:uid="{31588365-2E37-48C3-A341-F195A3CC917D}">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0" authorId="4" shapeId="0" xr:uid="{6DE5A362-2CB6-4CAE-918A-B45D7D1B215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0" authorId="5" shapeId="0" xr:uid="{66A0C1D0-063F-46BA-B2B7-35584E49DB7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0" authorId="6" shapeId="0" xr:uid="{7395D06B-4809-436C-8613-C7B8EA4843EA}">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H13" authorId="7" shapeId="0" xr:uid="{E2DACDBD-2CE9-404F-9CD1-EA1926F7E89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3" authorId="8" shapeId="0" xr:uid="{5BBA88AF-99A1-4EE5-A219-EE93D2238B34}">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3" authorId="9" shapeId="0" xr:uid="{2C43F909-8CE6-44CD-A9BD-F2A9F213680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3" authorId="10" shapeId="0" xr:uid="{DCA6DCC2-4F95-4441-8A02-030ECD0194B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3" authorId="11" shapeId="0" xr:uid="{E5EF1409-32A3-47D2-95CD-E380E26A28E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3" authorId="12" shapeId="0" xr:uid="{B6AECDD5-0693-4415-B7BC-DF4F010AB5EF}">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3" authorId="13" shapeId="0" xr:uid="{FD31075B-9724-4D99-9246-CAB9D977129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H14" authorId="14" shapeId="0" xr:uid="{2D5D4FAA-F4DC-4012-BB10-693DB2B05DC8}">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4" authorId="15" shapeId="0" xr:uid="{05FA9193-32F8-40FA-BE15-690D7028CBCC}">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4" authorId="16" shapeId="0" xr:uid="{F313A705-16E2-42CA-911B-106A4110655C}">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4" authorId="17" shapeId="0" xr:uid="{0218E8B7-C208-4FBE-8BF2-6D8FB15A903F}">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4" authorId="18" shapeId="0" xr:uid="{1E44BA25-80ED-4FB3-9E92-571D4DF6C243}">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4" authorId="19" shapeId="0" xr:uid="{4B56B321-22A0-41E6-BEBD-72F8A1AB0AB7}">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4" authorId="20" shapeId="0" xr:uid="{C8765530-3B60-4CEF-A961-F5F29077E42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G100" authorId="21" shapeId="0" xr:uid="{56C32388-E193-46ED-9ACA-92FB0958F5BB}">
      <text>
        <t>[Threaded comment]
Your version of Excel allows you to read this threaded comment; however, any edits to it will get removed if the file is opened in a newer version of Excel. Learn more: https://go.microsoft.com/fwlink/?linkid=870924
Comment:
    Original data was 298,955 kg</t>
      </text>
    </comment>
    <comment ref="H100" authorId="22" shapeId="0" xr:uid="{E99AD1A7-DF42-4DF8-BA52-F02DF784972E}">
      <text>
        <t>[Threaded comment]
Your version of Excel allows you to read this threaded comment; however, any edits to it will get removed if the file is opened in a newer version of Excel. Learn more: https://go.microsoft.com/fwlink/?linkid=870924
Comment:
    Original value was 301,869</t>
      </text>
    </comment>
    <comment ref="K120" authorId="23" shapeId="0" xr:uid="{1E0FCF4C-9EEA-4D19-B7A5-51AF4D59D8FE}">
      <text>
        <t>[Threaded comment]
Your version of Excel allows you to read this threaded comment; however, any edits to it will get removed if the file is opened in a newer version of Excel. Learn more: https://go.microsoft.com/fwlink/?linkid=870924
Comment:
    Original value before rstatement was 4107694</t>
      </text>
    </comment>
    <comment ref="K122" authorId="24" shapeId="0" xr:uid="{ABC36D99-FAA2-463C-B701-6B82A6B210FA}">
      <text>
        <t>[Threaded comment]
Your version of Excel allows you to read this threaded comment; however, any edits to it will get removed if the file is opened in a newer version of Excel. Learn more: https://go.microsoft.com/fwlink/?linkid=870924
Comment:
    Original value before restatement was 1224735</t>
      </text>
    </comment>
    <comment ref="K125" authorId="25" shapeId="0" xr:uid="{07B07872-8C1B-4596-8DAE-D7873EADC94A}">
      <text>
        <t>[Threaded comment]
Your version of Excel allows you to read this threaded comment; however, any edits to it will get removed if the file is opened in a newer version of Excel. Learn more: https://go.microsoft.com/fwlink/?linkid=870924
Comment:
    Original value before restatement was 615809</t>
      </text>
    </comment>
    <comment ref="K130" authorId="26" shapeId="0" xr:uid="{29719286-53A7-48C2-8938-DF1D49675701}">
      <text>
        <t>[Threaded comment]
Your version of Excel allows you to read this threaded comment; however, any edits to it will get removed if the file is opened in a newer version of Excel. Learn more: https://go.microsoft.com/fwlink/?linkid=870924
Comment:
    Original value last year of 141026138 changed after energy restatements for renewable energy</t>
      </text>
    </comment>
    <comment ref="K132" authorId="27" shapeId="0" xr:uid="{1A878988-3E19-4FE6-A6B1-9181675A35CC}">
      <text>
        <t>[Threaded comment]
Your version of Excel allows you to read this threaded comment; however, any edits to it will get removed if the file is opened in a newer version of Excel. Learn more: https://go.microsoft.com/fwlink/?linkid=870924
Comment:
    Original value from last year reported was 340204183 Following restatement has altered</t>
      </text>
    </comment>
    <comment ref="K135" authorId="28" shapeId="0" xr:uid="{3E34FCC1-B6DB-4896-A1B4-C063FABAF873}">
      <text>
        <t>[Threaded comment]
Your version of Excel allows you to read this threaded comment; however, any edits to it will get removed if the file is opened in a newer version of Excel. Learn more: https://go.microsoft.com/fwlink/?linkid=870924
Comment:
    Original value before correction was 171,057,996</t>
      </text>
    </comment>
    <comment ref="K137" authorId="29" shapeId="0" xr:uid="{E2276F93-69E3-4439-8844-5EA8EE80479C}">
      <text>
        <t>[Threaded comment]
Your version of Excel allows you to read this threaded comment; however, any edits to it will get removed if the file is opened in a newer version of Excel. Learn more: https://go.microsoft.com/fwlink/?linkid=870924
Comment:
    Original value was 30.9% before restatement of renewable electricity</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Xin Ngfat</author>
    <author>Gary Machin</author>
    <author>Katy Lovatt</author>
  </authors>
  <commentList>
    <comment ref="B9" authorId="0" shapeId="0" xr:uid="{7910B1E4-5035-4D02-8351-FDB929F53EEB}">
      <text>
        <r>
          <rPr>
            <b/>
            <sz val="10"/>
            <color indexed="81"/>
            <rFont val="Verdana"/>
            <family val="2"/>
          </rPr>
          <t>Definition:</t>
        </r>
        <r>
          <rPr>
            <sz val="10"/>
            <color indexed="81"/>
            <rFont val="Verdana"/>
            <family val="2"/>
          </rPr>
          <t xml:space="preserve"> 
The OSHA severity rate monitors the severity of injuries occurring at JM sites by counting all the lost days away from normal work (including restricted duties) for all personnel conducting its process activities (i.e. employees, temporary staff and agency employees). The total number of injuries is multiplied by the 200,000 OSHA standardised factor and divided by the total number of hours worked (by employees, temps and agency employees).
</t>
        </r>
      </text>
    </comment>
    <comment ref="H9" authorId="1" shapeId="0" xr:uid="{F481ED05-4435-4157-83AB-D76295EE9B00}">
      <text>
        <r>
          <rPr>
            <sz val="10"/>
            <color theme="1"/>
            <rFont val="Verdana"/>
            <family val="2"/>
          </rPr>
          <t xml:space="preserve">
Higher value than previous years due to several ergonomic (musculo-skeletal) events in North America region resulting in &gt;180 total  lost and or restricted days</t>
        </r>
      </text>
    </comment>
    <comment ref="J9" authorId="1" shapeId="0" xr:uid="{C2951AC0-0489-4D80-A750-EEE64A7145EC}">
      <text>
        <r>
          <rPr>
            <b/>
            <sz val="10"/>
            <color theme="1"/>
            <rFont val="Verdana"/>
            <family val="2"/>
          </rPr>
          <t>Restatement:</t>
        </r>
        <r>
          <rPr>
            <sz val="10"/>
            <color theme="1"/>
            <rFont val="Verdana"/>
            <family val="2"/>
          </rPr>
          <t xml:space="preserve">
Number restated due to further information received.</t>
        </r>
      </text>
    </comment>
    <comment ref="L9" authorId="0" shapeId="0" xr:uid="{32D55EE4-DD57-4E79-A044-7BEC59467A4C}">
      <text>
        <r>
          <rPr>
            <b/>
            <sz val="10"/>
            <color indexed="81"/>
            <rFont val="Verdana"/>
            <family val="2"/>
          </rPr>
          <t>Restatement:</t>
        </r>
        <r>
          <rPr>
            <sz val="10"/>
            <color indexed="81"/>
            <rFont val="Verdana"/>
            <family val="2"/>
          </rPr>
          <t xml:space="preserve">
restated value based on additional information received regarding injury/illness lost days and restricted days after initial 2021/022 submission.</t>
        </r>
      </text>
    </comment>
    <comment ref="B10" authorId="0" shapeId="0" xr:uid="{C592875A-ECC9-4A0A-A346-18F1E649444C}">
      <text>
        <r>
          <rPr>
            <b/>
            <sz val="9"/>
            <color indexed="81"/>
            <rFont val="Tahoma"/>
            <family val="2"/>
          </rPr>
          <t xml:space="preserve">Definition:
</t>
        </r>
        <r>
          <rPr>
            <sz val="10"/>
            <color indexed="81"/>
            <rFont val="Verdana"/>
            <family val="2"/>
          </rPr>
          <t>JM's total recordable injury and illness rate (TRIIR) is based upon the US OSHA accident reporting metric (using the OSHA 200,00 standardised multiplier), but additionally includes contractor accidents occurring whilst working on JM sites. It includes all injuries/illness requiring prescribed medical treatment or resulting in restricted/lost time.</t>
        </r>
        <r>
          <rPr>
            <sz val="9"/>
            <color indexed="81"/>
            <rFont val="Tahoma"/>
            <family val="2"/>
          </rPr>
          <t xml:space="preserve">
</t>
        </r>
      </text>
    </comment>
    <comment ref="H10" authorId="1" shapeId="0" xr:uid="{714C4DDE-E507-47C0-9332-FFC52BC6CACA}">
      <text>
        <r>
          <rPr>
            <b/>
            <sz val="11"/>
            <color indexed="81"/>
            <rFont val="Verdana"/>
            <family val="2"/>
          </rPr>
          <t>Restatement:</t>
        </r>
        <r>
          <rPr>
            <sz val="11"/>
            <color indexed="81"/>
            <rFont val="Verdana"/>
            <family val="2"/>
          </rPr>
          <t xml:space="preserve">
Number restated due to further information received post submission</t>
        </r>
      </text>
    </comment>
    <comment ref="B11" authorId="0" shapeId="0" xr:uid="{E5A4A2E5-0486-48FB-82B8-2D75B2BA41CE}">
      <text>
        <r>
          <rPr>
            <b/>
            <sz val="9"/>
            <color indexed="81"/>
            <rFont val="Tahoma"/>
            <family val="2"/>
          </rPr>
          <t>Definition:</t>
        </r>
        <r>
          <rPr>
            <sz val="9"/>
            <color indexed="81"/>
            <rFont val="Tahoma"/>
            <family val="2"/>
          </rPr>
          <t xml:space="preserve">
The total number of LTA's is a subset of the total recordables. 
Any involving Temporary Workers have been included under the "Contractors" heading.</t>
        </r>
      </text>
    </comment>
    <comment ref="H11" authorId="1" shapeId="0" xr:uid="{FEA2DA7A-264C-4709-9177-34E5F2B0F298}">
      <text>
        <r>
          <rPr>
            <b/>
            <sz val="10"/>
            <color indexed="81"/>
            <rFont val="Verdana"/>
            <family val="2"/>
          </rPr>
          <t>Restatement:</t>
        </r>
        <r>
          <rPr>
            <sz val="10"/>
            <color indexed="81"/>
            <rFont val="Verdana"/>
            <family val="2"/>
          </rPr>
          <t xml:space="preserve">
due to changes after Mar-24</t>
        </r>
      </text>
    </comment>
    <comment ref="B12" authorId="0" shapeId="0" xr:uid="{7681DB1C-BC8C-4A9E-99B0-42C68AE83CE8}">
      <text>
        <r>
          <rPr>
            <b/>
            <sz val="10"/>
            <color indexed="81"/>
            <rFont val="Verdana"/>
            <family val="2"/>
          </rPr>
          <t>Definition:</t>
        </r>
        <r>
          <rPr>
            <sz val="10"/>
            <color indexed="81"/>
            <rFont val="Verdana"/>
            <family val="2"/>
          </rPr>
          <t xml:space="preserve">
JM's lost time injury frequency rate (LTIFR) uses a 1,000,000 standardised multiplier, and additionally includes contractor accidents occurring whilst working on JM sites.</t>
        </r>
      </text>
    </comment>
    <comment ref="J12" authorId="1" shapeId="0" xr:uid="{05AE2332-73FB-44A8-AEDF-C40C3642E9EC}">
      <text>
        <r>
          <rPr>
            <b/>
            <sz val="10"/>
            <color theme="1"/>
            <rFont val="Verdana"/>
            <family val="2"/>
          </rPr>
          <t>Restatement:</t>
        </r>
        <r>
          <rPr>
            <sz val="10"/>
            <color theme="1"/>
            <rFont val="Verdana"/>
            <family val="2"/>
          </rPr>
          <t xml:space="preserve">
Number restated due to further information received.</t>
        </r>
      </text>
    </comment>
    <comment ref="B13" authorId="0" shapeId="0" xr:uid="{F3D8CE6A-4232-432A-BF03-B3EA70C8EEDB}">
      <text>
        <r>
          <rPr>
            <b/>
            <sz val="10"/>
            <color indexed="81"/>
            <rFont val="Verdana"/>
            <family val="2"/>
          </rPr>
          <t>Definition:</t>
        </r>
        <r>
          <rPr>
            <sz val="10"/>
            <color indexed="81"/>
            <rFont val="Verdana"/>
            <family val="2"/>
          </rPr>
          <t xml:space="preserve">
JM's lost time injury and illness rate (LTIIR) is based upon the US OSHA accident reporting metric (using the OSHA 200,00 standardised multiplier) but additionally includes contractor accidents occurring whilst working on JM sites.</t>
        </r>
      </text>
    </comment>
    <comment ref="B22" authorId="0" shapeId="0" xr:uid="{6D78BF36-57C3-45B7-84F2-39DDF1204A6A}">
      <text>
        <r>
          <rPr>
            <b/>
            <sz val="10"/>
            <color indexed="81"/>
            <rFont val="Verdana"/>
            <family val="2"/>
          </rPr>
          <t>Definition:</t>
        </r>
        <r>
          <rPr>
            <sz val="10"/>
            <color indexed="81"/>
            <rFont val="Verdana"/>
            <family val="2"/>
          </rPr>
          <t xml:space="preserve">
Permanent employees, temporary employees and contractors</t>
        </r>
      </text>
    </comment>
    <comment ref="H22" authorId="0" shapeId="0" xr:uid="{D81F73E0-0D35-4E01-AD9A-D8BC9BECBA25}">
      <text>
        <r>
          <rPr>
            <b/>
            <sz val="10"/>
            <color indexed="81"/>
            <rFont val="Verdana"/>
            <family val="2"/>
          </rPr>
          <t>Restatement:</t>
        </r>
        <r>
          <rPr>
            <sz val="10"/>
            <color indexed="81"/>
            <rFont val="Verdana"/>
            <family val="2"/>
          </rPr>
          <t xml:space="preserve">
Restated value based on additional lost days injury/illness information received after initial submission of data for 2022 annual report.</t>
        </r>
      </text>
    </comment>
    <comment ref="B23" authorId="0" shapeId="0" xr:uid="{3E11B436-0291-4A5E-9752-207F0EE95BBF}">
      <text>
        <r>
          <rPr>
            <b/>
            <sz val="10"/>
            <color indexed="81"/>
            <rFont val="Verdana"/>
            <family val="2"/>
          </rPr>
          <t>Definition:</t>
        </r>
        <r>
          <rPr>
            <sz val="10"/>
            <color indexed="81"/>
            <rFont val="Verdana"/>
            <family val="2"/>
          </rPr>
          <t xml:space="preserve">
Employee and temporary employee injuries/hours only</t>
        </r>
      </text>
    </comment>
    <comment ref="B24" authorId="0" shapeId="0" xr:uid="{D61F1254-336B-4E28-9FD5-CE7561F0DBD2}">
      <text>
        <r>
          <rPr>
            <b/>
            <sz val="10"/>
            <color indexed="81"/>
            <rFont val="Verdana"/>
            <family val="2"/>
          </rPr>
          <t>Definition:</t>
        </r>
        <r>
          <rPr>
            <sz val="10"/>
            <color indexed="81"/>
            <rFont val="Verdana"/>
            <family val="2"/>
          </rPr>
          <t xml:space="preserve">
Contractor (all types) injuries/hours only</t>
        </r>
      </text>
    </comment>
    <comment ref="B25" authorId="0" shapeId="0" xr:uid="{32830A9D-17CA-4F66-8C3B-CF187EA84CE9}">
      <text>
        <r>
          <rPr>
            <b/>
            <sz val="10"/>
            <color indexed="81"/>
            <rFont val="Verdana"/>
            <family val="2"/>
          </rPr>
          <t>Definition:</t>
        </r>
        <r>
          <rPr>
            <sz val="10"/>
            <color indexed="81"/>
            <rFont val="Verdana"/>
            <family val="2"/>
          </rPr>
          <t xml:space="preserve">
Permanent employees, temporary employees and contractors</t>
        </r>
      </text>
    </comment>
    <comment ref="B26" authorId="0" shapeId="0" xr:uid="{62973684-B222-404E-926C-28A141DE09A9}">
      <text>
        <r>
          <rPr>
            <b/>
            <sz val="10"/>
            <color indexed="81"/>
            <rFont val="Verdana"/>
            <family val="2"/>
          </rPr>
          <t>Definition:</t>
        </r>
        <r>
          <rPr>
            <sz val="10"/>
            <color indexed="81"/>
            <rFont val="Verdana"/>
            <family val="2"/>
          </rPr>
          <t xml:space="preserve">
Permanent employees, temporary employees and contractors</t>
        </r>
      </text>
    </comment>
    <comment ref="B27" authorId="0" shapeId="0" xr:uid="{E1DFB639-428D-4D86-B256-1ABCD5BCF047}">
      <text>
        <r>
          <rPr>
            <b/>
            <sz val="10"/>
            <color indexed="81"/>
            <rFont val="Verdana"/>
            <family val="2"/>
          </rPr>
          <t>Definition:</t>
        </r>
        <r>
          <rPr>
            <sz val="10"/>
            <color indexed="81"/>
            <rFont val="Verdana"/>
            <family val="2"/>
          </rPr>
          <t xml:space="preserve">
Employee and temporary employee injuries/hours only</t>
        </r>
      </text>
    </comment>
    <comment ref="B28" authorId="0" shapeId="0" xr:uid="{B3FA9340-B3BD-4720-B567-2CB2E7AB8ECF}">
      <text>
        <r>
          <rPr>
            <b/>
            <sz val="10"/>
            <color indexed="81"/>
            <rFont val="Verdana"/>
            <family val="2"/>
          </rPr>
          <t>Definition:</t>
        </r>
        <r>
          <rPr>
            <sz val="10"/>
            <color indexed="81"/>
            <rFont val="Verdana"/>
            <family val="2"/>
          </rPr>
          <t xml:space="preserve">
Contractor (all types) injuries/hours only</t>
        </r>
      </text>
    </comment>
    <comment ref="B29" authorId="0" shapeId="0" xr:uid="{61E1B901-9B41-49F2-9613-26405878D142}">
      <text>
        <r>
          <rPr>
            <b/>
            <sz val="10"/>
            <color indexed="81"/>
            <rFont val="Verdana"/>
            <family val="2"/>
          </rPr>
          <t>Definition:</t>
        </r>
        <r>
          <rPr>
            <sz val="10"/>
            <color indexed="81"/>
            <rFont val="Verdana"/>
            <family val="2"/>
          </rPr>
          <t xml:space="preserve">
JM uses the ICCA (International Council of Chemical Associations) globally harmonised process safety metric to monitor the severity of process safety events. This uses a standardised 200,000 multiplier. This process safety metric is most relevant to JM chemical operations.</t>
        </r>
      </text>
    </comment>
    <comment ref="E29" authorId="0" shapeId="0" xr:uid="{B3D500C8-C7CB-478C-A5B5-BEC512613CB6}">
      <text>
        <r>
          <rPr>
            <b/>
            <sz val="10"/>
            <color indexed="81"/>
            <rFont val="Verdana"/>
            <family val="2"/>
          </rPr>
          <t>Restated</t>
        </r>
        <r>
          <rPr>
            <sz val="10"/>
            <color indexed="81"/>
            <rFont val="Verdana"/>
            <family val="2"/>
          </rPr>
          <t xml:space="preserve"> due to hours worked reduction, following audit requested data reviews.</t>
        </r>
      </text>
    </comment>
    <comment ref="H29" authorId="0" shapeId="0" xr:uid="{76AA5DD0-ED02-4655-B77A-762B688E212B}">
      <text>
        <r>
          <rPr>
            <b/>
            <sz val="10"/>
            <color indexed="81"/>
            <rFont val="Verdana"/>
            <family val="2"/>
          </rPr>
          <t>Restatement:</t>
        </r>
        <r>
          <rPr>
            <sz val="10"/>
            <color indexed="81"/>
            <rFont val="Verdana"/>
            <family val="2"/>
          </rPr>
          <t xml:space="preserve">
Restated value based on improved reporting of historical process safety events.</t>
        </r>
      </text>
    </comment>
    <comment ref="B30" authorId="0" shapeId="0" xr:uid="{21762049-35D4-48EC-B858-2B68940A1997}">
      <text>
        <r>
          <rPr>
            <b/>
            <sz val="10"/>
            <color indexed="81"/>
            <rFont val="Verdana"/>
            <family val="2"/>
          </rPr>
          <t>Definition:</t>
        </r>
        <r>
          <rPr>
            <sz val="10"/>
            <color indexed="81"/>
            <rFont val="Verdana"/>
            <family val="2"/>
          </rPr>
          <t xml:space="preserve">
Tier 1 process safety events involve losses of primary containment of greater consequence, which align with American Petroleum Industry (API) recommended practice (RP). </t>
        </r>
      </text>
    </comment>
    <comment ref="B31" authorId="0" shapeId="0" xr:uid="{6DFAF5DE-6079-491C-A4A3-3FF722FEC2DC}">
      <text>
        <r>
          <rPr>
            <b/>
            <sz val="10"/>
            <color indexed="81"/>
            <rFont val="Verdana"/>
            <family val="2"/>
          </rPr>
          <t>Definition:</t>
        </r>
        <r>
          <rPr>
            <sz val="10"/>
            <color indexed="81"/>
            <rFont val="Verdana"/>
            <family val="2"/>
          </rPr>
          <t xml:space="preserve">
Tier 1 process safety events rate measures the frequency events involving losses of primary containment of greater consequence, which align with American Petroleum Industry (API) recommended practice (RP). This metric is less relevant to JM chemical operations but is an important standard as it aligns with the Center for Chemical for Process Safety (CCPS), which JM's process safety management system follows. </t>
        </r>
      </text>
    </comment>
    <comment ref="B32" authorId="0" shapeId="0" xr:uid="{A6926E56-8FDA-4F32-B1C2-C4DA8634F228}">
      <text>
        <r>
          <rPr>
            <b/>
            <sz val="10"/>
            <color indexed="81"/>
            <rFont val="Verdana"/>
            <family val="2"/>
          </rPr>
          <t>Definition:</t>
        </r>
        <r>
          <rPr>
            <sz val="10"/>
            <color indexed="81"/>
            <rFont val="Verdana"/>
            <family val="2"/>
          </rPr>
          <t xml:space="preserve">
Total hours (emp+temp+cont) used for all EHS statistics</t>
        </r>
      </text>
    </comment>
    <comment ref="G32" authorId="1" shapeId="0" xr:uid="{C667A50B-444A-4EBD-A1B2-F6D0051E82FB}">
      <text>
        <r>
          <rPr>
            <b/>
            <sz val="10"/>
            <color theme="1"/>
            <rFont val="Verdana"/>
            <family val="2"/>
          </rPr>
          <t>Restatement:</t>
        </r>
        <r>
          <rPr>
            <sz val="10"/>
            <color theme="1"/>
            <rFont val="Verdana"/>
            <family val="2"/>
          </rPr>
          <t xml:space="preserve">
Restated value based on revised hours data received.</t>
        </r>
      </text>
    </comment>
    <comment ref="B36" authorId="0" shapeId="0" xr:uid="{C32151A6-56D6-41C9-B1C7-75AF4190EDF5}">
      <text>
        <r>
          <rPr>
            <b/>
            <sz val="10"/>
            <color indexed="81"/>
            <rFont val="Verdana"/>
            <family val="2"/>
          </rPr>
          <t>Definition:</t>
        </r>
        <r>
          <rPr>
            <sz val="10"/>
            <color indexed="81"/>
            <rFont val="Verdana"/>
            <family val="2"/>
          </rPr>
          <t xml:space="preserve">
Number of transport incidents as defined by SASB RT-CH-540a.2</t>
        </r>
      </text>
    </comment>
    <comment ref="B37" authorId="2" shapeId="0" xr:uid="{72A9EE49-243B-4068-AC13-A463A8C2AF1D}">
      <text>
        <r>
          <rPr>
            <b/>
            <sz val="10"/>
            <color indexed="81"/>
            <rFont val="Verdana"/>
            <family val="2"/>
          </rPr>
          <t>Definition:</t>
        </r>
        <r>
          <rPr>
            <sz val="10"/>
            <color indexed="81"/>
            <rFont val="Verdana"/>
            <family val="2"/>
          </rPr>
          <t xml:space="preserve">
Only includes manufacturing and R&amp;D sites.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Xin Ngfat</author>
    <author>Giovanna Cantore</author>
  </authors>
  <commentList>
    <comment ref="B9" authorId="0" shapeId="0" xr:uid="{D38951C2-3FC4-4C1D-B662-758318344C95}">
      <text>
        <r>
          <rPr>
            <sz val="12"/>
            <color indexed="81"/>
            <rFont val="Verdana"/>
            <family val="2"/>
          </rPr>
          <t>Total number of employees, contractors and agency staff - does not include Non Executive Board members</t>
        </r>
      </text>
    </comment>
    <comment ref="B10" authorId="0" shapeId="0" xr:uid="{70363AD0-77FD-49BC-9986-DB56CFBFF8E0}">
      <text>
        <r>
          <rPr>
            <sz val="12"/>
            <color indexed="81"/>
            <rFont val="Verdana"/>
            <family val="2"/>
          </rPr>
          <t xml:space="preserve">
Defined as an individual who is paid on a Johnson Matthey’s payroll and have a contract of employment
They can be further classified under the employee types of Regular, Fixed-term, Graduate, Intern, Apprentice
Permanent headcount = regular
Non permanent = Fixed term, graduate, intern and apprentice
Work is directly supervised by JM - paid via payroll</t>
        </r>
      </text>
    </comment>
    <comment ref="B13" authorId="0" shapeId="0" xr:uid="{3F6376F8-CC46-4F8E-81C1-A8A13DDEA2D6}">
      <text>
        <r>
          <rPr>
            <sz val="12"/>
            <color indexed="81"/>
            <rFont val="Verdana"/>
            <family val="2"/>
          </rPr>
          <t>An individual who is not on Johnson Matthey’s payroll, but performs tasks on Johnson Matthey's behalf. 
They are hired for a specific purpose and usually for a certain period of time e.g. Consultant,  Contractor, Vendor
Example could be catering, cleaning or grounds maintenance</t>
        </r>
      </text>
    </comment>
    <comment ref="B14" authorId="0" shapeId="0" xr:uid="{A2E4FC51-E50C-484E-9B33-680E2C1DFAE1}">
      <text>
        <r>
          <rPr>
            <sz val="12"/>
            <color indexed="81"/>
            <rFont val="Verdana"/>
            <family val="2"/>
          </rPr>
          <t>Continuously site based
Person employed by an agency performing tasks that would normally be expected to be undertaken by a JM employee.
Work is directly supervised by JM - paid directly via invoices</t>
        </r>
      </text>
    </comment>
    <comment ref="F14" authorId="1" shapeId="0" xr:uid="{01C2E997-CC24-401D-B7B7-058CE2EC0C78}">
      <text>
        <r>
          <rPr>
            <sz val="11"/>
            <color theme="1"/>
            <rFont val="Calibri"/>
            <family val="2"/>
            <scheme val="minor"/>
          </rPr>
          <t>Restatement due to rework of data</t>
        </r>
      </text>
    </comment>
    <comment ref="B17" authorId="0" shapeId="0" xr:uid="{781268B0-3BB6-43BD-BB2D-1EE9C5B4AFAA}">
      <text>
        <r>
          <rPr>
            <sz val="11"/>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18" authorId="0" shapeId="0" xr:uid="{F0040CD4-3FD0-432C-9607-0B33B2AF7C2D}">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29" authorId="0" shapeId="0" xr:uid="{39E32038-E9A9-49E8-A3E1-97059EEAAE7C}">
      <text>
        <r>
          <rPr>
            <sz val="10"/>
            <color indexed="81"/>
            <rFont val="Verdana"/>
            <family val="2"/>
          </rPr>
          <t>Excludes Board members
2022 and 2021 categories different
employees under 30 years of age
employees aged between 30-50 
employees aged over 50
Age disclosure is voluntary</t>
        </r>
      </text>
    </comment>
    <comment ref="B43" authorId="1" shapeId="0" xr:uid="{D53C3DE1-5826-4CAC-8158-35F637983908}">
      <text>
        <r>
          <rPr>
            <sz val="11"/>
            <color indexed="81"/>
            <rFont val="Verdana"/>
            <family val="2"/>
          </rPr>
          <t>Senior Management defined as Group Leadership Team (GLT) and GLT-1 members</t>
        </r>
      </text>
    </comment>
    <comment ref="B44" authorId="0" shapeId="0" xr:uid="{79252889-6D9F-4F32-9C2E-75786A35B886}">
      <text>
        <r>
          <rPr>
            <sz val="11"/>
            <color indexed="81"/>
            <rFont val="Verdana"/>
            <family val="2"/>
          </rPr>
          <t>All employees whether they are a people manager or not, at a minimum compensation grade</t>
        </r>
      </text>
    </comment>
    <comment ref="B45" authorId="0" shapeId="0" xr:uid="{59C6F92C-A581-4D57-8E8E-939119592351}">
      <text>
        <r>
          <rPr>
            <sz val="11"/>
            <color indexed="81"/>
            <rFont val="Verdana"/>
            <family val="2"/>
          </rPr>
          <t>All employees who are people managers and at a maximum compensation grade</t>
        </r>
      </text>
    </comment>
    <comment ref="B46" authorId="1" shapeId="0" xr:uid="{6B98BBDA-DCB3-4B02-A2D4-BA8088396FBF}">
      <text>
        <r>
          <rPr>
            <sz val="11"/>
            <color indexed="81"/>
            <rFont val="Verdana"/>
            <family val="2"/>
          </rPr>
          <t>All employees whose primary roles fall within science, technology, engineering, and mathematics–related job families. In this dataset, STEM roles are identified based on job family classifications including Architecture, Business Systems Development, General Engineering, Maintenance, Planning, Production, Scientist, Security, Service Management and ITIL, Infrastructure and Operations, Assurance and Risk, Intellectual Property, Environment, Health and Safety (EHS), and General Quality.</t>
        </r>
      </text>
    </comment>
    <comment ref="B47" authorId="1" shapeId="0" xr:uid="{7CE0CEAB-DC43-4B2D-8375-9656E17BD852}">
      <text>
        <r>
          <rPr>
            <sz val="10"/>
            <color indexed="81"/>
            <rFont val="Verdana"/>
            <family val="2"/>
          </rPr>
          <t>All employees in roles directly contributing to business growth and income. In this dataset, they are identified by job families such as Sales, Sales (SIP), Marketing and Business Development, and Business Analyst.</t>
        </r>
      </text>
    </comment>
    <comment ref="B80" authorId="0" shapeId="0" xr:uid="{3577B8B4-B057-45E3-B9CB-AFF5B872EE41}">
      <text>
        <r>
          <rPr>
            <sz val="11"/>
            <color indexed="81"/>
            <rFont val="Verdana"/>
            <family val="2"/>
          </rPr>
          <t>Senior Management defined as Group Leadership Team (GLT) and GLT-1 members</t>
        </r>
      </text>
    </comment>
    <comment ref="B120" authorId="1" shapeId="0" xr:uid="{703BA105-5DE6-43F1-A300-7EB89C1F98DD}">
      <text>
        <r>
          <rPr>
            <sz val="11"/>
            <color theme="1"/>
            <rFont val="Verdana"/>
            <family val="2"/>
          </rPr>
          <t>External joiners</t>
        </r>
      </text>
    </comment>
    <comment ref="B122" authorId="0" shapeId="0" xr:uid="{7F222A33-E7EC-4A42-B2A0-841E915DF70F}">
      <text>
        <r>
          <rPr>
            <sz val="11"/>
            <color theme="1"/>
            <rFont val="Verdana"/>
            <family val="2"/>
          </rPr>
          <t>Resignation only</t>
        </r>
      </text>
    </comment>
    <comment ref="B123" authorId="0" shapeId="0" xr:uid="{226C4448-40BC-4D5A-A345-9E6C4B5A9E1D}">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24" authorId="0" shapeId="0" xr:uid="{5D3B232E-4070-44AE-85FA-E9D5857EB374}">
      <text>
        <r>
          <rPr>
            <sz val="12"/>
            <color indexed="81"/>
            <rFont val="Verdana"/>
            <family val="2"/>
          </rPr>
          <t xml:space="preserve">Leavers initiated by employer </t>
        </r>
      </text>
    </comment>
    <comment ref="B126" authorId="1" shapeId="0" xr:uid="{73436D17-55D0-4903-AFD6-D93D9DF9D87F}">
      <text>
        <r>
          <rPr>
            <sz val="11"/>
            <color theme="1"/>
            <rFont val="Verdana"/>
            <family val="2"/>
          </rPr>
          <t xml:space="preserve">Voluntary and involuntary leavers
</t>
        </r>
      </text>
    </comment>
    <comment ref="B127" authorId="1" shapeId="0" xr:uid="{412A61CC-4F43-4DE5-A26F-3E487BC56953}">
      <text>
        <r>
          <rPr>
            <sz val="11"/>
            <color theme="1"/>
            <rFont val="Verdana"/>
            <family val="2"/>
          </rPr>
          <t>Resignation only
Number of leavers over last 12 months divided by average headcount as at data points 1 April and the following 31 March</t>
        </r>
      </text>
    </comment>
    <comment ref="B128" authorId="1" shapeId="0" xr:uid="{A040BB16-4E6F-426C-BDAB-C1BA6E863269}">
      <text>
        <r>
          <rPr>
            <sz val="11"/>
            <color theme="1"/>
            <rFont val="Verdana"/>
            <family val="2"/>
          </rPr>
          <t>Employee turnover rate initiated by employer 
Number of leavers over last 12 months divided by average headcount as at data points 1 April and the following 31 March</t>
        </r>
      </text>
    </comment>
    <comment ref="B129" authorId="1" shapeId="0" xr:uid="{A5384CB4-0ECC-4C13-87CD-451E8D23D074}">
      <text>
        <r>
          <rPr>
            <sz val="11"/>
            <color theme="1"/>
            <rFont val="Verdana"/>
            <family val="2"/>
          </rPr>
          <t>Voluntary and involuntary leavers
Number of leavers over last 12 months divided by average headcount as at data points 1 April and the following 31 March</t>
        </r>
      </text>
    </comment>
    <comment ref="B133" authorId="0" shapeId="0" xr:uid="{8B59CB11-333E-49FE-AFB4-7EB0364291EA}">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35" authorId="0" shapeId="0" xr:uid="{4BCD0A5C-4CF1-4C95-BA85-29715E43FE51}">
      <text>
        <r>
          <rPr>
            <sz val="9"/>
            <color indexed="81"/>
            <rFont val="Tahoma"/>
            <family val="2"/>
          </rPr>
          <t xml:space="preserve">
Some employees may still be on leave</t>
        </r>
      </text>
    </comment>
    <comment ref="B140" authorId="0" shapeId="0" xr:uid="{BC890506-6724-4AD7-A8B6-B9B7AF082BE8}">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43" authorId="1" shapeId="0" xr:uid="{D29B4380-89CE-4EF4-B679-A3EB1F4811F2}">
      <text>
        <r>
          <rPr>
            <sz val="11"/>
            <color theme="1"/>
            <rFont val="Verdana"/>
            <family val="2"/>
          </rPr>
          <t>External joiners</t>
        </r>
      </text>
    </comment>
    <comment ref="B145" authorId="0" shapeId="0" xr:uid="{2BCBB088-EB91-426B-8580-489C465D5C13}">
      <text>
        <r>
          <rPr>
            <sz val="11"/>
            <color theme="1"/>
            <rFont val="Verdana"/>
            <family val="2"/>
          </rPr>
          <t>Resignation only</t>
        </r>
      </text>
    </comment>
    <comment ref="B146" authorId="0" shapeId="0" xr:uid="{15C41AF8-8AB6-44DD-B704-7362A3A0932E}">
      <text>
        <r>
          <rPr>
            <sz val="11"/>
            <color indexed="81"/>
            <rFont val="Verdana"/>
            <family val="2"/>
          </rPr>
          <t xml:space="preserve">Leavers initiated by employer </t>
        </r>
      </text>
    </comment>
    <comment ref="B147" authorId="1" shapeId="0" xr:uid="{CD8F550F-77B3-4014-B71E-8058660B47EA}">
      <text>
        <r>
          <rPr>
            <sz val="11"/>
            <color theme="1"/>
            <rFont val="Verdana"/>
            <family val="2"/>
          </rPr>
          <t>Resignation only
Number of leavers over last 12 months divided by average headcount as at data points 1 April and the following 31 March</t>
        </r>
      </text>
    </comment>
    <comment ref="B148" authorId="1" shapeId="0" xr:uid="{B0595D5B-2A4C-41B3-A7F5-9358CE0D0D01}">
      <text>
        <r>
          <rPr>
            <sz val="11"/>
            <color theme="1"/>
            <rFont val="Verdana"/>
            <family val="2"/>
          </rPr>
          <t>Employee turnover rate initiated by employer 
Number of leavers over last 12 months divided by average headcount as at data points 1 April and the following 31 March</t>
        </r>
      </text>
    </comment>
    <comment ref="B149" authorId="1" shapeId="0" xr:uid="{5671E1D8-24F2-4F9D-881B-9FD90704FEC3}">
      <text>
        <r>
          <rPr>
            <sz val="11"/>
            <color theme="1"/>
            <rFont val="Verdana"/>
            <family val="2"/>
          </rPr>
          <t>Voluntary and involuntary leavers
Number of leavers over last 12 months divided by average headcount as at data points 1 April and the following 31 March</t>
        </r>
      </text>
    </comment>
    <comment ref="B153" authorId="1" shapeId="0" xr:uid="{65288B4C-A89E-4D1F-A4D8-901DB3EBF6DE}">
      <text>
        <r>
          <rPr>
            <sz val="11"/>
            <color theme="1"/>
            <rFont val="Verdana"/>
            <family val="2"/>
          </rPr>
          <t>External joiners</t>
        </r>
      </text>
    </comment>
    <comment ref="B154" authorId="0" shapeId="0" xr:uid="{0525D3F7-DCD6-4DFF-954C-2158D8E72DCE}">
      <text>
        <r>
          <rPr>
            <sz val="11"/>
            <color theme="1"/>
            <rFont val="Verdana"/>
            <family val="2"/>
          </rPr>
          <t>Resignation only</t>
        </r>
      </text>
    </comment>
    <comment ref="B155" authorId="0" shapeId="0" xr:uid="{952AB40D-B154-4AAE-B1CC-33289D811E88}">
      <text>
        <r>
          <rPr>
            <sz val="11"/>
            <color indexed="81"/>
            <rFont val="Verdana"/>
            <family val="2"/>
          </rPr>
          <t xml:space="preserve">Leavers initiated by employer </t>
        </r>
      </text>
    </comment>
    <comment ref="B156" authorId="1" shapeId="0" xr:uid="{4E9953C7-531A-4DBA-9D38-5E307D858B9D}">
      <text>
        <r>
          <rPr>
            <sz val="11"/>
            <color theme="1"/>
            <rFont val="Verdana"/>
            <family val="2"/>
          </rPr>
          <t>Resignation only
Number of leavers over last 12 months divided by average headcount as at data points 1 April and the following 31 March</t>
        </r>
      </text>
    </comment>
    <comment ref="B157" authorId="1" shapeId="0" xr:uid="{25D67EC3-C888-4172-BA99-056A4382E60B}">
      <text>
        <r>
          <rPr>
            <sz val="11"/>
            <color theme="1"/>
            <rFont val="Verdana"/>
            <family val="2"/>
          </rPr>
          <t>Employee turnover rate initiated by employer 
Number of leavers over last 12 months divided by average headcount as at data points 1 April and the following 31 March</t>
        </r>
      </text>
    </comment>
    <comment ref="B158" authorId="1" shapeId="0" xr:uid="{037F473E-61BB-42AB-B53F-0DF9D1C6D1D9}">
      <text>
        <r>
          <rPr>
            <sz val="11"/>
            <color theme="1"/>
            <rFont val="Verdana"/>
            <family val="2"/>
          </rPr>
          <t>Voluntary and involuntary leavers
Number of leavers over last 12 months divided by average headcount as at data points 1 April and the following 31 March</t>
        </r>
      </text>
    </comment>
    <comment ref="B160" authorId="1" shapeId="0" xr:uid="{0DBD2FD8-8FEB-4F5F-916A-B9DABE016A8B}">
      <text>
        <r>
          <rPr>
            <sz val="11"/>
            <color theme="1"/>
            <rFont val="Verdana"/>
            <family val="2"/>
          </rPr>
          <t>Number of employees represented by a trade union (and, for periods up to and including 2024/2025, also those covered by a collective bargaining agreement).
Topics covered within trade union agreements include: personal protective equipment, participation of worker representatives in health and safety, training and education, complaints mechanisms, the right to refuse unsafe work, and periodic inspections.</t>
        </r>
      </text>
    </comment>
    <comment ref="B171" authorId="1" shapeId="0" xr:uid="{36E2A162-89C6-4E46-9F49-D6BB82AB8C81}">
      <text>
        <r>
          <rPr>
            <sz val="11"/>
            <color theme="1"/>
            <rFont val="Verdana"/>
            <family val="2"/>
          </rPr>
          <t>Number of employees who were covered by a collective bargaining agreement</t>
        </r>
      </text>
    </comment>
    <comment ref="B181" authorId="0" shapeId="0" xr:uid="{557D08BF-ADA8-4811-91DD-B7809569B377}">
      <text>
        <r>
          <rPr>
            <sz val="11"/>
            <color theme="1"/>
            <rFont val="Verdana"/>
            <family val="2"/>
          </rPr>
          <t>An internal promotion happens when an internal candidate is promoted to a new position — instead of the organization hiring an external candidate.</t>
        </r>
      </text>
    </comment>
    <comment ref="B200" authorId="0" shapeId="0" xr:uid="{865C2B22-C27D-4EF1-A6C5-9F5F7B3FFD21}">
      <text>
        <r>
          <rPr>
            <sz val="11"/>
            <color indexed="81"/>
            <rFont val="Verdana"/>
            <family val="2"/>
          </rPr>
          <t xml:space="preserve">Johnson Matthey is accredited as a Living Wage Employer in the UK, meaning we voluntarily pay our employees at or above the Living Wage rate. </t>
        </r>
      </text>
    </comment>
    <comment ref="B233" authorId="0" shapeId="0" xr:uid="{03FC26F7-E43B-403A-B950-4B4B93FF0831}">
      <text>
        <r>
          <rPr>
            <sz val="11"/>
            <color indexed="81"/>
            <rFont val="Verdana"/>
            <family val="2"/>
          </rPr>
          <t>We believe training is key to embedding our policies and commitments.
Employees are assigned training based on their role and requirement to understand the topic</t>
        </r>
      </text>
    </comment>
    <comment ref="B235" authorId="1" shapeId="0" xr:uid="{816CF0D7-FB89-47C9-902F-9EAC08073A90}">
      <text>
        <r>
          <rPr>
            <sz val="11"/>
            <color theme="1"/>
            <rFont val="Verdana"/>
            <family val="2"/>
          </rPr>
          <t>Eligible employees and contractors are offered the Code of Ethics training, subject to local laws, union agreements, long-term leave arrangements and start date before the cutoff period</t>
        </r>
      </text>
    </comment>
    <comment ref="B237" authorId="0" shapeId="0" xr:uid="{7620E64F-6A49-4B8D-B0AB-E5D161A80E51}">
      <text>
        <r>
          <rPr>
            <sz val="11"/>
            <color indexed="81"/>
            <rFont val="Verdana"/>
            <family val="2"/>
          </rPr>
          <t>Also known as Antitrust training</t>
        </r>
      </text>
    </comment>
    <comment ref="E237" authorId="0" shapeId="0" xr:uid="{F8AC62E2-3896-4219-AB26-7ED0EFAF08DC}">
      <text>
        <r>
          <rPr>
            <sz val="11"/>
            <color indexed="81"/>
            <rFont val="Verdana"/>
            <family val="2"/>
          </rPr>
          <t>Enrollment date 1st April 2025 and so data for 2024/25 = 0</t>
        </r>
      </text>
    </comment>
    <comment ref="B247" authorId="1" shapeId="0" xr:uid="{BE987E18-507B-4873-A99A-ECBC732B8101}">
      <text>
        <r>
          <rPr>
            <sz val="12"/>
            <color theme="1"/>
            <rFont val="Verdana"/>
            <family val="2"/>
          </rPr>
          <t>Average score given by survey respondents in response to three engagement questions (engagement, loyalty, satisfaction)</t>
        </r>
        <r>
          <rPr>
            <sz val="11"/>
            <color theme="1"/>
            <rFont val="Calibri"/>
            <family val="2"/>
            <scheme val="minor"/>
          </rPr>
          <t> </t>
        </r>
      </text>
    </comment>
    <comment ref="C247" authorId="0" shapeId="0" xr:uid="{DECEF917-94FE-42B9-9F15-FDF11002959E}">
      <text>
        <r>
          <rPr>
            <sz val="11"/>
            <color indexed="81"/>
            <rFont val="Verdana"/>
            <family val="2"/>
          </rPr>
          <t>This excludes the CT business</t>
        </r>
      </text>
    </comment>
    <comment ref="C252" authorId="0" shapeId="0" xr:uid="{4886338C-B3D7-49AF-84AE-F16C1E9C82B1}">
      <text>
        <r>
          <rPr>
            <sz val="11"/>
            <color indexed="81"/>
            <rFont val="Verdana"/>
            <family val="2"/>
          </rPr>
          <t>Bonus data for UK employees was excluded from the 2026 calculation because it was not
administratively possible to calculate these bonuses before the publication of this report.
However, the calculation will be revised to include these bonuses once available and will be disclosed in the 2026/27 report.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B7" authorId="0" shapeId="0" xr:uid="{3FAB51BF-ADFC-42FC-8A97-621DFF4929D0}">
      <text>
        <r>
          <rPr>
            <b/>
            <sz val="12"/>
            <color indexed="81"/>
            <rFont val="Verdana"/>
            <family val="2"/>
          </rPr>
          <t>Through monetary donations</t>
        </r>
      </text>
    </comment>
    <comment ref="B8" authorId="0" shapeId="0" xr:uid="{8C330A5B-A11B-4D00-8233-F64B568DDD76}">
      <text>
        <r>
          <rPr>
            <b/>
            <sz val="12"/>
            <color indexed="81"/>
            <rFont val="Verdana"/>
            <family val="2"/>
          </rPr>
          <t>Through volunteering days</t>
        </r>
      </text>
    </comment>
    <comment ref="B11" authorId="0" shapeId="0" xr:uid="{0D4E5CB3-FA1A-432E-9FCC-B80BFDFC9EC0}">
      <text>
        <r>
          <rPr>
            <b/>
            <sz val="12"/>
            <color indexed="81"/>
            <rFont val="Verdana"/>
            <family val="2"/>
          </rPr>
          <t>Days of corporate volunteering</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Eric Stevenson</author>
    <author>Xin Ngfat</author>
  </authors>
  <commentList>
    <comment ref="C9" authorId="0" shapeId="0" xr:uid="{BB805BCE-06F0-4B5F-86A8-DCCCAA0EDDFC}">
      <text>
        <r>
          <rPr>
            <sz val="11"/>
            <color theme="1"/>
            <rFont val="Calibri"/>
            <family val="2"/>
            <scheme val="minor"/>
          </rPr>
          <t xml:space="preserve">
</t>
        </r>
        <r>
          <rPr>
            <sz val="11"/>
            <color theme="1"/>
            <rFont val="Verdana"/>
            <family val="2"/>
          </rPr>
          <t xml:space="preserve">EcoVadis IQ was not reconducted this year, instead we focused on mitigating the risks identified last year. </t>
        </r>
      </text>
    </comment>
    <comment ref="C11" authorId="0" shapeId="0" xr:uid="{73EF58E0-6AB5-4974-9357-DE9DA46C3E0E}">
      <text>
        <r>
          <rPr>
            <sz val="11"/>
            <color indexed="81"/>
            <rFont val="Verdana"/>
            <family val="2"/>
          </rPr>
          <t xml:space="preserve">
Count of suppliers previously identified as high risk which have not been risk-mitigated or removed from our supply chain.</t>
        </r>
      </text>
    </comment>
    <comment ref="B24" authorId="1" shapeId="0" xr:uid="{F2E3C276-28DD-434E-B05D-5A8C3DF64714}">
      <text>
        <r>
          <rPr>
            <sz val="11"/>
            <color indexed="81"/>
            <rFont val="Verdana"/>
            <family val="2"/>
          </rPr>
          <t>*as defined by our CMRT/EMRT procedure</t>
        </r>
      </text>
    </comment>
    <comment ref="B28" authorId="1" shapeId="0" xr:uid="{1C19DB05-27D4-4B99-BBA4-AC581F7134EB}">
      <text>
        <r>
          <rPr>
            <sz val="11"/>
            <color indexed="81"/>
            <rFont val="Verdana"/>
            <family val="2"/>
          </rPr>
          <t>*as defined by our CMRT/EMRT procedure</t>
        </r>
      </text>
    </comment>
    <comment ref="B33" authorId="1" shapeId="0" xr:uid="{04563571-50B7-4FC0-A4B3-660E0D196437}">
      <text>
        <r>
          <rPr>
            <sz val="11"/>
            <color indexed="81"/>
            <rFont val="Verdana"/>
            <family val="2"/>
          </rPr>
          <t>Assumption: Using the registered address of the supplier as the country from which the good/service was sourced from.</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futureMetadata>
  <valueMetadata count="7">
    <bk>
      <rc t="1" v="0"/>
    </bk>
    <bk>
      <rc t="1" v="1"/>
    </bk>
    <bk>
      <rc t="1" v="2"/>
    </bk>
    <bk>
      <rc t="1" v="3"/>
    </bk>
    <bk>
      <rc t="1" v="4"/>
    </bk>
    <bk>
      <rc t="1" v="5"/>
    </bk>
    <bk>
      <rc t="1" v="6"/>
    </bk>
  </valueMetadata>
</metadata>
</file>

<file path=xl/sharedStrings.xml><?xml version="1.0" encoding="utf-8"?>
<sst xmlns="http://schemas.openxmlformats.org/spreadsheetml/2006/main" count="4071" uniqueCount="1576">
  <si>
    <t>Version 1.0</t>
  </si>
  <si>
    <t>About this workbook</t>
  </si>
  <si>
    <t>This Sustainability Performance Databook (SPD) outlines Johnson Matthey's key non-financial performance information and is published alongside our Annual Report and Accounts to complement the strategy and financial information to provide stakeholders with a complete picture of our business including our environmental, social and governance (ESG) performance in 2025/26.
We take a strategic approach to embedding sustainability into everything we do. This approach is based on our understanding of the needs and demands of our stakeholders, combined with a focus on the topics that reflect our most significant ESG impacts.</t>
  </si>
  <si>
    <t>Reporting on Greenhouse Gas (GHG) Emissions</t>
  </si>
  <si>
    <t xml:space="preserve">We are committed to transparent disclosures of our emissions and we continue to enhance our reporting of all the Scopes as we continue to better understand the emissions from our operations and our supply chain. </t>
  </si>
  <si>
    <t>Notes on data</t>
  </si>
  <si>
    <t>The data presented in this workbook relates to Johnson Matthey's financial reporting year (1 April 2025 to 31 March 2026), unless otherwise stated.</t>
  </si>
  <si>
    <t>This workbook has been prepared in accordance with the GRI Standards.</t>
  </si>
  <si>
    <r>
      <rPr>
        <b/>
        <sz val="10"/>
        <color theme="4"/>
        <rFont val="Verdana"/>
        <family val="2"/>
      </rPr>
      <t>Rebaselining of previous years’ data</t>
    </r>
    <r>
      <rPr>
        <sz val="10"/>
        <color theme="4"/>
        <rFont val="Verdana"/>
        <family val="2"/>
      </rPr>
      <t xml:space="preserve"> 
</t>
    </r>
    <r>
      <rPr>
        <sz val="10"/>
        <rFont val="Verdana"/>
        <family val="2"/>
      </rPr>
      <t xml:space="preserve">For environmental data, we rebaseline in accordance with the recommendations of the Greenhouse Gas (GHG) Protocol and SECR reporting guidance. We recalculate and restate historical performance for our operational KPIs from 2019/20 onwards, which is our baseline for our 2030 sustainability targets. 
This specifically includes our historical data for Scope 1, Scope 2 and Scope 3 GHG emissions, water consumption, waste and emissions to air. </t>
    </r>
  </si>
  <si>
    <r>
      <rPr>
        <b/>
        <sz val="10"/>
        <color rgb="FF0000CC"/>
        <rFont val="Verdana"/>
        <family val="2"/>
      </rPr>
      <t>Restatements of previous years’ data</t>
    </r>
    <r>
      <rPr>
        <sz val="10"/>
        <rFont val="Verdana"/>
        <family val="2"/>
      </rPr>
      <t xml:space="preserve">
In addition to rebaselining, there have been some restatements of data to account for improvements in methodology, coverage and quality of available data. JM’s materiality threshold for variance is 5%. We have made restatements of environmental performance data for the following KPIs this year:
</t>
    </r>
  </si>
  <si>
    <t>•	Emissions from Scope 3 Category 2 restated due to data quality improvements.
•	Emissions from Scope 3 Category 4 restated due to improvements in methodology.
•	Emissions from Scope 3 Category 9 restated due to improvements in methodology.
•	Emissions from Scope 3 Category 6 restated due to a calculation correction.
•	Emissions from Scope 3 Category 10 restated due to refinements in methodology.
•	Emissions from Scope 3 Category 12 restated due to improvements in data quality.
•	Emissions from Scope 3 Category 15 restated due to improvements in data quality.</t>
  </si>
  <si>
    <t>Externally audited KPIs</t>
  </si>
  <si>
    <t>ERM Certification and Verification Services Limited (ERM CVS) were engaged to provide limited assurance of selected information. Information assured by ERM CVS is provided on the following tab</t>
  </si>
  <si>
    <t>Cautionary Statement</t>
  </si>
  <si>
    <t>This workbook contains forward-looking statements that are subject to risk factors associated with, among other things, the economic and business circumstances occurring from time to time in the countries and sectors in which the company operates. It is believed that the expectations reflected in these statements are reasonable, but they may be affected by a wide range of variables which could cause actual results, performance, operations, impacts, events or circumstances to differ materially from those currently anticipated.</t>
  </si>
  <si>
    <t>Contents</t>
  </si>
  <si>
    <t>Material Topics</t>
  </si>
  <si>
    <t>GRI Content index in accordance</t>
  </si>
  <si>
    <t>SASB Index</t>
  </si>
  <si>
    <t>TCFD Compliance Table</t>
  </si>
  <si>
    <t>PAI Statement</t>
  </si>
  <si>
    <t>UK SECR</t>
  </si>
  <si>
    <t>ERM CVS Assured metrics</t>
  </si>
  <si>
    <t>2030 targets</t>
  </si>
  <si>
    <t>UN SDGs</t>
  </si>
  <si>
    <t>Environment</t>
  </si>
  <si>
    <t>People</t>
  </si>
  <si>
    <t>Health and Safety</t>
  </si>
  <si>
    <t>Ethics and Compliance</t>
  </si>
  <si>
    <t>Community Investment</t>
  </si>
  <si>
    <t>Responsible Sourcing</t>
  </si>
  <si>
    <t>Product Stewardship</t>
  </si>
  <si>
    <t>Basis of reporting</t>
  </si>
  <si>
    <t xml:space="preserve">In 2024 we partnered with a third party to perform our first double materiality assessment. Double materiality in ESG means companies must consider both how ESG issues impact their business (financial materiality) and how their business impacts the environment and society (impact materiality). The process involved a thorough review of our sector and locations as well as gathering stakeholder opinions through interviewing our investors, customers, suppliers, leaders and subject matter experts inside and outside of JM. Our material topics were approved at the Societal Value Committee (SVC) meeting in October 2024.
</t>
  </si>
  <si>
    <t>Our material topics were identified as:</t>
  </si>
  <si>
    <t>Planet</t>
  </si>
  <si>
    <t>Climate Change</t>
  </si>
  <si>
    <t>Pollution</t>
  </si>
  <si>
    <t>Water</t>
  </si>
  <si>
    <t>Biodiversity</t>
  </si>
  <si>
    <t>Resource use and circular economy</t>
  </si>
  <si>
    <t>Own Workforce</t>
  </si>
  <si>
    <t>Workers in the value chain</t>
  </si>
  <si>
    <t>Affected communities</t>
  </si>
  <si>
    <t>Consumers and end-users</t>
  </si>
  <si>
    <t>Business conduct</t>
  </si>
  <si>
    <t>GRI content index</t>
  </si>
  <si>
    <t>Statement of use</t>
  </si>
  <si>
    <r>
      <t>Johnson Matthey has reported in accordance with the GRI Standards for the period 1</t>
    </r>
    <r>
      <rPr>
        <vertAlign val="superscript"/>
        <sz val="12"/>
        <rFont val="Verdana"/>
        <family val="2"/>
      </rPr>
      <t>st</t>
    </r>
    <r>
      <rPr>
        <sz val="12"/>
        <rFont val="Verdana"/>
        <family val="2"/>
      </rPr>
      <t xml:space="preserve"> April 2025 to 31</t>
    </r>
    <r>
      <rPr>
        <vertAlign val="superscript"/>
        <sz val="12"/>
        <rFont val="Verdana"/>
        <family val="2"/>
      </rPr>
      <t>st</t>
    </r>
    <r>
      <rPr>
        <sz val="12"/>
        <rFont val="Verdana"/>
        <family val="2"/>
      </rPr>
      <t xml:space="preserve"> March 2026</t>
    </r>
  </si>
  <si>
    <t>GRI 1 used</t>
  </si>
  <si>
    <t>GRI 1: Foundation 2021</t>
  </si>
  <si>
    <t>Key to location references:</t>
  </si>
  <si>
    <t>ARA = Annual Report and Accounts 2026</t>
  </si>
  <si>
    <t>SPD = Sustainability Performance Databook 2026</t>
  </si>
  <si>
    <t>Johnson Matthey Material Topic</t>
  </si>
  <si>
    <t xml:space="preserve">GRI standard / other source </t>
  </si>
  <si>
    <t>Disclosure</t>
  </si>
  <si>
    <t>Location
Report page(s)</t>
  </si>
  <si>
    <t>Omission</t>
  </si>
  <si>
    <t>GRI sector standard ref. no.</t>
  </si>
  <si>
    <t>Requirement(s) omitted</t>
  </si>
  <si>
    <t>Reason</t>
  </si>
  <si>
    <t>Explanation</t>
  </si>
  <si>
    <t>General disclosures</t>
  </si>
  <si>
    <t xml:space="preserve">
GRI 2: General Disclosures 2021
</t>
  </si>
  <si>
    <t>Reasons for omission are not permitted for the disclosure or that a GRI Sector Standard reference number is not available.</t>
  </si>
  <si>
    <t>2-2 Entities included in the organization’s sustainability reporting</t>
  </si>
  <si>
    <t>2-3 Reporting period, frequency and contact point</t>
  </si>
  <si>
    <t>2-4 Restatements of information</t>
  </si>
  <si>
    <t>2-5 External assurance</t>
  </si>
  <si>
    <t>2-6 Activities, value chain and other business relationships</t>
  </si>
  <si>
    <t>2-7 Employees</t>
  </si>
  <si>
    <t>2-8 Workers who are not employees</t>
  </si>
  <si>
    <t>SPD People tab</t>
  </si>
  <si>
    <t>2-9 Governance structure and composition</t>
  </si>
  <si>
    <t>2-10 Nomination and selection of the highest governance body</t>
  </si>
  <si>
    <t>2-11 Chair of the highest governance body</t>
  </si>
  <si>
    <t>2-12 Role of the highest governance body in overseeing the management of impacts</t>
  </si>
  <si>
    <t>2-13 Delegation of responsibility for managing impacts</t>
  </si>
  <si>
    <t>2-14 Role of the highest governance body in sustainability reporting</t>
  </si>
  <si>
    <t>2-15 Conflicts of interest</t>
  </si>
  <si>
    <t>Johnson Matthey Global Conflicts of Interest Policy</t>
  </si>
  <si>
    <t>2-16 Communication of critical concerns</t>
  </si>
  <si>
    <t>2-17 Collective knowledge of the highest governance body</t>
  </si>
  <si>
    <t>2-18 Evaluation of the performance of the highest governance body</t>
  </si>
  <si>
    <t>2-19 Remuneration policies</t>
  </si>
  <si>
    <t>2-20 Process to determine remuneration</t>
  </si>
  <si>
    <t>2-21 Annual total compensation ratio</t>
  </si>
  <si>
    <t>2-22 Statement on sustainable development strategy</t>
  </si>
  <si>
    <t>Johnson Matthey Corporate Website - About Us</t>
  </si>
  <si>
    <t>2-23 Policy commitments</t>
  </si>
  <si>
    <t>Johnson Matthey Policies</t>
  </si>
  <si>
    <t>2-24 Embedding policy commitments</t>
  </si>
  <si>
    <t>2-25 Processes to remediate negative impacts</t>
  </si>
  <si>
    <t>SPD Ethics and Compliance tab</t>
  </si>
  <si>
    <t>Johnson Matthey Global Speak up policy</t>
  </si>
  <si>
    <t>Johnson Matthey Global Human Rights Policy</t>
  </si>
  <si>
    <t>2-26 Mechanisms for seeking advice and raising concerns</t>
  </si>
  <si>
    <t>Johnson Matthey Corporate Website - Code of Ethics</t>
  </si>
  <si>
    <t>2-27 Compliance with laws and regulations</t>
  </si>
  <si>
    <t>2-28 Membership associations</t>
  </si>
  <si>
    <t>Johnson Matthey Corporate Website - Engagement with Stakeholders</t>
  </si>
  <si>
    <t>JM Website - Collaboration</t>
  </si>
  <si>
    <t>2-29 Approach to stakeholder engagement</t>
  </si>
  <si>
    <t>ARA p. 65-66</t>
  </si>
  <si>
    <t>2-30 Collective bargaining agreements</t>
  </si>
  <si>
    <t>Johnson Matthey Corporate Website - Labour and Human Rights</t>
  </si>
  <si>
    <t>Material topics</t>
  </si>
  <si>
    <t>GRI 3: Material Topics 2021</t>
  </si>
  <si>
    <t>3-1 Process to determine material topics</t>
  </si>
  <si>
    <t>3-2 List of material topics</t>
  </si>
  <si>
    <t>Business Conduct</t>
  </si>
  <si>
    <t>Economic performance</t>
  </si>
  <si>
    <t>3-3 Management of material topics</t>
  </si>
  <si>
    <t>GRI 201: Economic Performance 2016</t>
  </si>
  <si>
    <t>201-1 Direct economic value generated and distributed</t>
  </si>
  <si>
    <t>201-2 Financial implications and other risks and opportunities due to climate change</t>
  </si>
  <si>
    <t>201-3 Defined benefit plan obligations and other retirement plans</t>
  </si>
  <si>
    <t>201-4 Financial assistance received from government</t>
  </si>
  <si>
    <t>Procurement practices</t>
  </si>
  <si>
    <t>ARA p.26</t>
  </si>
  <si>
    <t>GRI 204: Procurement Practices 2016</t>
  </si>
  <si>
    <t>204-1 Proportion of spending on local suppliers</t>
  </si>
  <si>
    <t>SPD Responsible Sourcing tab</t>
  </si>
  <si>
    <t>Anti-corruption</t>
  </si>
  <si>
    <t>GRI 205: Anti-corruption 2016</t>
  </si>
  <si>
    <t>205-1 Operations assessed for risks related to corruption</t>
  </si>
  <si>
    <t>205-2 Communication and training about anti-corruption policies and procedures</t>
  </si>
  <si>
    <t>205-3 Confirmed incidents of corruption and actions taken</t>
  </si>
  <si>
    <t>Anti-competitive behavior</t>
  </si>
  <si>
    <t>GRI 206: Anti-competitive Behavior 2016</t>
  </si>
  <si>
    <t>206-1 Legal actions for anti-competitive behavior, anti-trust, and monopoly practices</t>
  </si>
  <si>
    <t>Public policy</t>
  </si>
  <si>
    <t>GRI 415: Public Policy 2016</t>
  </si>
  <si>
    <t>415-1 Political contributions</t>
  </si>
  <si>
    <t>Materials</t>
  </si>
  <si>
    <t>GRI 301: Materials 2016</t>
  </si>
  <si>
    <t>301-1 Materials used by weight or volume</t>
  </si>
  <si>
    <t xml:space="preserve">a. </t>
  </si>
  <si>
    <t>Information unavailable/incomplete</t>
  </si>
  <si>
    <t>301-2 Recycled input materials used</t>
  </si>
  <si>
    <t>301-3 Reclaimed products and their packaging materials</t>
  </si>
  <si>
    <t xml:space="preserve">a. b. </t>
  </si>
  <si>
    <t>Energy</t>
  </si>
  <si>
    <t>GRI 302: Energy 2016</t>
  </si>
  <si>
    <t>302-1 Energy consumption within the organization</t>
  </si>
  <si>
    <t>302-2 Energy consumption outside of the organization</t>
  </si>
  <si>
    <t>302-3 Energy intensity</t>
  </si>
  <si>
    <t>302-4 Reduction of energy consumption</t>
  </si>
  <si>
    <t>302-5 Reductions in energy requirements of products and services</t>
  </si>
  <si>
    <t>a. b. c.</t>
  </si>
  <si>
    <t>Water and effluents</t>
  </si>
  <si>
    <t>GRI 303: Water and Effluents 2018</t>
  </si>
  <si>
    <t>303-1 Interactions with water as a shared resource</t>
  </si>
  <si>
    <t>303-2 Management of water discharge-related impacts</t>
  </si>
  <si>
    <t>303-3 Water withdrawal</t>
  </si>
  <si>
    <t>303-4 Water discharge</t>
  </si>
  <si>
    <t>303-5 Water consumption</t>
  </si>
  <si>
    <t>Emissions</t>
  </si>
  <si>
    <t>GRI 305: Emissions 2016</t>
  </si>
  <si>
    <t>305-1 Direct (Scope 1) GHG emissions</t>
  </si>
  <si>
    <t>305-2 Energy indirect (Scope 2) GHG emissions</t>
  </si>
  <si>
    <t>305-3 Other indirect (Scope 3) GHG emissions</t>
  </si>
  <si>
    <t>305-4 GHG emissions intensity</t>
  </si>
  <si>
    <t>305-5 Reduction of GHG emissions</t>
  </si>
  <si>
    <t>305-6 Emissions of ozone-depleting substances (ODS)</t>
  </si>
  <si>
    <t>a. b. c. d.</t>
  </si>
  <si>
    <t>Not applicable</t>
  </si>
  <si>
    <t>305-7 Nitrogen oxides (NOx), sulfur oxides (SOx), and other significant air emissions</t>
  </si>
  <si>
    <t>SPD Environment tab</t>
  </si>
  <si>
    <t>Waste</t>
  </si>
  <si>
    <t>GRI 306: Waste 2020</t>
  </si>
  <si>
    <t>306-1 Waste generation and significant waste-related impacts</t>
  </si>
  <si>
    <t>306-2 Management of significant waste-related impacts</t>
  </si>
  <si>
    <t>306-3 Waste generated</t>
  </si>
  <si>
    <t>306-4 Waste diverted from disposal</t>
  </si>
  <si>
    <t>306-5 Waste directed to disposal</t>
  </si>
  <si>
    <t>GRI 101: Biodiversity 2024</t>
  </si>
  <si>
    <t>101-1 Policies to halt and reverse biodiversity loss</t>
  </si>
  <si>
    <t>Johnson Matthey Nature Strategy statement</t>
  </si>
  <si>
    <t>101-2 Management of biodiversity impacts</t>
  </si>
  <si>
    <t>101-3 Access and benefit-sharing</t>
  </si>
  <si>
    <t>a. b.</t>
  </si>
  <si>
    <t>101-4 Identification of biodiversity impacts</t>
  </si>
  <si>
    <t>a.</t>
  </si>
  <si>
    <t>101-5 Locations with biodiversity impacts</t>
  </si>
  <si>
    <t>101-6 Direct drivers of biodiversity loss</t>
  </si>
  <si>
    <t>a. b. c. d. e. f.</t>
  </si>
  <si>
    <t>101-7 Changes to the state of biodiversity</t>
  </si>
  <si>
    <t>101-8 Ecosystem services</t>
  </si>
  <si>
    <t>Own workforce</t>
  </si>
  <si>
    <t>Employment</t>
  </si>
  <si>
    <t>GRI 401: Employment 2016</t>
  </si>
  <si>
    <t>401-1 New employee hires and employee turnover</t>
  </si>
  <si>
    <t>401-2 Benefits provided to full-time employees that are not provided to temporary or part-time employees</t>
  </si>
  <si>
    <t>401-3 Parental leave</t>
  </si>
  <si>
    <t>Labour/Management relations</t>
  </si>
  <si>
    <t>GRI 402: Labor/Management Relations 2016</t>
  </si>
  <si>
    <t>402-1 Minimum notice periods regarding operational changes</t>
  </si>
  <si>
    <t>Confidentiality constraints</t>
  </si>
  <si>
    <t>Occupational health and safety</t>
  </si>
  <si>
    <t>GRI 403: Occupational Health and Safety 2018</t>
  </si>
  <si>
    <t>403-1 Occupational health and safety management system</t>
  </si>
  <si>
    <t>Johnson Matthey Environmental, Health and Safety Policy Statement</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</si>
  <si>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</si>
  <si>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</si>
  <si>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</si>
  <si>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</si>
  <si>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</si>
  <si>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Johnson Matthey Corporate Website - People</t>
  </si>
  <si>
    <t>403-7 Prevention and mitigation of occupational health and safety impacts directly linked by business relationships</t>
  </si>
  <si>
    <t>403-8 Workers covered by an occupational health and safety management system</t>
  </si>
  <si>
    <t>403-9 Work-related injuries</t>
  </si>
  <si>
    <t>SPD Health and Safety tab</t>
  </si>
  <si>
    <t>403-10 Work-related ill health</t>
  </si>
  <si>
    <t>Training and education</t>
  </si>
  <si>
    <t>GRI 404: Training and Education 2016</t>
  </si>
  <si>
    <t>404-1 Average hours of training per year per employee</t>
  </si>
  <si>
    <t>404-2 Programs for upgrading employee skills and transition assistance programs</t>
  </si>
  <si>
    <t>404-3 Percentage of employees receiving regular performance and career development reviews</t>
  </si>
  <si>
    <t>Diversity and equal opportunity</t>
  </si>
  <si>
    <t>GRI 405: Diversity and Equal Opportunity 2016</t>
  </si>
  <si>
    <t>405-1 Diversity of governance bodies and employees</t>
  </si>
  <si>
    <t>405-2 Ratio of basic salary and remuneration of women to men</t>
  </si>
  <si>
    <t>data only available for UK employees</t>
  </si>
  <si>
    <t>Non-discrimination</t>
  </si>
  <si>
    <t>GRI 406: Non-discrimination 2016</t>
  </si>
  <si>
    <t>406-1 Incidents of discrimination and corrective actions taken</t>
  </si>
  <si>
    <t>Freedom of association and collective bargaining</t>
  </si>
  <si>
    <t>GRI 407: Freedom of Association and Collective Bargaining 2016</t>
  </si>
  <si>
    <t>407-1 Operations and suppliers in which the right to freedom of association and collective bargaining may be at risk</t>
  </si>
  <si>
    <t>Child labor</t>
  </si>
  <si>
    <t>GRI 408: Child Labor 2016</t>
  </si>
  <si>
    <t>408-1 Operations and suppliers at significant risk for incidents of child labor</t>
  </si>
  <si>
    <t>Johnson Matthey Modern Slavery Statement</t>
  </si>
  <si>
    <t>Forced or Compulsory Labor</t>
  </si>
  <si>
    <t>GRI 409: Forced or Compulsory Labor 2016</t>
  </si>
  <si>
    <t>409-1 Operations and suppliers at significant risk for incidents of forced or compulsory labor</t>
  </si>
  <si>
    <t>Supplier environmental assessment</t>
  </si>
  <si>
    <t>GRI 308: Supplier Environmental Assessment 2016</t>
  </si>
  <si>
    <t>308-1 New suppliers that were screened using environmental criteria</t>
  </si>
  <si>
    <t>Johnson Matthey Corporate Website - Responsible Sourcing</t>
  </si>
  <si>
    <t>308-2 Negative environmental impacts in the supply chain and actions taken</t>
  </si>
  <si>
    <t>b. c. d. e.</t>
  </si>
  <si>
    <t>Supplier social assessment</t>
  </si>
  <si>
    <t>GRI 414: Supplier Social Assessment 2016</t>
  </si>
  <si>
    <t>414-1 New suppliers that were screened using social criteria</t>
  </si>
  <si>
    <t>414-2 Negative social impacts in the supply chain and actions taken</t>
  </si>
  <si>
    <r>
      <rPr>
        <sz val="10"/>
        <color rgb="FFFF0000"/>
        <rFont val="Verdana"/>
        <family val="2"/>
      </rPr>
      <t xml:space="preserve">
</t>
    </r>
    <r>
      <rPr>
        <sz val="10"/>
        <rFont val="Verdana"/>
        <family val="2"/>
      </rPr>
      <t xml:space="preserve">b. c. d. e. </t>
    </r>
  </si>
  <si>
    <t>Indirect economic impacts</t>
  </si>
  <si>
    <t>GRI 203: Indirect Economic Impacts 2016</t>
  </si>
  <si>
    <t>203-1 Infrastructure investments and services supported</t>
  </si>
  <si>
    <t>Johnson Matthey Corporate Website - Communities</t>
  </si>
  <si>
    <t>203-2 Significant indirect economic impacts</t>
  </si>
  <si>
    <t>Security practices</t>
  </si>
  <si>
    <t>GRI 410: Security pracitces 2016</t>
  </si>
  <si>
    <t>410-1 Security personnel trained in human rights policies or procedures</t>
  </si>
  <si>
    <t>Rights of indigeeous peoples</t>
  </si>
  <si>
    <t>GRI 411: Rights of Indigenous Peoples 2016</t>
  </si>
  <si>
    <t>411-1 Incidents of violations involving rights of indigenous peoples</t>
  </si>
  <si>
    <t>Local communities</t>
  </si>
  <si>
    <t>GRI 413: Local Communities 2016</t>
  </si>
  <si>
    <t>413-1 Operations with local community engagement, impact assessments, and development programs</t>
  </si>
  <si>
    <t>413-2 Operations with significant actual and potential negative impacts on local communities</t>
  </si>
  <si>
    <t>Customer health and safety</t>
  </si>
  <si>
    <t>Johnson Matthey Corporate Website - Product Stewardship</t>
  </si>
  <si>
    <t>GRI 416: Customer Health and Safety 2016</t>
  </si>
  <si>
    <t>416-1 Assessment of the health and safety impacts of product and service categories</t>
  </si>
  <si>
    <t>SPD Product Stewardship tab</t>
  </si>
  <si>
    <t>416-2 Incidents of non-compliance concerning the health and safety impacts of products and services</t>
  </si>
  <si>
    <t>Marketing and labeling</t>
  </si>
  <si>
    <t>GRI 417: Marketing and Labeling 2016</t>
  </si>
  <si>
    <t>417-1 Requirements for product and service information and labeling</t>
  </si>
  <si>
    <t>417-2 Incidents of non-compliance concerning product and service information and labeling</t>
  </si>
  <si>
    <t>417-3 Incidents of non-compliance concerning marketing communications</t>
  </si>
  <si>
    <t>Customer privacy</t>
  </si>
  <si>
    <t>GRI 418: Customer Privacy 2016</t>
  </si>
  <si>
    <t>418-1 Substantiated complaints concerning breaches of customer privacy and losses of customer data</t>
  </si>
  <si>
    <t>We do not specify if speak up cases are specifically related to customer privacy or customer loss of data</t>
  </si>
  <si>
    <r>
      <t>Topics in the applica</t>
    </r>
    <r>
      <rPr>
        <b/>
        <sz val="10"/>
        <color theme="0"/>
        <rFont val="Verdana"/>
        <family val="2"/>
      </rPr>
      <t>ble GRI Sector Standards determined as not material to JM but disclosure important to our stakeholers</t>
    </r>
  </si>
  <si>
    <t>Market presence</t>
  </si>
  <si>
    <t>GRI 202: Market Presence 2016</t>
  </si>
  <si>
    <t>202-1 Ratios of standard entry level wage by gender compared to local minimum wage</t>
  </si>
  <si>
    <t>202-2 Proportion of senior management hired from the local community</t>
  </si>
  <si>
    <t>Tax</t>
  </si>
  <si>
    <t>GRI 207: Tax 2019</t>
  </si>
  <si>
    <t>207-1 Approach to tax</t>
  </si>
  <si>
    <t>Johnson Matthey Global Tax Policy</t>
  </si>
  <si>
    <t>207-2 Tax governance, control, and risk management</t>
  </si>
  <si>
    <t>Johnson Matthey Tax Strategy</t>
  </si>
  <si>
    <t>207-3 Stakeholder engagement and management of concerns related to tax</t>
  </si>
  <si>
    <t>207-4 Country-by-country reporting</t>
  </si>
  <si>
    <t>Johnson Matthey reports in alignment with the requirements of the SASB Sustainability Accounting Standard for Chemicals (Version 2023-12)</t>
  </si>
  <si>
    <t>Topic</t>
  </si>
  <si>
    <t>Accounting Metric</t>
  </si>
  <si>
    <t xml:space="preserve">SASB Code </t>
  </si>
  <si>
    <t>Location</t>
  </si>
  <si>
    <t>JM Response</t>
  </si>
  <si>
    <t>Greenhouse gas emissions</t>
  </si>
  <si>
    <t>Gross global Scope 1 emissions, percentage covered under emissions-limiting regulations</t>
  </si>
  <si>
    <t>RT-CH-110a.1</t>
  </si>
  <si>
    <t xml:space="preserve">JM currently operates in the UK and Europe where emission trading schemes (ETS) applicable to Scope 1 emissions are in place. There are currently no JM sites that are obligated under the UK ETS or under the EU ETS schemes. </t>
  </si>
  <si>
    <t>Discussion of long term and short term strategy or plan to manage Scope 1 emissions, emissions reduction targets, and an analysis of performance against those targets</t>
  </si>
  <si>
    <t>RT-CH-110a.2</t>
  </si>
  <si>
    <t>Johnson Matthey Corporate Website - Sustainability</t>
  </si>
  <si>
    <t>Air quality</t>
  </si>
  <si>
    <t>Air emissions of the following pollutants: (1) NOX (excluding N2O), (2) SOX, (3) volatile organic compounds (VOCs), and (4) hazardous air pollutants (HAPs)</t>
  </si>
  <si>
    <t>RT-CH-120a.1</t>
  </si>
  <si>
    <t>JM does not currently report on any air emissions of HAP. All JM production facilities operate under license or Permit issued by local regulators and all emissions are subject to emission limits set by external regulators. JM are currently assessing emissions from our sites to determine which (if any) HAP could be emitted from our processes.</t>
  </si>
  <si>
    <t>Energy management</t>
  </si>
  <si>
    <r>
      <t>1) Total energy consumed, (2) percentage grid electricity, (3) percentage renewable, (4) total self-generated energy</t>
    </r>
    <r>
      <rPr>
        <vertAlign val="superscript"/>
        <sz val="10"/>
        <rFont val="Verdana"/>
        <family val="2"/>
      </rPr>
      <t>1</t>
    </r>
  </si>
  <si>
    <t>RT-CH-130a.1</t>
  </si>
  <si>
    <t>Water management</t>
  </si>
  <si>
    <t>1) Total water withdrawn, (2) total water consumed, percentage of each in regions with High or Extremely High Baseline Water Stress</t>
  </si>
  <si>
    <t>RT-CH-140a.1</t>
  </si>
  <si>
    <t>Number of incidents of non-compliance associated with water quality permits, standards, and regulations</t>
  </si>
  <si>
    <t>RT-CH-140a.2</t>
  </si>
  <si>
    <t>Description of water management risks and discussion of strategies and practices to mitigate those risks</t>
  </si>
  <si>
    <t>RT-CH-140a.3</t>
  </si>
  <si>
    <t>Hazardous waste management</t>
  </si>
  <si>
    <r>
      <t>Amount of hazardous waste generated, percentage recycled</t>
    </r>
    <r>
      <rPr>
        <vertAlign val="superscript"/>
        <sz val="10"/>
        <color theme="1"/>
        <rFont val="Verdana"/>
        <family val="2"/>
      </rPr>
      <t>2</t>
    </r>
  </si>
  <si>
    <t>RT-CH-150a.1</t>
  </si>
  <si>
    <t>Community relations</t>
  </si>
  <si>
    <t>Discussion of engagement processes to manage risks and opportunities associated with community interests</t>
  </si>
  <si>
    <t>RT-CH-210a.1</t>
  </si>
  <si>
    <t>Workforce health and safety</t>
  </si>
  <si>
    <t>1) Total recordable incident rate (TRIR) and (2) fatality rate for (a) direct employees and (b) contract employees</t>
  </si>
  <si>
    <t>RT-CH-320a.1</t>
  </si>
  <si>
    <t>Description of efforts to assess, monitor, and reduce exposure of employees and contract workers to long-term (chronic) health risks</t>
  </si>
  <si>
    <t>RT-CH-320a.2</t>
  </si>
  <si>
    <t>Product design for use-phase efficiency</t>
  </si>
  <si>
    <t>Revenue from products designed for use phase resource efficiency.
SASB Chemicals Sustainability Accounting Standard’s definition of products that, when used, improve energy efficiency, eliminate or reduce GHG emissions, reduce raw materials consumption, lower water consumption and/or increase product life.</t>
  </si>
  <si>
    <t>RT-CH-410a.1</t>
  </si>
  <si>
    <t>SPD SASB Index tab</t>
  </si>
  <si>
    <t>Safety and environmental stewardship of chemicals</t>
  </si>
  <si>
    <t>(1) Percentage of products that contain Globally Harmonized System of Classification and Labelling of Chemicals (GHS) Category 1 and 2 Health and Environmental Hazardous Substances, (2) percentage of such products that have undergone a hazard assessment</t>
  </si>
  <si>
    <t>RT-CH-410b.1</t>
  </si>
  <si>
    <t xml:space="preserve">(1) Not disclosed. However, we estimate &lt;10% of sales are from products containing &gt;0.1% w/w of Substances of Very High Concern (as defined in EU REACH), which would be a subset of the substances referred to in this metric. 
(2) 100% of JM products that meet the SASB GHS criteria undergo human health and environmental hazard assessment.  </t>
  </si>
  <si>
    <t>Discussion of strategy to (1) manage chemicals of concern and (2) develop alternatives with reduced human and/or environmental impact</t>
  </si>
  <si>
    <t>RT-CH-410b.2</t>
  </si>
  <si>
    <t xml:space="preserve">We have in place Product Stewardship Standards (within the EHS management framework) covering restricted substance management (including chemicals of concern) and new product introduction. These standards require our businesses to review their existing portfolios and any new products being developed against ‘chemicals of concern’ listings and to identify opportunities to replace or reduce them in our operations and products. These requirements also cover the raw materials. JM maintains its own (limited) list of substances which we will not use or place on the market. We have not set formal targets in regards to the development of alternatives with reduced negative impact at this time.  </t>
  </si>
  <si>
    <t>Genetically modified organisms</t>
  </si>
  <si>
    <t>Percentage of products by revenue that contain genetically modified organisms (GMOs)</t>
  </si>
  <si>
    <t>RT-CH-410c.1</t>
  </si>
  <si>
    <t>SPD SASB Index Tab
SPD Product Stewardship tab</t>
  </si>
  <si>
    <t xml:space="preserve">0% of our products contain live GMOs. 
At JM, our Life Sciences Technology business uses genetically modified microorganisms to create biocatalysts (enzymes) targeted at delivering very specific reactions in efficient and sustainable ways. Our products do not contain genetically modified organisms (GMOs) </t>
  </si>
  <si>
    <t>Management of the legal and regulatory environment</t>
  </si>
  <si>
    <t>Discussion of corporate positions related to government regulations and/or policy proposals that address environmental and social factors affecting the industry</t>
  </si>
  <si>
    <t>RT-CH-530a.1</t>
  </si>
  <si>
    <t>Operational safety, emergency preparedness and response</t>
  </si>
  <si>
    <r>
      <t>Process Safety Incidents Count (PSIC), Process Safety Total Incident Rate (PSTIR), and Process Safety Incident Severity Rate (PSISR)</t>
    </r>
    <r>
      <rPr>
        <vertAlign val="superscript"/>
        <sz val="10"/>
        <color theme="1"/>
        <rFont val="Verdana"/>
        <family val="2"/>
      </rPr>
      <t>3</t>
    </r>
  </si>
  <si>
    <t>RT-CH-540a.1</t>
  </si>
  <si>
    <r>
      <t>Number of transport incidents</t>
    </r>
    <r>
      <rPr>
        <vertAlign val="superscript"/>
        <sz val="10"/>
        <color theme="1"/>
        <rFont val="Verdana"/>
        <family val="2"/>
      </rPr>
      <t>4</t>
    </r>
  </si>
  <si>
    <t>RT-CH-540a.2</t>
  </si>
  <si>
    <t>SPD Health and safety tab</t>
  </si>
  <si>
    <t>Activity metrics</t>
  </si>
  <si>
    <r>
      <t>Production by reportable segment</t>
    </r>
    <r>
      <rPr>
        <vertAlign val="superscript"/>
        <sz val="10"/>
        <color theme="1"/>
        <rFont val="Verdana"/>
        <family val="2"/>
      </rPr>
      <t>5</t>
    </r>
  </si>
  <si>
    <t>RT-CH-000.A</t>
  </si>
  <si>
    <r>
      <t xml:space="preserve">1 Note to </t>
    </r>
    <r>
      <rPr>
        <b/>
        <sz val="8"/>
        <color theme="1"/>
        <rFont val="Verdana"/>
        <family val="2"/>
      </rPr>
      <t>RT-CH-130a.1</t>
    </r>
    <r>
      <rPr>
        <sz val="8"/>
        <color theme="1"/>
        <rFont val="Verdana"/>
        <family val="2"/>
      </rPr>
      <t xml:space="preserve"> – The entity shall discuss its efforts to reduce energy consumption and / or improve energy efficiency throughout the production processes.</t>
    </r>
  </si>
  <si>
    <r>
      <t xml:space="preserve">2 Note to </t>
    </r>
    <r>
      <rPr>
        <b/>
        <sz val="8"/>
        <color theme="1"/>
        <rFont val="Verdana"/>
        <family val="2"/>
      </rPr>
      <t>RT-CH-150a.1</t>
    </r>
    <r>
      <rPr>
        <sz val="8"/>
        <color theme="1"/>
        <rFont val="Verdana"/>
        <family val="2"/>
      </rPr>
      <t xml:space="preserve"> – The entity shall disclose the legal or regulatory framework(s) used to define hazardous waste and recycled hazardous waste, and the amounts of waste defined in accordance with each applicable framework.</t>
    </r>
  </si>
  <si>
    <r>
      <t xml:space="preserve">3 Note to </t>
    </r>
    <r>
      <rPr>
        <b/>
        <sz val="8"/>
        <color theme="1"/>
        <rFont val="Verdana"/>
        <family val="2"/>
      </rPr>
      <t>RT-CH-540a.1</t>
    </r>
    <r>
      <rPr>
        <sz val="8"/>
        <color theme="1"/>
        <rFont val="Verdana"/>
        <family val="2"/>
      </rPr>
      <t xml:space="preserve"> – The entity shall describe incidents with a severity rating of 1 or 2, including their root cause, outcomes, and corrective actions implemented in response.</t>
    </r>
  </si>
  <si>
    <r>
      <t xml:space="preserve">4 Note to </t>
    </r>
    <r>
      <rPr>
        <b/>
        <sz val="8"/>
        <color theme="1"/>
        <rFont val="Verdana"/>
        <family val="2"/>
      </rPr>
      <t>RT-CH-540a.2</t>
    </r>
    <r>
      <rPr>
        <sz val="8"/>
        <color theme="1"/>
        <rFont val="Verdana"/>
        <family val="2"/>
      </rPr>
      <t xml:space="preserve"> – The entity shall describe significant transport incidents, including their root causes, outcomes, and corrective actions implemented in response.</t>
    </r>
  </si>
  <si>
    <r>
      <t xml:space="preserve">5 Note to </t>
    </r>
    <r>
      <rPr>
        <b/>
        <sz val="8"/>
        <color theme="1"/>
        <rFont val="Verdana"/>
        <family val="2"/>
      </rPr>
      <t>RT-CH-000.A</t>
    </r>
    <r>
      <rPr>
        <sz val="8"/>
        <color theme="1"/>
        <rFont val="Verdana"/>
        <family val="2"/>
      </rPr>
      <t xml:space="preserve"> – Production should be disclosed for each of the entity’s reportable segments, where products and service segments are determined according to FASB ASC 280-10 and production is reported as weight for solid products and volume for liquid and gas products.</t>
    </r>
  </si>
  <si>
    <t>Johnson Matthey annual report and accounts 2026 complies with the TCFD Guidance for All Sectors and have taken into consideration the Material and Buildings Group guidance, as set out in section C of ‘Annex: Implementing the Recommendations of the Task Force on Climate-related Financial Disclosures’, October 2021.
Additionally, following amendment of sections 414C, 414CA and 414CB of the Companies Act 2006 (CA), the below table indicates which of the climate-related disclosures, outlined in Section 414CB, are addressed by the TCFD recommended disclosures, alongside the pages of the Annual Report and Accounts 2026 where these are located.
We continue to monitor developments in global sustainability reporting standards, including the IFRS Sustainability Disclosure Standards (IFRS S1 and S2), and will evolve our disclosures accordingly.</t>
  </si>
  <si>
    <t>Recommendation</t>
  </si>
  <si>
    <t>Recommended Disclosure</t>
  </si>
  <si>
    <t>CA 414CB (2A)</t>
  </si>
  <si>
    <r>
      <t xml:space="preserve">Governance
</t>
    </r>
    <r>
      <rPr>
        <sz val="10"/>
        <color theme="1"/>
        <rFont val="Verdana"/>
        <family val="2"/>
      </rPr>
      <t>Disclose the organization’s governance around climate-related risks and opportunities.</t>
    </r>
  </si>
  <si>
    <t>a.) Describe the board’s oversight of climate-related risks and opportunities</t>
  </si>
  <si>
    <t>(a)</t>
  </si>
  <si>
    <t>b.) Describe management’s role in assessing and managing climate-related risks and opportunities.</t>
  </si>
  <si>
    <r>
      <t xml:space="preserve">Strategy
</t>
    </r>
    <r>
      <rPr>
        <sz val="10"/>
        <color theme="1"/>
        <rFont val="Verdana"/>
        <family val="2"/>
      </rPr>
      <t>Disclose the actual and potential impacts of climate-related risks and opportunities on the organization’s businesses, strategy, and financial planning</t>
    </r>
  </si>
  <si>
    <t>a.) Describe the climate-related risks and opportunities the company has identified over the short, medium and long term.</t>
  </si>
  <si>
    <t>(d)</t>
  </si>
  <si>
    <t>b.) Describe the impact of climate-related risks and opportunities on the company’s businesses, strategy, and financial planning.</t>
  </si>
  <si>
    <t>(e)</t>
  </si>
  <si>
    <r>
      <t>c.) Describe the resilience of the company’s strategy, taking into consideration different climate-related scenarios, including a 2</t>
    </r>
    <r>
      <rPr>
        <vertAlign val="superscript"/>
        <sz val="12"/>
        <color theme="1"/>
        <rFont val="Verdana"/>
        <family val="2"/>
      </rPr>
      <t>o</t>
    </r>
    <r>
      <rPr>
        <sz val="12"/>
        <color theme="1"/>
        <rFont val="Verdana"/>
        <family val="2"/>
      </rPr>
      <t>C or lower scenario.</t>
    </r>
  </si>
  <si>
    <t>(f)</t>
  </si>
  <si>
    <r>
      <t xml:space="preserve">Risk management
</t>
    </r>
    <r>
      <rPr>
        <sz val="10"/>
        <color theme="1"/>
        <rFont val="Verdana"/>
        <family val="2"/>
      </rPr>
      <t>Disclose how the organization identifies, assesses, and manages climate-related risks</t>
    </r>
  </si>
  <si>
    <t>a.) Describe the company’s processes for identifying and assessing climate-related risks</t>
  </si>
  <si>
    <t>(b)</t>
  </si>
  <si>
    <t>b.) Describe the company’s processes for managing climate-related risks</t>
  </si>
  <si>
    <t>c.) Describe how processes for identifying, assessing, and managing climate-related risks are integrated into the company’s overall risk management</t>
  </si>
  <si>
    <t>(c)</t>
  </si>
  <si>
    <r>
      <t xml:space="preserve">Metrics &amp; targets
</t>
    </r>
    <r>
      <rPr>
        <sz val="10"/>
        <color theme="1"/>
        <rFont val="Verdana"/>
        <family val="2"/>
      </rPr>
      <t>Disclose the metrics and targets used to assess and manage relevant climate-related risks and opportunities where such information is material.</t>
    </r>
  </si>
  <si>
    <t>a.) Disclose the metrics used by the company to assess climate-related risks and opportunities in line with its strategy and risk management process.</t>
  </si>
  <si>
    <t>(h)</t>
  </si>
  <si>
    <t>b.) Disclose Scope 1, Scope 2, and if appropriate Scope 3 greenhouse gas (GHG) emissions, and the related risks</t>
  </si>
  <si>
    <t>c.) Describe the targets used by the company to manage climate-related risks and opportunities and performance against targets</t>
  </si>
  <si>
    <t>(g)</t>
  </si>
  <si>
    <t>Principle Adverse Impact (PAI) Statement</t>
  </si>
  <si>
    <t>Category</t>
  </si>
  <si>
    <t>PAI Category</t>
  </si>
  <si>
    <t>JM KPI</t>
  </si>
  <si>
    <t>GHG emissions</t>
  </si>
  <si>
    <t>Total Scope 1 GHG emissions</t>
  </si>
  <si>
    <t>Formula in regulation is clear so issuers should use this as a reference
Providing at company level and framework level for green bonds is useful</t>
  </si>
  <si>
    <t>Total Scope 2 GHG emissions (market-based)</t>
  </si>
  <si>
    <t xml:space="preserve">Total Scope 3 (all categories) GHG emissions </t>
  </si>
  <si>
    <t>Total GHG emissions (sum of scope 1,2 and 3)</t>
  </si>
  <si>
    <t>Carbon footprint</t>
  </si>
  <si>
    <t>This has a slightly lower coverage in the data sets available from providers
Issuers could provide clear data points to help with this calculation (e.g. enterprise value)</t>
  </si>
  <si>
    <t>GHG intensity</t>
  </si>
  <si>
    <t>Scope 1+2+3 GHG intensity per £ million of revenue</t>
  </si>
  <si>
    <t xml:space="preserve">Company revenue is normally easily accesible but providng in a centralised place is helpful (and ensuring scope is the same as for the emissions referenced) </t>
  </si>
  <si>
    <t xml:space="preserve">Exposure to companies active in the fossil fuel sector </t>
  </si>
  <si>
    <t xml:space="preserve">% revenues from customers active in the fossil fuel sector </t>
  </si>
  <si>
    <t>‘companies active in the fossil fuel sector’ means companies that derive any revenues from exploration, mining, extraction, production, processing, storage, refining or distribution, including transportation, storage and trade, of fossil fuels as defined in Article 2, point (62), of Regulation (EU) 2018/1999 of the European Parliament and of the Council</t>
  </si>
  <si>
    <t xml:space="preserve">Investor has their own interpretation of what is considered a fossil fuel company. Mainly they want to consider those with direct links to fossil fuel companies. E.g. for a chemical company they would want to look at the client base of the company and see what the products are being used for. Essentially, for now, its a case by case assessment. </t>
  </si>
  <si>
    <t>Share of non-renewable energy consumption and production</t>
  </si>
  <si>
    <t>% non renewable energy consumption compared to total energy consumption</t>
  </si>
  <si>
    <t>renewable energy sources’ means renewable non-fossil sources, namely wind, solar (solar thermal and solar photovoltaic) and geothermal energy, ambient energy, tide, wave and other ocean energy, hydropower, biomass, landfill gas, sewage treatment plant gas, and biogas.
'Non-renewable energy sources’ means energy sources other than those referred to above</t>
  </si>
  <si>
    <t>They currently only look at this metric for producers (not consumption of companies that don’t produce energy). Most companies do provide data on energy mix though so they may include energy consumers also at some point</t>
  </si>
  <si>
    <t xml:space="preserve">Energy consumption intensity per high impact climate sector </t>
  </si>
  <si>
    <t>Total energy consumption in GWh</t>
  </si>
  <si>
    <t>energy consumption intensity’ means the ratio of energy consumption per unit of activity, output or any other metric of the investee company to the total energy consumption of that investee company
‘high impact climate sectors’ means the sectors listed in Sections A to H and Section L of Annex I to Regulation (EC) No 1893/2006 of the European Parliament and of the Council</t>
  </si>
  <si>
    <t>For companies involved in multiple activities, it would be good if companies could also provide split reporting by activity (as they need to report on each different sector).</t>
  </si>
  <si>
    <t>1086.2 GWh covering all JM operations</t>
  </si>
  <si>
    <t>Activities negatively affecting biodiversity sensitive areas</t>
  </si>
  <si>
    <t>Operations located in or near to biodiversity-sensitive areas where activities of those investee companies negatively affect those areas</t>
  </si>
  <si>
    <r>
      <t xml:space="preserve">‘biodiversity-sensitive areas’ means Natura 2000 network of protected areas, UNESCO World Heritage sites and Key Biodiversity Areas (‘KBAs’), as well as other protected areas, as referred to in </t>
    </r>
    <r>
      <rPr>
        <sz val="10"/>
        <color rgb="FFFF0000"/>
        <rFont val="Verdana"/>
        <family val="2"/>
      </rPr>
      <t>Appendix D of Annex II to Commission Delegated Regulation (EU) 2021/2139</t>
    </r>
  </si>
  <si>
    <t>Companies could state whether they have sites / operations near biodoversity sensitive areas or whether operations affect these areas. For now the data isnt there so they look at biodiversity controversies</t>
  </si>
  <si>
    <t>Contact us | Johnson Matthey</t>
  </si>
  <si>
    <t>To the best of our knowledge we do not have any locations in or near biodiversity sensitive areas as defined by Appendix D of Annex II to Commission Delegated Regulation (EU) 2021/2139</t>
  </si>
  <si>
    <t>Emissions to water</t>
  </si>
  <si>
    <t>Tonnes of emissions of prioritiy substances to water (as defined in Article 2(30) of Directive 2000/60/EC of the European Parliament and and direct emissions of nitrates, phosphates and pesticides)</t>
  </si>
  <si>
    <t>Emissions to water means direct emissions of priority substances as defined in Article 2(30) of the Water Framework Directive 2000/60/EC of the European Parliament and of the Council (as amended by directive 2013/39/EU )and direct emissions of nitrates, phosphates and pesticides to water.</t>
  </si>
  <si>
    <t>This information is often not there, even for water companies. Sometimes they look at leakage rate or controversies as a substitute.</t>
  </si>
  <si>
    <t>From the available analysis, the following quantities of priority substances are calculated as being discharged by JM directly to water courses
nickel = 0.0013 tonnes; cadmium =  4e-5 tonnes; lead 1.4e-4 tonnes; mercury =  7e-6 tonnes; nitrates = 0.17 tonnes</t>
  </si>
  <si>
    <t>Hazardous waste and radioactive waste ratio</t>
  </si>
  <si>
    <t>Tonnes of hazardous waste and radioactive waste generated</t>
  </si>
  <si>
    <t>‘hazardous waste’ means hazardous waste as defined in Article 3(2) of Directive 2008/98/EC of the European Parliament and of the Council; ‘radioactive waste’ means radioactive waste as defined in Article 3(7) of Council Directive 2011/70/Euratom</t>
  </si>
  <si>
    <t>Can look at controversies as a substitute. Again helpful if companies can explicitely state if this isnt relevant</t>
  </si>
  <si>
    <t>Social and employee matters</t>
  </si>
  <si>
    <t>Violations of UN Global Compact principles and Organisation for Economic Cooperation and Development (OECD) Guidelines for Multinational Enterprises</t>
  </si>
  <si>
    <t>Formal violations of UNGC is difficult to assess. If data providers put an issuer on the UNGC watchlist (e.g. Sustainalytics) they will assess case by case. Otherwise they consider that signatories arent violating the UNGC</t>
  </si>
  <si>
    <t>Not subject to any UN Global Compact review or watchlist.</t>
  </si>
  <si>
    <t>Lack of processes and compliance mechanisms to monitor compliance with UN Global Compact principles and OECD Guidelines for Multinational Enterprises</t>
  </si>
  <si>
    <t>Policies to monitor compliance with the UNGC principles or OECD Guidelines for Multinational Enterprises or grievance handling mechanisms to address violations of the UNGC principles or OECD Guidelines for Multinational Enterprises</t>
  </si>
  <si>
    <t xml:space="preserve">If an issuer is on the UNGC website then they presume that the policies etc are in place. 
Re OECD Guidelines for Multinational Enterprises there isnt an official list - so they rely on issues directly mentioning this </t>
  </si>
  <si>
    <t>See our UN Global Compact Company information</t>
  </si>
  <si>
    <t>We are a member of UNGC and have processes and compliance mechanisms to monitor compliance with UN Global Compact principles and OECD Guidelines for Multinational Enterprises</t>
  </si>
  <si>
    <t>Unadjusted gender pay gap</t>
  </si>
  <si>
    <t>Average unadjusted gender pay gap</t>
  </si>
  <si>
    <t>This is one of the hardest bits of data to find but it should be relatively easy for issuers to publish</t>
  </si>
  <si>
    <t>Johnson Matthey Gender Pay Gap Report 2025</t>
  </si>
  <si>
    <t>We issue a gender pay gap report in accordance with UK law. In 2025 our UK gender pay gap was 1.2% which puts us ahead of the national average of 12.8%</t>
  </si>
  <si>
    <t>Board gender diversity</t>
  </si>
  <si>
    <t>Average ratio of female to male board members in investee companies, expressed as a percentage of all board members</t>
  </si>
  <si>
    <t>Can get the data from data providers (e.g. in MSCI reports) or direct from issuer. Usually they can find this info but putting as part of a dediated PAI table would relly help (data provider info is often inaccurate / out of date)</t>
  </si>
  <si>
    <t>40% females</t>
  </si>
  <si>
    <t>Exposure to controversial weapons (anti-personnel mines, cluster munitions, chemical weapons and biological weapons)</t>
  </si>
  <si>
    <t>% revenues involved in the manufacture or selling of controversial weapons</t>
  </si>
  <si>
    <t>Can be checked at a company level but it is still helpful for companies to state for certainty (e.g. some chemical companies have been linked to chemical weapons for example)</t>
  </si>
  <si>
    <t>To the best of our knowledge none of our product sales are used for/in controversial weapons</t>
  </si>
  <si>
    <t>Key:</t>
  </si>
  <si>
    <t>ROW = Rest of World</t>
  </si>
  <si>
    <t>Scope 1 and 2 greenhouse gas (GHG) emissions</t>
  </si>
  <si>
    <t>Units of Measure</t>
  </si>
  <si>
    <t>2025/26</t>
  </si>
  <si>
    <t>2024/25</t>
  </si>
  <si>
    <t>2023/24</t>
  </si>
  <si>
    <t>2022/23</t>
  </si>
  <si>
    <t>2021/22</t>
  </si>
  <si>
    <t>2020/21</t>
  </si>
  <si>
    <t>2019/20</t>
  </si>
  <si>
    <t>% change latest year vs previous year
 (global)</t>
  </si>
  <si>
    <t>Global</t>
  </si>
  <si>
    <t>UK</t>
  </si>
  <si>
    <t>ROW</t>
  </si>
  <si>
    <r>
      <t>tonnes CO</t>
    </r>
    <r>
      <rPr>
        <vertAlign val="subscript"/>
        <sz val="12"/>
        <rFont val="Verdana"/>
        <family val="2"/>
      </rPr>
      <t>2</t>
    </r>
    <r>
      <rPr>
        <sz val="12"/>
        <rFont val="Verdana"/>
        <family val="2"/>
      </rPr>
      <t>e</t>
    </r>
  </si>
  <si>
    <t>Total Scope 2 GHG emissions (location-based)</t>
  </si>
  <si>
    <t>Total Scope 1 and 2 GHG emission (market-based)</t>
  </si>
  <si>
    <r>
      <t>tonnes CO</t>
    </r>
    <r>
      <rPr>
        <b/>
        <vertAlign val="subscript"/>
        <sz val="12"/>
        <rFont val="Verdana"/>
        <family val="2"/>
      </rPr>
      <t>2</t>
    </r>
    <r>
      <rPr>
        <b/>
        <sz val="12"/>
        <rFont val="Verdana"/>
        <family val="2"/>
      </rPr>
      <t>e</t>
    </r>
  </si>
  <si>
    <t>Total Scope 1 and 2 GHG emission (location-based)</t>
  </si>
  <si>
    <t>Total Scope 1 and 2 carbon intensity (market-based)</t>
  </si>
  <si>
    <r>
      <t>tonnes CO</t>
    </r>
    <r>
      <rPr>
        <b/>
        <vertAlign val="subscript"/>
        <sz val="12"/>
        <rFont val="Verdana"/>
        <family val="2"/>
      </rPr>
      <t>2</t>
    </r>
    <r>
      <rPr>
        <b/>
        <sz val="12"/>
        <rFont val="Verdana"/>
        <family val="2"/>
      </rPr>
      <t>e/tonne sales</t>
    </r>
  </si>
  <si>
    <t xml:space="preserve">Energy consumption and efficiency </t>
  </si>
  <si>
    <t>Total energy consumption</t>
  </si>
  <si>
    <t>MWh</t>
  </si>
  <si>
    <t>Total energy efficiency</t>
  </si>
  <si>
    <t>MWh/tonne</t>
  </si>
  <si>
    <t>Five-year performance table</t>
  </si>
  <si>
    <r>
      <t>tonnes CO</t>
    </r>
    <r>
      <rPr>
        <vertAlign val="subscript"/>
        <sz val="12"/>
        <rFont val="Verdana"/>
        <family val="2"/>
      </rPr>
      <t>2</t>
    </r>
    <r>
      <rPr>
        <sz val="12"/>
        <rFont val="Verdana"/>
        <family val="2"/>
      </rPr>
      <t>e/tonne sales</t>
    </r>
  </si>
  <si>
    <t>Externally assured selected information by ERM CVS</t>
  </si>
  <si>
    <t xml:space="preserve">ERM Certification and Verification Services Limited (ERM CVS) were engaged to provide limited assurance of selected information. All information below has been independently assured by ERM CVS. </t>
  </si>
  <si>
    <t>Metric name</t>
  </si>
  <si>
    <t>Unit of Measure</t>
  </si>
  <si>
    <t>2025/26 JM including CT
total figure</t>
  </si>
  <si>
    <t>2025/26 JM excluding CT
total figure</t>
  </si>
  <si>
    <r>
      <t>tonnes CO</t>
    </r>
    <r>
      <rPr>
        <vertAlign val="subscript"/>
        <sz val="12"/>
        <color theme="1"/>
        <rFont val="Verdana"/>
        <family val="2"/>
      </rPr>
      <t>2</t>
    </r>
    <r>
      <rPr>
        <sz val="12"/>
        <color theme="1"/>
        <rFont val="Verdana"/>
        <family val="2"/>
      </rPr>
      <t>e</t>
    </r>
  </si>
  <si>
    <t>Total Scope 1 and 2 GHG emissions (market-based)</t>
  </si>
  <si>
    <r>
      <t>tonnes CO</t>
    </r>
    <r>
      <rPr>
        <vertAlign val="subscript"/>
        <sz val="12"/>
        <color theme="1"/>
        <rFont val="Verdana"/>
        <family val="2"/>
      </rPr>
      <t>2</t>
    </r>
    <r>
      <rPr>
        <sz val="12"/>
        <color theme="1"/>
        <rFont val="Verdana"/>
        <family val="2"/>
      </rPr>
      <t>e/tonne sales</t>
    </r>
  </si>
  <si>
    <t>Year on year change in Scope 1 and 2 carbon intensity</t>
  </si>
  <si>
    <t>%</t>
  </si>
  <si>
    <t>Total non-renewable energy consumption</t>
  </si>
  <si>
    <t>kWh</t>
  </si>
  <si>
    <t>Total renewable energy purchased or generated</t>
  </si>
  <si>
    <t>Certified renewable electricity consumption</t>
  </si>
  <si>
    <t>Total Scope 3 (Category 1) Purchased Goods and Services GHG emissions</t>
  </si>
  <si>
    <t>Total Scope 3 (Category 3) Fuel and Energy-related GHG emissions</t>
  </si>
  <si>
    <t>Total Scope 3 GHG emissions</t>
  </si>
  <si>
    <t>Total freshwater withdrawal (all sources)</t>
  </si>
  <si>
    <r>
      <t>m</t>
    </r>
    <r>
      <rPr>
        <vertAlign val="superscript"/>
        <sz val="12"/>
        <color theme="1"/>
        <rFont val="Verdana"/>
        <family val="2"/>
      </rPr>
      <t>3</t>
    </r>
  </si>
  <si>
    <t>Total water discharged back to original source</t>
  </si>
  <si>
    <t>Net freshwater consumption</t>
  </si>
  <si>
    <r>
      <t>000's m</t>
    </r>
    <r>
      <rPr>
        <vertAlign val="superscript"/>
        <sz val="12"/>
        <color theme="1"/>
        <rFont val="Verdana"/>
        <family val="2"/>
      </rPr>
      <t>3</t>
    </r>
  </si>
  <si>
    <t>Freshwater consumed in regions of high or extremely high baseline water stress</t>
  </si>
  <si>
    <t>Average direct Chemical Oxygen Demand of wastewater (COD)</t>
  </si>
  <si>
    <t>mg/L</t>
  </si>
  <si>
    <t>Coverage for COD reporting</t>
  </si>
  <si>
    <t>Total waste recycled/reused</t>
  </si>
  <si>
    <t>tonnes</t>
  </si>
  <si>
    <t>Total waste sent off site to landfill</t>
  </si>
  <si>
    <t>Total waste sent off site for incineration with energy recovery</t>
  </si>
  <si>
    <t>Total waste sent off site to incineration or treatment without energy recovery</t>
  </si>
  <si>
    <t>Total waste sent off site</t>
  </si>
  <si>
    <t>Total Hazardous waste recycled/reused</t>
  </si>
  <si>
    <t>Total Hazardous waste sent off site to landfill</t>
  </si>
  <si>
    <t>Total Hazardous waste sent offsite for incineration with energy recovery</t>
  </si>
  <si>
    <t>Total Hazardous waste sent offsite for incineration or treatment without energy recovery</t>
  </si>
  <si>
    <t>Total Hazardous waste sent off site for treatment</t>
  </si>
  <si>
    <t>Total solid waste disposed off site</t>
  </si>
  <si>
    <t>Total solid waste generated for treatment off site</t>
  </si>
  <si>
    <t>Total solid waste sent off site to be reused / recycled</t>
  </si>
  <si>
    <t>Total waste sent for recovery at a JM refinery</t>
  </si>
  <si>
    <t>Nitrogen oxides (NOx) emissions to air</t>
  </si>
  <si>
    <t>Sulphur oxides (SOx) emissions to air</t>
  </si>
  <si>
    <t>Volatile organic chemicals (VOCs) emissions to air</t>
  </si>
  <si>
    <t>Coverage for NOx reporting</t>
  </si>
  <si>
    <t>Coverage for SOx reporting</t>
  </si>
  <si>
    <t>Coverage for VOCs reporting</t>
  </si>
  <si>
    <t>Tonnes of GHGs avoided by using JM technology</t>
  </si>
  <si>
    <t>% of recycled PGMs (Platinum Group Metals) in Johnson Matthey’s manufacturing products</t>
  </si>
  <si>
    <t>Lost Time Injury Frequency Rate (LTIFR) employees</t>
  </si>
  <si>
    <t>n/million hrs</t>
  </si>
  <si>
    <t xml:space="preserve">EHS/People boundaries include CT as JM operated the business in FY2025/26 </t>
  </si>
  <si>
    <t>Lost Time Injury Frequency Rate (LTIFR) contractors</t>
  </si>
  <si>
    <t xml:space="preserve">Occupational Illness Frequency Rate (OIFR)  </t>
  </si>
  <si>
    <t>Tier 1 Process Safety events rate</t>
  </si>
  <si>
    <t>Tier 1 events/1,000,000hrs</t>
  </si>
  <si>
    <t>Total Recordable Injury and Illness Rate(TRIIR) employees + contractors</t>
  </si>
  <si>
    <t>n/200,000 hrs</t>
  </si>
  <si>
    <t>ICCA Process Safety Event Severity Rate (PSESR)</t>
  </si>
  <si>
    <t>PSESR/200,000hrs</t>
  </si>
  <si>
    <t>% of female representation at all management levels</t>
  </si>
  <si>
    <t>Our products and services are aligned with four of the UN SDGs where we believe we can make the biggest positive contributions. See our Basis of Reporting for more details.</t>
  </si>
  <si>
    <t>Sales from products contributing to our priority UN SDGs</t>
  </si>
  <si>
    <t>SDG 3 - Good health and well-being</t>
  </si>
  <si>
    <t>SDG 7 - Affordable and clean energy</t>
  </si>
  <si>
    <t>SDG 12 - Responsible consumption and production</t>
  </si>
  <si>
    <t>SDG 13 - Climate action</t>
  </si>
  <si>
    <t>Unassigned</t>
  </si>
  <si>
    <t>R&amp;D spend contributing to our priority UN SDGs</t>
  </si>
  <si>
    <t>2030 Targets</t>
  </si>
  <si>
    <t>KPI</t>
  </si>
  <si>
    <t>Units of measurement</t>
  </si>
  <si>
    <t>Target definition</t>
  </si>
  <si>
    <t>2030 target
(FY 2029/30)</t>
  </si>
  <si>
    <t xml:space="preserve">2030 target reduction from baseline value </t>
  </si>
  <si>
    <r>
      <t>tonnes CO</t>
    </r>
    <r>
      <rPr>
        <vertAlign val="subscript"/>
        <sz val="10"/>
        <color theme="1"/>
        <rFont val="Verdana"/>
        <family val="2"/>
      </rPr>
      <t>2</t>
    </r>
    <r>
      <rPr>
        <sz val="10"/>
        <color theme="1"/>
        <rFont val="Verdana"/>
        <family val="2"/>
      </rPr>
      <t>e</t>
    </r>
  </si>
  <si>
    <t>Total Scope 1 and Scope 2 GHG emissions (market-based)</t>
  </si>
  <si>
    <t>Reduction of 65% on baseline 2019/20 value by 2030</t>
  </si>
  <si>
    <t>Scope 3 GHG Purchased Goods and Services</t>
  </si>
  <si>
    <t>Reduction of 42% on baseline 2019/20 value by 2030</t>
  </si>
  <si>
    <t>% recycled PGM</t>
  </si>
  <si>
    <t>Increase recycled PGM content in JM's manufactured products to at least 75%</t>
  </si>
  <si>
    <t>Total hazardous waste sent off site for treatment</t>
  </si>
  <si>
    <t>Net Freshwater consumption</t>
  </si>
  <si>
    <r>
      <t>000's m</t>
    </r>
    <r>
      <rPr>
        <vertAlign val="superscript"/>
        <sz val="10"/>
        <color theme="1"/>
        <rFont val="Verdana"/>
        <family val="2"/>
      </rPr>
      <t>3</t>
    </r>
  </si>
  <si>
    <t xml:space="preserve">Reduction of 25% on baseline 2019/20 </t>
  </si>
  <si>
    <t>TRIIR employees and contractors</t>
  </si>
  <si>
    <t>n/200,000hrs</t>
  </si>
  <si>
    <t>Achieve a Total Recordable Injury and Illness Rate for employees and contractors below 0.25</t>
  </si>
  <si>
    <t>Reduce our ICCA process safety severity rate to 0.4</t>
  </si>
  <si>
    <t>Employee Engagement</t>
  </si>
  <si>
    <t>Score of min 8.0 by 2030</t>
  </si>
  <si>
    <t xml:space="preserve">Female representation </t>
  </si>
  <si>
    <t>Achieve more than 40% of female representation across all management level</t>
  </si>
  <si>
    <t>Greenhouse gas (GHG) emissions</t>
  </si>
  <si>
    <t>Performance against prior year</t>
  </si>
  <si>
    <t>Performance against 2019/20 baseline</t>
  </si>
  <si>
    <t>*</t>
  </si>
  <si>
    <t>Total Scope 1 and 2 GHG emissions (location-based)</t>
  </si>
  <si>
    <t xml:space="preserve">Scope 3 GHG emissions by category </t>
  </si>
  <si>
    <t>Total Scope 3 (Category 1) Purchased goods and services GHG emissions</t>
  </si>
  <si>
    <r>
      <t>tonnes CO</t>
    </r>
    <r>
      <rPr>
        <vertAlign val="subscript"/>
        <sz val="12"/>
        <color rgb="FF000000"/>
        <rFont val="Verdana"/>
        <family val="2"/>
      </rPr>
      <t>2</t>
    </r>
    <r>
      <rPr>
        <sz val="12"/>
        <color rgb="FF000000"/>
        <rFont val="Verdana"/>
        <family val="2"/>
      </rPr>
      <t>e</t>
    </r>
  </si>
  <si>
    <t>Total Scope 3 (Category 2) Capital goods GHG emissions</t>
  </si>
  <si>
    <t>Total Scope 3 (Category 3) Fuel and Energy-related activities GHG emissions</t>
  </si>
  <si>
    <t>Total Scope 3 (Category 4) Upstream transportation and distribution GHG emissions</t>
  </si>
  <si>
    <t>Total Scope 3 (Category 5) Waste generated in operations GHG emissions</t>
  </si>
  <si>
    <t>Total Scope 3 (Category 6) Business travel GHG emissions</t>
  </si>
  <si>
    <t>Total Scope 3 (Category 7) Employee commuting GHG emissions</t>
  </si>
  <si>
    <t>Total Scope 3 (Category 8) Upstream leased assets GHG emissions</t>
  </si>
  <si>
    <t>Total Scope 3 (Category 9) Downstream transportation and distribution GHG emissions</t>
  </si>
  <si>
    <t>Total Scope 3 (Category 10) Processing of sold products GHG emissions</t>
  </si>
  <si>
    <t>Total Scope 3 (Category 11) Use of sold products GHG emissions</t>
  </si>
  <si>
    <t xml:space="preserve">-   </t>
  </si>
  <si>
    <t xml:space="preserve"> -   </t>
  </si>
  <si>
    <t>Total Scope 3 (Category 12) End of life treatment of sold products GHG emissions</t>
  </si>
  <si>
    <t>Total Scope 3 (Category 13) Downstream leased assets GHG emissions</t>
  </si>
  <si>
    <t>Total Scope 3 (Category 14) Franchises GHG emissions</t>
  </si>
  <si>
    <t>Total Scope 3 (Category 15) Investments GHG emissions</t>
  </si>
  <si>
    <t>Total Scope 3 Upstream GHG Emissions</t>
  </si>
  <si>
    <t>Total Scope 3 Downstream GHG Emissions</t>
  </si>
  <si>
    <t>Total Scope 3 (all categories) GHG emissions</t>
  </si>
  <si>
    <r>
      <t>tonnes CO</t>
    </r>
    <r>
      <rPr>
        <b/>
        <vertAlign val="subscript"/>
        <sz val="12"/>
        <color rgb="FF000000"/>
        <rFont val="Verdana"/>
        <family val="2"/>
      </rPr>
      <t>2</t>
    </r>
    <r>
      <rPr>
        <b/>
        <sz val="12"/>
        <color rgb="FF000000"/>
        <rFont val="Verdana"/>
        <family val="2"/>
      </rPr>
      <t>e</t>
    </r>
  </si>
  <si>
    <t>Total GHG emissions and intensity</t>
  </si>
  <si>
    <t>Total (Scope 1 + 2 + 3) GHG emissions</t>
  </si>
  <si>
    <t>Total (Scope 1 + 2 + 3) GHG intensity per tonne product sold</t>
  </si>
  <si>
    <r>
      <t>tonnes CO</t>
    </r>
    <r>
      <rPr>
        <vertAlign val="subscript"/>
        <sz val="12"/>
        <rFont val="Verdana"/>
        <family val="2"/>
      </rPr>
      <t>2</t>
    </r>
    <r>
      <rPr>
        <sz val="12"/>
        <rFont val="Verdana"/>
        <family val="2"/>
      </rPr>
      <t>e/tonne product</t>
    </r>
  </si>
  <si>
    <t>Total (Scope 1 + 2 + 3) GHG intensity per £M revenue</t>
  </si>
  <si>
    <r>
      <t>tonnes CO</t>
    </r>
    <r>
      <rPr>
        <vertAlign val="subscript"/>
        <sz val="12"/>
        <rFont val="Verdana"/>
        <family val="2"/>
      </rPr>
      <t>2</t>
    </r>
    <r>
      <rPr>
        <sz val="12"/>
        <rFont val="Verdana"/>
        <family val="2"/>
      </rPr>
      <t>e/£M revenue</t>
    </r>
  </si>
  <si>
    <t>Avoided GHG emissions</t>
  </si>
  <si>
    <t>2020/21
(baseline year)</t>
  </si>
  <si>
    <t>Performance against 2020/21 baseline</t>
  </si>
  <si>
    <t>Total avoided GHG emissions from customer applications of our technologies</t>
  </si>
  <si>
    <t>Energy Use</t>
  </si>
  <si>
    <t>(%)</t>
  </si>
  <si>
    <t>Certified renewable energy consumption</t>
  </si>
  <si>
    <t>Net zero carbon electricity consumption</t>
  </si>
  <si>
    <t>Categorisation  of energy sources (KPIs)</t>
  </si>
  <si>
    <t>1. Total energy consumption</t>
  </si>
  <si>
    <t>GJ</t>
  </si>
  <si>
    <t>2. Total Electricity consumption</t>
  </si>
  <si>
    <t>3. Total Natural gas consumption</t>
  </si>
  <si>
    <t>4. Total non-renewable energy consumption</t>
  </si>
  <si>
    <t>a) Non-renewable fuels purchased and consumed</t>
  </si>
  <si>
    <t>b) Non-renewable electricity purchased</t>
  </si>
  <si>
    <t>c) Steam/heating/cooling and other energy (non-renewable) purchased</t>
  </si>
  <si>
    <t>d) Non-renewable energy from the fuel used or mileage travelled by JM controlled vehicles on company business</t>
  </si>
  <si>
    <t>n/a</t>
  </si>
  <si>
    <t>5. Total renewable energy purchased or generated</t>
  </si>
  <si>
    <t>Total Electricity consumption</t>
  </si>
  <si>
    <t>Total Natural gas consumption</t>
  </si>
  <si>
    <t>Non-renewable fuels purchased and consumed</t>
  </si>
  <si>
    <t>Non-renewable electricity purchased</t>
  </si>
  <si>
    <t>Steam/heating/cooling and other energy (non-renewable) purchased</t>
  </si>
  <si>
    <t>Non-renewable energy from the fuel used or mileage travelled by JM controlled vehicles on company business</t>
  </si>
  <si>
    <t>renewable electricity purchased from grid</t>
  </si>
  <si>
    <t>renewable electricity not grid connected purchased from 3rd party generator</t>
  </si>
  <si>
    <t>renewable electricity generated from facility owned and operated by JM</t>
  </si>
  <si>
    <t>renewable fuels and steam purchased or generated</t>
  </si>
  <si>
    <t>Environmental KPIs</t>
  </si>
  <si>
    <t xml:space="preserve">Water withdrawal by source </t>
  </si>
  <si>
    <t>Total municipal water supplies</t>
  </si>
  <si>
    <t>Fresh surface water</t>
  </si>
  <si>
    <t>Fresh groundwater</t>
  </si>
  <si>
    <t>Rainwater harvested and stored</t>
  </si>
  <si>
    <r>
      <t>m</t>
    </r>
    <r>
      <rPr>
        <b/>
        <vertAlign val="superscript"/>
        <sz val="12"/>
        <color theme="1"/>
        <rFont val="Verdana"/>
        <family val="2"/>
      </rPr>
      <t>3</t>
    </r>
  </si>
  <si>
    <t>Water discharge by destination</t>
  </si>
  <si>
    <t>Total water returned to the source of extraction at similar or higher quality as raw water extracted</t>
  </si>
  <si>
    <t>Total wastewater discharged</t>
  </si>
  <si>
    <r>
      <t>m</t>
    </r>
    <r>
      <rPr>
        <b/>
        <vertAlign val="superscript"/>
        <sz val="12"/>
        <color rgb="FF000000"/>
        <rFont val="Verdana"/>
        <family val="2"/>
      </rPr>
      <t>3</t>
    </r>
  </si>
  <si>
    <t>Average COD of wastewater discharge</t>
  </si>
  <si>
    <t>metric tonnes</t>
  </si>
  <si>
    <t>Water consumption</t>
  </si>
  <si>
    <r>
      <t>000's m</t>
    </r>
    <r>
      <rPr>
        <b/>
        <vertAlign val="superscript"/>
        <sz val="12"/>
        <color theme="1"/>
        <rFont val="Verdana"/>
        <family val="2"/>
      </rPr>
      <t>3</t>
    </r>
  </si>
  <si>
    <r>
      <t>000's m</t>
    </r>
    <r>
      <rPr>
        <b/>
        <vertAlign val="superscript"/>
        <sz val="12"/>
        <rFont val="Verdana"/>
        <family val="2"/>
      </rPr>
      <t>3</t>
    </r>
  </si>
  <si>
    <t>% freshwater consumed in regions of high or extremely high baseline water stress</t>
  </si>
  <si>
    <t>Net freshwater consumption intensity</t>
  </si>
  <si>
    <r>
      <t>000's m</t>
    </r>
    <r>
      <rPr>
        <b/>
        <vertAlign val="superscript"/>
        <sz val="12"/>
        <rFont val="Verdana"/>
        <family val="2"/>
      </rPr>
      <t>3</t>
    </r>
    <r>
      <rPr>
        <b/>
        <sz val="12"/>
        <rFont val="Verdana"/>
        <family val="2"/>
      </rPr>
      <t xml:space="preserve"> / £Bn</t>
    </r>
  </si>
  <si>
    <t>No. of manufacturing sites in water-stressed areas</t>
  </si>
  <si>
    <t>#</t>
  </si>
  <si>
    <t>Total No of manufacturing sites</t>
  </si>
  <si>
    <t>% of manufacturing sites in water-stressed areas</t>
  </si>
  <si>
    <t>Types of waste produced and sent off site for treatment by a third party</t>
  </si>
  <si>
    <t>Liquid hazardous waste</t>
  </si>
  <si>
    <t>Solid hazardous waste</t>
  </si>
  <si>
    <t>Liquid non-hazardous waste</t>
  </si>
  <si>
    <t>Solid non-hazardous waste</t>
  </si>
  <si>
    <t>Total non-hazardous waste</t>
  </si>
  <si>
    <t>Methods of waste treatment applied by our third party providers</t>
  </si>
  <si>
    <t>Total waste reused</t>
  </si>
  <si>
    <t>Total waste recycled</t>
  </si>
  <si>
    <t>Waste directed to off site disposal</t>
  </si>
  <si>
    <t>Non-hazardous waste disposed through incineration with energy recovery</t>
  </si>
  <si>
    <t>Non-hazardous waste disposed through incineration or treatment without energy recovery</t>
  </si>
  <si>
    <t>Non-hazardous waste disposed to landfill</t>
  </si>
  <si>
    <t>Total non-hazardous waste disposed</t>
  </si>
  <si>
    <t>Hazardous waste disposed through incineration with energy recovery</t>
  </si>
  <si>
    <t>Hazardous waste disposed through incineration without energy recovery</t>
  </si>
  <si>
    <t>Hazardous waste disposed to landfill</t>
  </si>
  <si>
    <t>Total hazardous waste disposed</t>
  </si>
  <si>
    <t xml:space="preserve">Total waste disposed </t>
  </si>
  <si>
    <t>Total waste disposed off site to landfill</t>
  </si>
  <si>
    <t>Waste diverted from off site disposal</t>
  </si>
  <si>
    <t>Non-hazardous waste reused</t>
  </si>
  <si>
    <t>Hazardous waste reused</t>
  </si>
  <si>
    <t>Non-hazardous waste recycled</t>
  </si>
  <si>
    <t>Hazardous waste recycled</t>
  </si>
  <si>
    <t>Total waste recycled or reused</t>
  </si>
  <si>
    <t xml:space="preserve">Non-hazardous waste recycled and reused  </t>
  </si>
  <si>
    <t xml:space="preserve">Hazardous waste recycled and reused  </t>
  </si>
  <si>
    <t xml:space="preserve">Total waste recycled and reused </t>
  </si>
  <si>
    <t>Solid waste disposed off site</t>
  </si>
  <si>
    <t>Total solid waste sent off site to be reused</t>
  </si>
  <si>
    <t>Total solid waste sent off site to be recycled</t>
  </si>
  <si>
    <t>Emissions to air</t>
  </si>
  <si>
    <r>
      <t>Nitrogen oxides (NO</t>
    </r>
    <r>
      <rPr>
        <vertAlign val="subscript"/>
        <sz val="12"/>
        <rFont val="Verdana"/>
        <family val="2"/>
      </rPr>
      <t>x</t>
    </r>
    <r>
      <rPr>
        <sz val="12"/>
        <rFont val="Verdana"/>
        <family val="2"/>
      </rPr>
      <t>) emissions to air</t>
    </r>
  </si>
  <si>
    <r>
      <t>Sulphur oxides (SO</t>
    </r>
    <r>
      <rPr>
        <vertAlign val="subscript"/>
        <sz val="12"/>
        <rFont val="Verdana"/>
        <family val="2"/>
      </rPr>
      <t>x</t>
    </r>
    <r>
      <rPr>
        <sz val="12"/>
        <rFont val="Verdana"/>
        <family val="2"/>
      </rPr>
      <t>) emissions to air</t>
    </r>
  </si>
  <si>
    <r>
      <t>Coverage for NO</t>
    </r>
    <r>
      <rPr>
        <vertAlign val="subscript"/>
        <sz val="12"/>
        <rFont val="Verdana"/>
        <family val="2"/>
      </rPr>
      <t>x</t>
    </r>
    <r>
      <rPr>
        <sz val="12"/>
        <rFont val="Verdana"/>
        <family val="2"/>
      </rPr>
      <t xml:space="preserve"> reporting</t>
    </r>
  </si>
  <si>
    <r>
      <t>Coverage for SO</t>
    </r>
    <r>
      <rPr>
        <vertAlign val="subscript"/>
        <sz val="12"/>
        <rFont val="Verdana"/>
        <family val="2"/>
      </rPr>
      <t>x</t>
    </r>
    <r>
      <rPr>
        <sz val="12"/>
        <rFont val="Verdana"/>
        <family val="2"/>
      </rPr>
      <t xml:space="preserve"> reporting</t>
    </r>
  </si>
  <si>
    <t>Total products sold</t>
  </si>
  <si>
    <t>Tonnes of product sold</t>
  </si>
  <si>
    <t>tonnes of product sold</t>
  </si>
  <si>
    <t xml:space="preserve">Revenue </t>
  </si>
  <si>
    <t>£M</t>
  </si>
  <si>
    <t>Sales (excluding Precious Metals)</t>
  </si>
  <si>
    <t>£Bn</t>
  </si>
  <si>
    <t>Compliance with environmental laws and regulations</t>
  </si>
  <si>
    <t>Number of incidents of non-compliance associated with environmental laws and regulation</t>
  </si>
  <si>
    <t>Context of the incidents</t>
  </si>
  <si>
    <t>Text</t>
  </si>
  <si>
    <t>Waste water related issue</t>
  </si>
  <si>
    <t>Total monetary value of significant fines</t>
  </si>
  <si>
    <t>£</t>
  </si>
  <si>
    <t>Environmental Certification</t>
  </si>
  <si>
    <t>Percentage of sites with ISO 14001 certification</t>
  </si>
  <si>
    <t>-</t>
  </si>
  <si>
    <t>Work with Tony Malone</t>
  </si>
  <si>
    <r>
      <t>We are a global leader in sustainable technologies. Through inspiring science and continued innovation, we are catalysing the net zero transition for millions of people every day. Our skills and technology are more important today as businesses and communities adapt and rise to the challenges of climate change. But sustainability isn’t just about our portfolio of technologies. It’s also about our own operations, how we work together and hold ourselves accountable.
For more information on our methodology, please see our Basis of Reporting on pages</t>
    </r>
    <r>
      <rPr>
        <sz val="12"/>
        <color rgb="FFFF0000"/>
        <rFont val="Verdana"/>
        <family val="2"/>
      </rPr>
      <t xml:space="preserve"> XXX-XXX</t>
    </r>
    <r>
      <rPr>
        <sz val="12"/>
        <color rgb="FF0000CC"/>
        <rFont val="Verdana"/>
        <family val="2"/>
      </rPr>
      <t xml:space="preserve"> of our Annual Report and Accounts 
</t>
    </r>
    <r>
      <rPr>
        <b/>
        <sz val="12"/>
        <color rgb="FF0000CC"/>
        <rFont val="Verdana"/>
        <family val="2"/>
      </rPr>
      <t>Data Scope</t>
    </r>
    <r>
      <rPr>
        <sz val="12"/>
        <color rgb="FF0000CC"/>
        <rFont val="Verdana"/>
        <family val="2"/>
      </rPr>
      <t xml:space="preserve">: These numbers reflect all JM usage and emissions as recorded during the financial years as stated. All data from sites that were sold is included. For some sites that were disposed there is a partial years entry to reflect the usage / emissions that occurred under JM ownership of the site.  
</t>
    </r>
    <r>
      <rPr>
        <b/>
        <sz val="12"/>
        <color rgb="FF0000CC"/>
        <rFont val="Verdana"/>
        <family val="2"/>
      </rPr>
      <t xml:space="preserve">Restatement comment: </t>
    </r>
    <r>
      <rPr>
        <sz val="12"/>
        <color rgb="FF0000CC"/>
        <rFont val="Verdana"/>
        <family val="2"/>
      </rPr>
      <t>Following a review of the methodologies for calculating process CO</t>
    </r>
    <r>
      <rPr>
        <vertAlign val="subscript"/>
        <sz val="12"/>
        <color rgb="FF0000CC"/>
        <rFont val="Verdana"/>
        <family val="2"/>
      </rPr>
      <t>2</t>
    </r>
    <r>
      <rPr>
        <sz val="12"/>
        <color rgb="FF0000CC"/>
        <rFont val="Verdana"/>
        <family val="2"/>
      </rPr>
      <t xml:space="preserve"> emissions in our Clean Air business and a review of the N</t>
    </r>
    <r>
      <rPr>
        <vertAlign val="subscript"/>
        <sz val="12"/>
        <color rgb="FF0000CC"/>
        <rFont val="Verdana"/>
        <family val="2"/>
      </rPr>
      <t>2</t>
    </r>
    <r>
      <rPr>
        <sz val="12"/>
        <color rgb="FF0000CC"/>
        <rFont val="Verdana"/>
        <family val="2"/>
      </rPr>
      <t xml:space="preserve">0 emissions calculations in our Catalyst Technologies business the values have been restated for all years from base year (2019/20). Energy totals have also been restated from previously reported values due to correction of an error in reporting at two of our UK sites. </t>
    </r>
  </si>
  <si>
    <t>Definition / calculation methodology</t>
  </si>
  <si>
    <t>UK Only</t>
  </si>
  <si>
    <t>Global
(excl UK)</t>
  </si>
  <si>
    <r>
      <t>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t>
    </r>
    <r>
      <rPr>
        <vertAlign val="subscript"/>
        <sz val="11"/>
        <rFont val="Verdana"/>
        <family val="2"/>
      </rPr>
      <t>2</t>
    </r>
    <r>
      <rPr>
        <sz val="11"/>
        <rFont val="Verdana"/>
        <family val="2"/>
      </rPr>
      <t xml:space="preserve"> or CO</t>
    </r>
    <r>
      <rPr>
        <vertAlign val="subscript"/>
        <sz val="11"/>
        <rFont val="Verdana"/>
        <family val="2"/>
      </rPr>
      <t>2</t>
    </r>
    <r>
      <rPr>
        <sz val="11"/>
        <rFont val="Verdana"/>
        <family val="2"/>
      </rPr>
      <t xml:space="preserve"> equivalents that we directly emit. The GHG that we consider are those mentioned in the Kyoto Protocol and cover CH</t>
    </r>
    <r>
      <rPr>
        <vertAlign val="subscript"/>
        <sz val="11"/>
        <rFont val="Verdana"/>
        <family val="2"/>
      </rPr>
      <t>4</t>
    </r>
    <r>
      <rPr>
        <sz val="11"/>
        <rFont val="Verdana"/>
        <family val="2"/>
      </rPr>
      <t>, N</t>
    </r>
    <r>
      <rPr>
        <vertAlign val="subscript"/>
        <sz val="11"/>
        <rFont val="Verdana"/>
        <family val="2"/>
      </rPr>
      <t>2</t>
    </r>
    <r>
      <rPr>
        <sz val="11"/>
        <rFont val="Verdana"/>
        <family val="2"/>
      </rPr>
      <t>O and refrigerant gases in addition to CO</t>
    </r>
    <r>
      <rPr>
        <vertAlign val="subscript"/>
        <sz val="11"/>
        <rFont val="Verdana"/>
        <family val="2"/>
      </rPr>
      <t>2</t>
    </r>
    <r>
      <rPr>
        <sz val="11"/>
        <rFont val="Verdana"/>
        <family val="2"/>
      </rPr>
      <t xml:space="preserve">.  Scope 1 emissions also include emissions from fuel used in JM owned vehicles.
Scope 1 emissions from fuel use are calculated by applying calorific values and emission factors sourced from DEFRA </t>
    </r>
  </si>
  <si>
    <r>
      <t>tonnes CO</t>
    </r>
    <r>
      <rPr>
        <vertAlign val="subscript"/>
        <sz val="11"/>
        <rFont val="Verdana"/>
        <family val="2"/>
      </rPr>
      <t>2</t>
    </r>
    <r>
      <rPr>
        <sz val="11"/>
        <rFont val="Verdana"/>
        <family val="2"/>
      </rPr>
      <t>e</t>
    </r>
  </si>
  <si>
    <t>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</si>
  <si>
    <t xml:space="preserve">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</si>
  <si>
    <t>This is our operational GHG footprint using the scope 1 emissions and the market based scope 2 emissions as stated above.</t>
  </si>
  <si>
    <r>
      <t>tonnes CO</t>
    </r>
    <r>
      <rPr>
        <b/>
        <vertAlign val="subscript"/>
        <sz val="11"/>
        <rFont val="Verdana"/>
        <family val="2"/>
      </rPr>
      <t>2</t>
    </r>
    <r>
      <rPr>
        <b/>
        <sz val="11"/>
        <rFont val="Verdana"/>
        <family val="2"/>
      </rPr>
      <t>e</t>
    </r>
  </si>
  <si>
    <t>This is our operational GHG footprint using the scope 1 emissions and the location based scope 2 emissions as stated above.</t>
  </si>
  <si>
    <t xml:space="preserve">This is the total scope 1 GHG emissions and  Scope 2 GHG emissions based on the market values factored against the weight of product sold. </t>
  </si>
  <si>
    <r>
      <t>tonnes CO</t>
    </r>
    <r>
      <rPr>
        <b/>
        <vertAlign val="subscript"/>
        <sz val="11"/>
        <rFont val="Verdana"/>
        <family val="2"/>
      </rPr>
      <t>2</t>
    </r>
    <r>
      <rPr>
        <b/>
        <sz val="11"/>
        <rFont val="Verdana"/>
        <family val="2"/>
      </rPr>
      <t>e/tonnes sales</t>
    </r>
  </si>
  <si>
    <t>Definition/calculation methodology</t>
  </si>
  <si>
    <t>Where mass of purchased goods was available, this was used in combination with GHG intensity factors obtained either from suppliers or EcoInvent. For the remaining goods and for purchased services a financial allocation (EEIO model) was used</t>
  </si>
  <si>
    <r>
      <t>tonnes CO</t>
    </r>
    <r>
      <rPr>
        <vertAlign val="subscript"/>
        <sz val="11"/>
        <color rgb="FF000000"/>
        <rFont val="Verdana"/>
        <family val="2"/>
      </rPr>
      <t>2</t>
    </r>
    <r>
      <rPr>
        <sz val="11"/>
        <color rgb="FF000000"/>
        <rFont val="Verdana"/>
        <family val="2"/>
      </rPr>
      <t>e</t>
    </r>
  </si>
  <si>
    <t>Financial allocation (EEIO model) using geographical breakdown of data shown in Accounting note 12 “Property, plant &amp; equipment” on page 174</t>
  </si>
  <si>
    <t>Defra’s GHG reporting conversion factors 2022 were used to calculate well-to-tank GHG emissions from fuel usage, transmission and distribution losses from purchased electricity, and well-to-tank and transmission and distribution losses of energy from steam</t>
  </si>
  <si>
    <t>Emissions data was provided by our suppliers where available. Otherwise, a financial allocation was made based on spend and intensity factors from the EEIO mode</t>
  </si>
  <si>
    <t>Where GHG footprints were available from waste service providers they were used, otherwise Defra’s GHG reporting conversion factors 2022 were used according to mass of waste disposal by destination see page 46</t>
  </si>
  <si>
    <t>Footprint business travel for air and rail was obtained from our business travel service providers. Where available mileage for personal car, taxi and public transport use was used in combination with Defra’s GHG reporting conversion factors 2022. In the absence of mileage, a financial allocation was made based on expenses spend and intensity factors from the EEIO model. Accounting is by date of financial transaction</t>
  </si>
  <si>
    <t>Data is obtained by employee survey of miles travelled per week by modes of transport. Defra’s GHG reporting conversion factors 2022 are used to calculate the GHG intensity of each transport type</t>
  </si>
  <si>
    <t>Financial allocation (EEIO model) using floor space and geographical location</t>
  </si>
  <si>
    <t>Where JM takes responsibility for the downstream distribution of goods, it was included in the upstream category calculation. Where our customers takes responsibility, no data is available</t>
  </si>
  <si>
    <t>No quantitative data available, but not expected to be material based on our knowledge of how our customers use our products</t>
  </si>
  <si>
    <t>We have removed Use of sold products from our footprint by agreement with SBTi, as it determined that the emissions we reported in this category were ‘indirect’ and should not, therefore, be included.</t>
  </si>
  <si>
    <t>Total Scope 3 (Category 12)  End of life treatment of sold products GHG emissions</t>
  </si>
  <si>
    <t>Many of JM’s products are returned to the company for recovery of the precious metals and thus end of life treatment is included in our Scope 1 and Scope 2 footprint. JM does not have visibility of other end of life treatments</t>
  </si>
  <si>
    <t>Included in Upstream leased assets category</t>
  </si>
  <si>
    <t>JM does not have any franchises</t>
  </si>
  <si>
    <t>GHG footprints from our Pensions trustee providers were used, where available, and scaled to represent JM's global employee count. Financial allocation (EEIO model) using geographical breakdown of investment revenues from each entity</t>
  </si>
  <si>
    <t xml:space="preserve">Total </t>
  </si>
  <si>
    <r>
      <t>tonnes CO</t>
    </r>
    <r>
      <rPr>
        <b/>
        <vertAlign val="subscript"/>
        <sz val="11"/>
        <color rgb="FF000000"/>
        <rFont val="Verdana"/>
        <family val="2"/>
      </rPr>
      <t>2</t>
    </r>
    <r>
      <rPr>
        <b/>
        <sz val="11"/>
        <color rgb="FF000000"/>
        <rFont val="Verdana"/>
        <family val="2"/>
      </rPr>
      <t>e</t>
    </r>
  </si>
  <si>
    <t>Total GHG emissions</t>
  </si>
  <si>
    <t>Purchased Goods and Services</t>
  </si>
  <si>
    <t>All other Scope 3 categories</t>
  </si>
  <si>
    <t>Total</t>
  </si>
  <si>
    <t>This is fresh water that is supplied to site via mains pipework.</t>
  </si>
  <si>
    <r>
      <t>m</t>
    </r>
    <r>
      <rPr>
        <vertAlign val="superscript"/>
        <sz val="11"/>
        <color theme="1"/>
        <rFont val="Verdana"/>
        <family val="2"/>
      </rPr>
      <t>3</t>
    </r>
  </si>
  <si>
    <t>This is water that is extracted from fresh surface water</t>
  </si>
  <si>
    <t xml:space="preserve">Water in soil beneath the soil surface, usually under conditions where the pressure in the water is greater than the atmospheric pressure, and the soil voids are substantially filled with the water. </t>
  </si>
  <si>
    <t xml:space="preserve">Total water withdrawal </t>
  </si>
  <si>
    <t xml:space="preserve">This is the total fresh mains water, water extracted from the surface of the earth and water extracted from beneath the ground. </t>
  </si>
  <si>
    <r>
      <t>m</t>
    </r>
    <r>
      <rPr>
        <b/>
        <vertAlign val="superscript"/>
        <sz val="11"/>
        <color theme="1"/>
        <rFont val="Verdana"/>
        <family val="2"/>
      </rPr>
      <t>3</t>
    </r>
  </si>
  <si>
    <t>Water discharge</t>
  </si>
  <si>
    <t>Wastewater returned to the source of extraction at similar or higher quality as raw water extracted</t>
  </si>
  <si>
    <t>This is wastewater that is returned to its original source and is of equal or higher quality than the water that was originally extracted. In JM we only consider water returned to surface or ground water for this indicator.</t>
  </si>
  <si>
    <t>Net Fresh Water consumption</t>
  </si>
  <si>
    <t>This indicator equates the net fresh waterusage indicator as per the DJSI reporting criteria. This equates to the fresh water takn into site from mains, surface and groundwater which is adjusted for any water that is returned to fresh surface or groundwater.</t>
  </si>
  <si>
    <r>
      <t>000's m</t>
    </r>
    <r>
      <rPr>
        <b/>
        <vertAlign val="superscript"/>
        <sz val="11"/>
        <color theme="1"/>
        <rFont val="Verdana"/>
        <family val="2"/>
      </rPr>
      <t>3</t>
    </r>
  </si>
  <si>
    <t>This indicator equates the net fresh water usage indicator as per the DJSI reporting criteria in areas that are rated as "high" or "extremely High" baseline water stress under the WRI Aqueduct model. This equates to the fresh water takn into site from mains, fresh surface water and fresh groundwater. This is then adjusted for any water that is returned at the same or at higher quality to fresh surface water or fresh groundwater.
The JM facility coordinates are entered into the WRI Aqueduct model and the Baseline Water Stress is calculated. Baseline water stress measures the ratio of total water withdrawals to available renewable surface water and groundwater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</si>
  <si>
    <r>
      <t>000's m</t>
    </r>
    <r>
      <rPr>
        <b/>
        <vertAlign val="superscript"/>
        <sz val="11"/>
        <rFont val="Verdana"/>
        <family val="2"/>
      </rPr>
      <t>3</t>
    </r>
  </si>
  <si>
    <t>Average COD of waste water discharge</t>
  </si>
  <si>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treatement that is returned to the groundwater source from which it was originally extracted.</t>
  </si>
  <si>
    <r>
      <t>m</t>
    </r>
    <r>
      <rPr>
        <b/>
        <vertAlign val="superscript"/>
        <sz val="11"/>
        <color rgb="FF000000"/>
        <rFont val="Verdana"/>
        <family val="2"/>
      </rPr>
      <t>3</t>
    </r>
  </si>
  <si>
    <t>This is the Chemical Oxygen Demand (COD) of the wastewater that JM discharges from site. Chemical oxygen demand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</si>
  <si>
    <t>% waste water discharge covered by COD data</t>
  </si>
  <si>
    <t>This represents the amount of wastewater at JM where COD is routinely measured.</t>
  </si>
  <si>
    <t>Total waste generated and sent off site</t>
  </si>
  <si>
    <t>Hazardous waste is material deemed hazardous under the terms of the Basel Convention Annex I, II, III, 179 and VIII.  A solid waste is any item that is transported in a skip or similar container that cannot be poured</t>
  </si>
  <si>
    <t>Hazardous waste is material deemed hazardous under the terms of the Basel Convention Annex I, II, III, 179 and VIII.  A liquid waste is any item that can be poured and is transported in IBC, tanker or sealed container</t>
  </si>
  <si>
    <t>Non Hazardous waste is material that is not deemed hazardous under the terms of the Basel Convention Annex I, II, III, 179 and VIII.  A solid waste is any item that is transported in a skip or similar container that cannot be poured</t>
  </si>
  <si>
    <t>Non Hazardous waste is material not deemed hazardous under the terms of the Basel Convention Annex I, II, III, 179 and VIII.  A liquid waste is any item that can be poured and is transported in IBC, tanker or sealed container</t>
  </si>
  <si>
    <t>Total hazardous waste sent off site</t>
  </si>
  <si>
    <t>Waste is recorded under various classifications across JM as either hazardous or non hazardous. The total waste represents all the waste that is generated by JM operations and that is sent outside of JM for treatment or disposal.</t>
  </si>
  <si>
    <t xml:space="preserve"> The waste is disposed of through incineration were energy is recovered and used to generate heat locally or energy that is used locally or exported to an energy grid. Non Hazardous waste is material that is not deemed hazardous under the terms of the Basel Convention Annex I, II, III, 179 and VIII.</t>
  </si>
  <si>
    <t>The waste that is sent off site to be incinerated or treated in any other way before final disposai.  Non Hazardous waste is material that is not deemed hazardous under the terms of the Basel Convention Annex I, II, III, 179 and VIII.</t>
  </si>
  <si>
    <t>The waste is disposed of by burial in a landfill site. Non Hazardous waste is material that is not deemed hazardous under the terms of the Basel Convention Annex I, II, III, 179 and VIII.</t>
  </si>
  <si>
    <r>
      <t>Total non-hazardous waste disposed</t>
    </r>
    <r>
      <rPr>
        <b/>
        <vertAlign val="superscript"/>
        <sz val="11"/>
        <rFont val="Verdana"/>
        <family val="2"/>
      </rPr>
      <t>7</t>
    </r>
  </si>
  <si>
    <t xml:space="preserve">This is the total non hazardous waste that is disposed of by the methods mentioned above. </t>
  </si>
  <si>
    <t xml:space="preserve"> The waste is disposed of through incineration were energy is recovered and used to generate heat locally or energy that is used locally or exported to an energy grid. Hazardous waste is material that is deemed hazardous under the terms of the Basel Convention Annex I, II, III, 179 and VIII.</t>
  </si>
  <si>
    <t>Hazardous waste disposed through incineration or treatment without energy recovery</t>
  </si>
  <si>
    <t>The waste that is sent off site to be incinerated or treated in any other way before final disposai.  Hazardous waste is material that is deemed hazardous under the terms of the Basel Convention Annex I, II, III, 179 and VIII.</t>
  </si>
  <si>
    <t>The waste is disposed of by burial in a landfill site. Hazardous waste is material that is deemed hazardous under the terms of the Basel Convention Annex I, II, III, 179 and VIII.</t>
  </si>
  <si>
    <t xml:space="preserve">This is the total hazardous waste that is disposed of by the methods mentioned above. </t>
  </si>
  <si>
    <t>This is the total waste that is disposed of by incinerations with energy recovery, incineration or treatment prior to disposal or sent to landfill.</t>
  </si>
  <si>
    <t>Total waste disposed to landfill</t>
  </si>
  <si>
    <t>This is the total waste that is disposed of by burying at landfill.</t>
  </si>
  <si>
    <t>Non-hazardous waste  reused</t>
  </si>
  <si>
    <t>Non-hazardous waste that is sent off site to be reused. A waste stream can be reported as  "re-used" if the beneficiary takes the material at no cost to JM (including paying for transportation off the JM site). If JM pays the cost of transport, then it should be reported as "recycled" rather than re-used.   Non Hazardous waste is material not deemed hazardous under the terms of the Basel Convention Annex I, II, III, 179 and VIII.</t>
  </si>
  <si>
    <t>Hazardous waste  reused</t>
  </si>
  <si>
    <t>Hazardous waste that is sent off site to be reused. A waste stream can be reported as  "re-used" if the beneficiary takes the material at no cost to JM (including paying for transportation off the JM site). If JM pays the cost of transport, then it should be reported as "recycled" rather than re-used.   Hazardous waste is material deemed hazardous under the terms of the Basel Convention Annex I, II, III, 179 and VIII.</t>
  </si>
  <si>
    <t>Non-hazardous waste that is sent off site to be recycled. A waste stream can be reported as  "recycled" if  material can be recovered and then used again in place of virgin raw materials. Non Hazardous waste is material not deemed hazardous under the terms of the Basel Convention Annex I, II, III, 179 and VIII.</t>
  </si>
  <si>
    <t>Hazardous waste that is sent off site to be recycled. A waste stream can be reported as  "recycled" if  material can be recovered and then used again in place of virgin raw materials. Hazardous waste is material deemed hazardous under the terms of the Basel Convention Annex I, II, III, 179 and VIII.</t>
  </si>
  <si>
    <t>The total waste reported as  "re-used"  and recycled where reused is the beneficiary takes the material at no cost to JM (including paying for transportation off the JM site). If JM pays the cost of transport, then it should be reported as "recycled" rather than re-used.  Recycled waste is material that can be recovered and then used again in place of virgin raw materials.</t>
  </si>
  <si>
    <t xml:space="preserve">Non-hazardous waste recycled or Re-used  </t>
  </si>
  <si>
    <t>Expressed as a percentage of the total waste sent offsite for disposal by JM.</t>
  </si>
  <si>
    <t xml:space="preserve">Hazardous waste recycled or Re-used </t>
  </si>
  <si>
    <t xml:space="preserve">Total waste recycled or reused </t>
  </si>
  <si>
    <t>Total solid waste generated</t>
  </si>
  <si>
    <t>This represents the total solid waste (hazardous and non hazardous that JM generates and that requires treatment or disposal outside of JM.</t>
  </si>
  <si>
    <t>Total solid waste reused</t>
  </si>
  <si>
    <t>This represents the total solid waste (hazardous + non hazardous) that is sent to reuse outside of JM</t>
  </si>
  <si>
    <t>Total solid waste recycled</t>
  </si>
  <si>
    <t>This represents the total solid waste (hazardous + non hazardous that is sent to recycling outside JM</t>
  </si>
  <si>
    <t>Total solid waste disposed</t>
  </si>
  <si>
    <t>This represents the total solid waste (hazardous + non hazardous) that is disposed of outside JM</t>
  </si>
  <si>
    <t>Emissions to air %age coverage</t>
  </si>
  <si>
    <r>
      <t>Nitrogen oxides (NO</t>
    </r>
    <r>
      <rPr>
        <vertAlign val="subscript"/>
        <sz val="11"/>
        <rFont val="Verdana"/>
        <family val="2"/>
      </rPr>
      <t>x</t>
    </r>
    <r>
      <rPr>
        <sz val="11"/>
        <rFont val="Verdana"/>
        <family val="2"/>
      </rPr>
      <t>) emissions to air</t>
    </r>
  </si>
  <si>
    <r>
      <t>This is the generation of nitric oxides either through high temperature combustion processes or by the use of concentrated nitric acid in production processes. Including Nitric Oxide (NO), Nitrogen Dioxide (NO</t>
    </r>
    <r>
      <rPr>
        <vertAlign val="subscript"/>
        <sz val="11"/>
        <rFont val="Verdana"/>
        <family val="2"/>
      </rPr>
      <t>2</t>
    </r>
    <r>
      <rPr>
        <sz val="11"/>
        <rFont val="Verdana"/>
        <family val="2"/>
      </rPr>
      <t>) Dinitrogen Dioxide (N</t>
    </r>
    <r>
      <rPr>
        <vertAlign val="subscript"/>
        <sz val="11"/>
        <rFont val="Verdana"/>
        <family val="2"/>
      </rPr>
      <t>2</t>
    </r>
    <r>
      <rPr>
        <sz val="11"/>
        <rFont val="Verdana"/>
        <family val="2"/>
      </rPr>
      <t>O</t>
    </r>
    <r>
      <rPr>
        <vertAlign val="subscript"/>
        <sz val="11"/>
        <rFont val="Verdana"/>
        <family val="2"/>
      </rPr>
      <t>2</t>
    </r>
    <r>
      <rPr>
        <sz val="11"/>
        <rFont val="Verdana"/>
        <family val="2"/>
      </rPr>
      <t>) and Dinitrogen Trioxide (N</t>
    </r>
    <r>
      <rPr>
        <vertAlign val="subscript"/>
        <sz val="11"/>
        <rFont val="Verdana"/>
        <family val="2"/>
      </rPr>
      <t>2</t>
    </r>
    <r>
      <rPr>
        <sz val="11"/>
        <rFont val="Verdana"/>
        <family val="2"/>
      </rPr>
      <t>O</t>
    </r>
    <r>
      <rPr>
        <vertAlign val="subscript"/>
        <sz val="11"/>
        <rFont val="Verdana"/>
        <family val="2"/>
      </rPr>
      <t>3</t>
    </r>
    <r>
      <rPr>
        <sz val="11"/>
        <rFont val="Verdana"/>
        <family val="2"/>
      </rPr>
      <t xml:space="preserve">). </t>
    </r>
  </si>
  <si>
    <r>
      <t>Sulphur oxides (SO</t>
    </r>
    <r>
      <rPr>
        <vertAlign val="subscript"/>
        <sz val="11"/>
        <rFont val="Verdana"/>
        <family val="2"/>
      </rPr>
      <t>x</t>
    </r>
    <r>
      <rPr>
        <sz val="11"/>
        <rFont val="Verdana"/>
        <family val="2"/>
      </rPr>
      <t>) emissions to air</t>
    </r>
  </si>
  <si>
    <r>
      <t>Usually generated from high temperature combustion involving contaminants in the fuel source. Sulphur Dioxide (SO</t>
    </r>
    <r>
      <rPr>
        <vertAlign val="subscript"/>
        <sz val="11"/>
        <rFont val="Verdana"/>
        <family val="2"/>
      </rPr>
      <t>2</t>
    </r>
    <r>
      <rPr>
        <sz val="11"/>
        <rFont val="Verdana"/>
        <family val="2"/>
      </rPr>
      <t>) is one of a group of gases called sulphur oxides (SO</t>
    </r>
    <r>
      <rPr>
        <vertAlign val="subscript"/>
        <sz val="11"/>
        <rFont val="Verdana"/>
        <family val="2"/>
      </rPr>
      <t>x</t>
    </r>
    <r>
      <rPr>
        <sz val="11"/>
        <rFont val="Verdana"/>
        <family val="2"/>
      </rPr>
      <t>). The other gases in the group are much less common in the atmosphere  e.g. SO</t>
    </r>
    <r>
      <rPr>
        <vertAlign val="subscript"/>
        <sz val="11"/>
        <rFont val="Verdana"/>
        <family val="2"/>
      </rPr>
      <t>3</t>
    </r>
    <r>
      <rPr>
        <sz val="11"/>
        <rFont val="Verdana"/>
        <family val="2"/>
      </rPr>
      <t xml:space="preserve"> and SO (Sulphur Trioxide and Sulphur Monoxide).</t>
    </r>
  </si>
  <si>
    <t>Volatile organic compounds/chemicals (VOCs) are a large group of organic chemicals that include any compound of carbon (excluding carbon monoxide, carbon dioxide, carbonic acid, metallic carbides or carbonates, and ammonium carbonate). Full details behind VOC can be found on technical websites such as https://www.epa.gov/indoor-air-quality-iaq/technical-overview-volatile-organic-compounds</t>
  </si>
  <si>
    <r>
      <t>Coverage for NO</t>
    </r>
    <r>
      <rPr>
        <vertAlign val="subscript"/>
        <sz val="11"/>
        <rFont val="Verdana"/>
        <family val="2"/>
      </rPr>
      <t>x</t>
    </r>
    <r>
      <rPr>
        <sz val="11"/>
        <rFont val="Verdana"/>
        <family val="2"/>
      </rPr>
      <t xml:space="preserve"> reporting</t>
    </r>
  </si>
  <si>
    <r>
      <t>This represents the percentage of JM operational sites reporting NO</t>
    </r>
    <r>
      <rPr>
        <vertAlign val="subscript"/>
        <sz val="11"/>
        <rFont val="Verdana"/>
        <family val="2"/>
      </rPr>
      <t>x</t>
    </r>
    <r>
      <rPr>
        <sz val="11"/>
        <rFont val="Verdana"/>
        <family val="2"/>
      </rPr>
      <t xml:space="preserve"> values.</t>
    </r>
  </si>
  <si>
    <r>
      <t>Coverage for SO</t>
    </r>
    <r>
      <rPr>
        <vertAlign val="subscript"/>
        <sz val="11"/>
        <rFont val="Verdana"/>
        <family val="2"/>
      </rPr>
      <t>x</t>
    </r>
    <r>
      <rPr>
        <sz val="11"/>
        <rFont val="Verdana"/>
        <family val="2"/>
      </rPr>
      <t xml:space="preserve"> reporting</t>
    </r>
  </si>
  <si>
    <r>
      <t>This represents the percentage of JM operational sites reporting SO</t>
    </r>
    <r>
      <rPr>
        <vertAlign val="subscript"/>
        <sz val="11"/>
        <rFont val="Verdana"/>
        <family val="2"/>
      </rPr>
      <t>x</t>
    </r>
    <r>
      <rPr>
        <sz val="11"/>
        <rFont val="Verdana"/>
        <family val="2"/>
      </rPr>
      <t xml:space="preserve"> values.</t>
    </r>
  </si>
  <si>
    <t>This represents the percentage of JM operational sites reporting VOCs values.</t>
  </si>
  <si>
    <t>This is the total energy consumed by JM (expressed in MWh in the operations that it controls. Energy can be from fuels and covers Natural Gas, Diesel, Gasoline, LPG, LNG and fuel oil. Energyu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</si>
  <si>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energy used by the business divided by amount of materials sold to customers.</t>
  </si>
  <si>
    <t>Energy indicators (KPIs)</t>
  </si>
  <si>
    <t>Total
FY2022/23</t>
  </si>
  <si>
    <t>Total
FY2021/22</t>
  </si>
  <si>
    <t>Total*
FY2020/21</t>
  </si>
  <si>
    <t>Total
FY2019/20</t>
  </si>
  <si>
    <t>This is the total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</si>
  <si>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amount of electrical energy used on site (expressed in GJ)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</si>
  <si>
    <t>This is the energy from natural gas use (expressed as GJ)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</si>
  <si>
    <t>This is the total non renewable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</si>
  <si>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This is the total energy consumed by JM (expressed in Gj) in the operations that it controls. Energy from non renewable fuels and covers Natural Gas, Diesel, Gasoline, LPG, LNG and fuel oil. The volume or weight of the fuel is converted into an energy value by applying calorific values sourced from the most up to date version of the DEFRA emissions factors data set.</t>
  </si>
  <si>
    <t>This is the total of non renewable electrical energy (expressed as GJ) purchased from a grid that is consumed for site operations. Values are taken from supplier invoices that cover the time period in question.</t>
  </si>
  <si>
    <t>This is the steam energy (expressed as GJ) purchased from a supplier and not produced on a JM site. The steam is supplied by consuming non renewable energy sources by the supplier.  The steam is supplied as a weight and this is converted to an energy using temperatures, pressures and latent heat of the supplied energy.</t>
  </si>
  <si>
    <t xml:space="preserve">This is the energy used from either the direct fuel used or mileage traveled by JM vehicles or JM employees in road vehicles when on company business. </t>
  </si>
  <si>
    <t>This is the total amount of renewable energy (expressed as GJ) supplied to site or generated on site for use in our operations. The energy is certified renewable or is purchased as a renewable supply.</t>
  </si>
  <si>
    <t>This is the total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</si>
  <si>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amount of electrical energy used on site (expressed in kWh)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</si>
  <si>
    <t>This is the energy from natural gas use (expressed as kWh)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</si>
  <si>
    <t>This is the total non 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</si>
  <si>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This is the total of non renewable electrical energy (expressed as kWh) purchased from a grid that is consumed for site operations. Values are taken from supplier invoices that cover the time period in question.</t>
  </si>
  <si>
    <t>This is the steam energy (expressed as kWh) purchased from a supplier and not produced on a JM site. The steam is supplied by consuming non renewable energy sources by the supplier.  The steam is supplied as a weight and this is converted to an energy using temperatures, pressures and latent heat of the supplied energy.</t>
  </si>
  <si>
    <t>This is the total amount of renewable electricity supplied to site or generated on site as a percentage of the total electricity used by JM. The total amount includes non renewable electricity generated by JM on our own sites as well as all electricit supplied to JM through  grid or direct connection.</t>
  </si>
  <si>
    <t>Definition / Calculation methodology</t>
  </si>
  <si>
    <t>Significant fines during the year</t>
  </si>
  <si>
    <t>Unless otherwise stated the data for all years include Catalyst Technology (CT) business</t>
  </si>
  <si>
    <t>Health and Safety KPI</t>
  </si>
  <si>
    <t>Employees</t>
  </si>
  <si>
    <t>Contractors</t>
  </si>
  <si>
    <t>Annual OSHA severity rate</t>
  </si>
  <si>
    <t>days lost * 200,000 / annual worked hrs</t>
  </si>
  <si>
    <t>no data available</t>
  </si>
  <si>
    <t>No data available</t>
  </si>
  <si>
    <t>Total recordable injury and illness rate (TRIIR)</t>
  </si>
  <si>
    <t>Total number of lost time accidents (LTA's)</t>
  </si>
  <si>
    <t>(absolute number)</t>
  </si>
  <si>
    <t>Lost Time Injury Frequency Rate (LTIFR)</t>
  </si>
  <si>
    <t>Lost Time Injury and Illness Rate (LTIIR)</t>
  </si>
  <si>
    <t>Occupational Illness Frequency Rate (OIFR)</t>
  </si>
  <si>
    <t>Notes:</t>
  </si>
  <si>
    <t>LTIFR employees</t>
  </si>
  <si>
    <t>Lost time injury frequency rate, includes permanent and temporary employees</t>
  </si>
  <si>
    <t>LTIFR contractors</t>
  </si>
  <si>
    <t>Lost time injury frequency rate, includes contractors</t>
  </si>
  <si>
    <t>LTIIR employees</t>
  </si>
  <si>
    <t>Lost time injury and illness rate, includes permanent and temporary employees</t>
  </si>
  <si>
    <t>LTIIR contractors</t>
  </si>
  <si>
    <t>Lost time injury and illness rate, includes contractors</t>
  </si>
  <si>
    <t>2018/19</t>
  </si>
  <si>
    <t>Progress towards 2030 target</t>
  </si>
  <si>
    <t>Lost Time Injury and Illness Rate (LTIIR) 
employees + contractors</t>
  </si>
  <si>
    <t xml:space="preserve">Permanent and temporary employees - LTIIR </t>
  </si>
  <si>
    <t xml:space="preserve">Contractors - LTIIR </t>
  </si>
  <si>
    <t>Total Recordable Injury and Illness Rate (TRIIR)
employees + contractors</t>
  </si>
  <si>
    <t>Total Recordable Injury and Illness
employees + contractors</t>
  </si>
  <si>
    <t xml:space="preserve">Permanent and temporary employees - TRIIR </t>
  </si>
  <si>
    <t xml:space="preserve">Contractors - TRIIR </t>
  </si>
  <si>
    <t>ICCA - Process Safety Event Severity Rate (PSESR)</t>
  </si>
  <si>
    <t>Tier 1 Process Safety events</t>
  </si>
  <si>
    <t>Tier 1 events</t>
  </si>
  <si>
    <t>Hours worked</t>
  </si>
  <si>
    <t>million hrs</t>
  </si>
  <si>
    <t>Number of employee fatalities</t>
  </si>
  <si>
    <t>Number of contractor fatalities</t>
  </si>
  <si>
    <t>Number of third party fatalities involving members of the public</t>
  </si>
  <si>
    <t>Number of transport incidents</t>
  </si>
  <si>
    <t>Percentage of sites with ISO 45001 certification</t>
  </si>
  <si>
    <t>Workers</t>
  </si>
  <si>
    <t>Permanent</t>
  </si>
  <si>
    <t>Temporary</t>
  </si>
  <si>
    <r>
      <t>Total as at 31</t>
    </r>
    <r>
      <rPr>
        <b/>
        <vertAlign val="superscript"/>
        <sz val="12"/>
        <color rgb="FF000000"/>
        <rFont val="Verdana"/>
        <family val="2"/>
      </rPr>
      <t>st</t>
    </r>
    <r>
      <rPr>
        <b/>
        <sz val="12"/>
        <color rgb="FF000000"/>
        <rFont val="Verdana"/>
        <family val="2"/>
      </rPr>
      <t xml:space="preserve"> March</t>
    </r>
  </si>
  <si>
    <t>Total Employees</t>
  </si>
  <si>
    <t xml:space="preserve">Full time </t>
  </si>
  <si>
    <t>Part time</t>
  </si>
  <si>
    <t>Agency staff</t>
  </si>
  <si>
    <t>Employee Headcount by gender and region</t>
  </si>
  <si>
    <t>Gender</t>
  </si>
  <si>
    <t>Female</t>
  </si>
  <si>
    <t>Male</t>
  </si>
  <si>
    <t>Not disclosed</t>
  </si>
  <si>
    <t>Percentage of female representation</t>
  </si>
  <si>
    <t>Permanent employees</t>
  </si>
  <si>
    <t xml:space="preserve">UK </t>
  </si>
  <si>
    <t>Rest of Europe</t>
  </si>
  <si>
    <t>North America</t>
  </si>
  <si>
    <t>Asia</t>
  </si>
  <si>
    <t>Rest of World</t>
  </si>
  <si>
    <t>Globally</t>
  </si>
  <si>
    <t>Temporary employees</t>
  </si>
  <si>
    <t>Europe</t>
  </si>
  <si>
    <t>China</t>
  </si>
  <si>
    <t>Rest of Asia</t>
  </si>
  <si>
    <t>Remove - what are the numbers in this row??</t>
  </si>
  <si>
    <t>Remove?</t>
  </si>
  <si>
    <t>Total number of employees</t>
  </si>
  <si>
    <t>South America</t>
  </si>
  <si>
    <t>All employees</t>
  </si>
  <si>
    <t>Board</t>
  </si>
  <si>
    <t>Group leadership team (GLT)</t>
  </si>
  <si>
    <t>Subsidiary Directors</t>
  </si>
  <si>
    <t>Senior managers</t>
  </si>
  <si>
    <r>
      <t xml:space="preserve">All management levels 
</t>
    </r>
    <r>
      <rPr>
        <b/>
        <sz val="12"/>
        <color theme="4"/>
        <rFont val="Verdana"/>
        <family val="2"/>
      </rPr>
      <t>Our target of &gt;40% female representation across all management levels by 2030</t>
    </r>
  </si>
  <si>
    <t>Junior managers - first level of people management</t>
  </si>
  <si>
    <t>Employees in STEM-related roles</t>
  </si>
  <si>
    <t>Employees in revenue-generating positions</t>
  </si>
  <si>
    <t>Employee Headcount by age</t>
  </si>
  <si>
    <t>m</t>
  </si>
  <si>
    <t>Board members under 30 years of age</t>
  </si>
  <si>
    <t>Board members between 30-50 years of age</t>
  </si>
  <si>
    <t>Board members age 50 plus</t>
  </si>
  <si>
    <t>Total Board members</t>
  </si>
  <si>
    <t>Board members between 40-49 years of age</t>
  </si>
  <si>
    <t>Board members between 50-59 years of age</t>
  </si>
  <si>
    <t>Board members between 60-65 years of age</t>
  </si>
  <si>
    <t>Board members age 65 plus</t>
  </si>
  <si>
    <t>Employees under 30 years of age</t>
  </si>
  <si>
    <t>Employees between 30-50 years of age</t>
  </si>
  <si>
    <t>Employees age 50 plus</t>
  </si>
  <si>
    <t>Employees with Undisclosed age</t>
  </si>
  <si>
    <t>Employees between 30-45 years of age</t>
  </si>
  <si>
    <t>Employees between 46-60 years of age</t>
  </si>
  <si>
    <t>Employees over 60 years of age</t>
  </si>
  <si>
    <t>Employees Headcount by ethnicity</t>
  </si>
  <si>
    <t>Number</t>
  </si>
  <si>
    <t>Percentage</t>
  </si>
  <si>
    <t>White British or other White (including minority-white groups)</t>
  </si>
  <si>
    <t>Mixed/Multiple Ethnic Groups</t>
  </si>
  <si>
    <t>Asian/Asian British</t>
  </si>
  <si>
    <t>Black/African/ Caribbean/Black British</t>
  </si>
  <si>
    <t>Other ethnic group, including Arab</t>
  </si>
  <si>
    <t>Not specified/ prefer not to say</t>
  </si>
  <si>
    <t>Senior Management Headcount by ethnicity</t>
  </si>
  <si>
    <t>Board Members at a Glance</t>
  </si>
  <si>
    <t>Roles</t>
  </si>
  <si>
    <t>Chair</t>
  </si>
  <si>
    <t>Executive</t>
  </si>
  <si>
    <t>Non-Executive</t>
  </si>
  <si>
    <t>Chair and Non-Executive Directors' Tenure</t>
  </si>
  <si>
    <t>0-3 years</t>
  </si>
  <si>
    <t>4-6 years</t>
  </si>
  <si>
    <t>7-9 years</t>
  </si>
  <si>
    <t>Nationality</t>
  </si>
  <si>
    <t>British</t>
  </si>
  <si>
    <t>Irish</t>
  </si>
  <si>
    <t>German</t>
  </si>
  <si>
    <t>US Citizen</t>
  </si>
  <si>
    <t>Ethnicity</t>
  </si>
  <si>
    <t>Employee Turnover</t>
  </si>
  <si>
    <t>New recruits - all levels</t>
  </si>
  <si>
    <t>New graduate recruits</t>
  </si>
  <si>
    <t>Voluntary permanent employee leavers</t>
  </si>
  <si>
    <t>Voluntary Redundancy permanent leavers**</t>
  </si>
  <si>
    <t>Involuntary permanent employee leavers</t>
  </si>
  <si>
    <t>Involuntary Redundancy permanent leavers**</t>
  </si>
  <si>
    <t xml:space="preserve">Total permanent employee leavers </t>
  </si>
  <si>
    <t>Voluntary permanent employee leavers turnover rate</t>
  </si>
  <si>
    <t>Involuntary permanent employee leavers turnover rate*</t>
  </si>
  <si>
    <t>Total permanent employee leavers turnover rate*</t>
  </si>
  <si>
    <t>*includes businesses divested during the year</t>
  </si>
  <si>
    <t>**Relates to JMGS transformation</t>
  </si>
  <si>
    <t>Union representation</t>
  </si>
  <si>
    <t>Total average number of employees</t>
  </si>
  <si>
    <t>Average number of employees represented</t>
  </si>
  <si>
    <t>% represented</t>
  </si>
  <si>
    <t>Workforce globally</t>
  </si>
  <si>
    <t>Region</t>
  </si>
  <si>
    <t>Rest of the World</t>
  </si>
  <si>
    <t>Grand Total</t>
  </si>
  <si>
    <t>Age Group</t>
  </si>
  <si>
    <t>Under 30 years of age</t>
  </si>
  <si>
    <t>Between 30-50 years of age</t>
  </si>
  <si>
    <t>Age 50 plus</t>
  </si>
  <si>
    <t>Not Disclosed</t>
  </si>
  <si>
    <t>New recruits</t>
  </si>
  <si>
    <t>Number of employees represented</t>
  </si>
  <si>
    <t>All employees globally</t>
  </si>
  <si>
    <t>Collective Bargaining representation</t>
  </si>
  <si>
    <t>Internal Promotion</t>
  </si>
  <si>
    <t>Parental Leave</t>
  </si>
  <si>
    <t>Total number of employees that took parental leave</t>
  </si>
  <si>
    <t>Total number of employees that returned to work in the reporting period after parental leave ended</t>
  </si>
  <si>
    <t>Total number of employees that returned to work after parental leave ended that were still employed 12 months after their return to work</t>
  </si>
  <si>
    <t>Return to work and retention rates of employees that took parental leave</t>
  </si>
  <si>
    <t>Living Wage</t>
  </si>
  <si>
    <t>Percentage of direct employees covered by a living wage benchmarking analysis</t>
  </si>
  <si>
    <t>Performance and career development reviews</t>
  </si>
  <si>
    <t>Permanent Employees</t>
  </si>
  <si>
    <t>Temporary Employees</t>
  </si>
  <si>
    <t>All Employees</t>
  </si>
  <si>
    <t>Junior managers - first level of management</t>
  </si>
  <si>
    <t>Training</t>
  </si>
  <si>
    <t>Employee average learning hours</t>
  </si>
  <si>
    <t xml:space="preserve">Employee average learning hours (non-mandated training) </t>
  </si>
  <si>
    <t>Graduates on the graduate programme</t>
  </si>
  <si>
    <t>Participants in Business Skills Programme</t>
  </si>
  <si>
    <t>Users on Percipio (Licenses consumed)</t>
  </si>
  <si>
    <t>Training- Employee average learning hours</t>
  </si>
  <si>
    <t>Training- Employee average learning hours (non-mandated training)</t>
  </si>
  <si>
    <t>Training on our policies (mandated)</t>
  </si>
  <si>
    <t># employees assigned</t>
  </si>
  <si>
    <t>% employee completed</t>
  </si>
  <si>
    <t>Code of Ethics*</t>
  </si>
  <si>
    <t>Anti Bribery and Corruption Course</t>
  </si>
  <si>
    <t>Competition Law/Antitrust Training Course</t>
  </si>
  <si>
    <t>Human Rights Training Course</t>
  </si>
  <si>
    <t>Diversity, Belonging and Inclusion Training</t>
  </si>
  <si>
    <t>Lifesaving Policy training</t>
  </si>
  <si>
    <t>Cybersecurity Training Course</t>
  </si>
  <si>
    <t>Note: Training completion rates are not designed to tie in to year end hence completion rates may appear low.
*Targeted classroom training was also offered for those workers who do not have regular access to computers</t>
  </si>
  <si>
    <t xml:space="preserve">Employee engagement </t>
  </si>
  <si>
    <t>Participation rate</t>
  </si>
  <si>
    <t>No survey</t>
  </si>
  <si>
    <t>Employee Engagement Score using Korn Ferry</t>
  </si>
  <si>
    <t>Employee Engagement Score using Workday Peakon</t>
  </si>
  <si>
    <t>Latest Pulse survey</t>
  </si>
  <si>
    <t>Chief Executive Officer to employee pay ratio including employee bonus payable</t>
  </si>
  <si>
    <t>Chief Executive Officer single figure</t>
  </si>
  <si>
    <t>£2,589,900</t>
  </si>
  <si>
    <t>£2,646,222</t>
  </si>
  <si>
    <t>£1,672,000</t>
  </si>
  <si>
    <t>£2,532,000</t>
  </si>
  <si>
    <t>£1,462,000</t>
  </si>
  <si>
    <t>Upper quartile</t>
  </si>
  <si>
    <t>22:1</t>
  </si>
  <si>
    <t>27:1</t>
  </si>
  <si>
    <t>30:1</t>
  </si>
  <si>
    <t>20:1</t>
  </si>
  <si>
    <t>35:1</t>
  </si>
  <si>
    <t>Median</t>
  </si>
  <si>
    <t>32:1</t>
  </si>
  <si>
    <t>38:1</t>
  </si>
  <si>
    <t>42:1</t>
  </si>
  <si>
    <t>28:1</t>
  </si>
  <si>
    <t>45:1</t>
  </si>
  <si>
    <t>Lower quartile</t>
  </si>
  <si>
    <t>49:1</t>
  </si>
  <si>
    <t>53:1</t>
  </si>
  <si>
    <t>57:1</t>
  </si>
  <si>
    <t>36:1</t>
  </si>
  <si>
    <t>Chief Executive Officer to employee pay ratio excluding employee bonus payable</t>
  </si>
  <si>
    <t>34:1</t>
  </si>
  <si>
    <t>37:1</t>
  </si>
  <si>
    <t>26:1</t>
  </si>
  <si>
    <t>39:1</t>
  </si>
  <si>
    <t>47:1</t>
  </si>
  <si>
    <t>50:1</t>
  </si>
  <si>
    <t>29:1</t>
  </si>
  <si>
    <t>58:1</t>
  </si>
  <si>
    <t>60:1</t>
  </si>
  <si>
    <t>41:1</t>
  </si>
  <si>
    <t>63:1</t>
  </si>
  <si>
    <t>Total pay for individuals</t>
  </si>
  <si>
    <t>£89,167</t>
  </si>
  <si>
    <t>£80,832</t>
  </si>
  <si>
    <t>£72,086</t>
  </si>
  <si>
    <t>£65,453</t>
  </si>
  <si>
    <t>£65,325</t>
  </si>
  <si>
    <t>£66,873</t>
  </si>
  <si>
    <t>£65,339</t>
  </si>
  <si>
    <t>£61,082</t>
  </si>
  <si>
    <t>£54,458</t>
  </si>
  <si>
    <t>£49,618</t>
  </si>
  <si>
    <t>£51,039</t>
  </si>
  <si>
    <t>£50,771</t>
  </si>
  <si>
    <t>£52,948</t>
  </si>
  <si>
    <t>£49,161</t>
  </si>
  <si>
    <t>£44,108</t>
  </si>
  <si>
    <t>£40,301</t>
  </si>
  <si>
    <t>£40,377</t>
  </si>
  <si>
    <t>£40,029</t>
  </si>
  <si>
    <t>Involuntary permanent employee leavers turnover rate</t>
  </si>
  <si>
    <t>We endeavour to create an environment where everyone who works for JM feels valued and actively encouraged to speak up about behaviour which may be unsafe, unethical or unlawful. Employees are able to speak up with their line manager, the Legal or Human Resources team or use our confidential third-party Speak Up helpline, which is available in local languages, by telephone or online. JM has a zero-tolerance approach to retaliation. 
All Speak Ups are thoroughly investigated by the Ethics &amp; Compliance team and/or independent investigators to determine whether the allegations can be proven, and any recommendations should be made. We have a zero-tolerance approach to unsafe, unethical and unlawful behaviour of any kind and will take disciplinary action, where appropriate, up to and including dismissal in the event of a breach of our Code of Ethics and associated policies. We analyse Speak Up metrics quarterly to identify key themes and significant trends and share these, together with action plans, with the Societal Value Committee and relevant senior leaders.
In Q2 FY25/26, E&amp;C and HR worked collaboratively to refine the process and ways of working for Employee Relation type matters (i.e. greivances, employee disputes etc.) submitted via the Speak Up line to allow E&amp;C to focus on more serious compliance issues. Employees are now able to submit Employee Relation matters directly to HR via JM's Digitial Workplace platform. E&amp;C remains as a triage and assurance partner for ER matters submitted through the Speak Up line with HR owning the investigation and resolution.
During FY2025/26 there were 125 Speak Up reports, of which 4 related to bribery, corruption and fraud.  We do not tolerate bribery, corruption or fraud in any form, as set out in our Code of Ethics and Global Anti-Bribery and Corruption policy. Even where allegations are not proven, an assessment is made to ensure the risk of bribery, corruption or fraud taking place in the future is properly mitigated. During the year there were no legal cases regarding bribery and corruption brought against JM and its employees and no reportable personal data breaches.
The data below represents our Speak Up reports and the recommendations given following the closed investigated reports.</t>
  </si>
  <si>
    <t>Speak Up reports 2024/25</t>
  </si>
  <si>
    <t>Speak Up reports 2023/24</t>
  </si>
  <si>
    <t>Speak Up reports 2022/23</t>
  </si>
  <si>
    <t>Speak Up reports 2021/22</t>
  </si>
  <si>
    <t>Speak Up reports 2020/21</t>
  </si>
  <si>
    <t>Speak Up reports 2019/20</t>
  </si>
  <si>
    <t>Concern/allegation</t>
  </si>
  <si>
    <t>Number of cases</t>
  </si>
  <si>
    <t>Concern/allegation*</t>
  </si>
  <si>
    <t>Bribery and corruption</t>
  </si>
  <si>
    <t>Conflict of Interest</t>
  </si>
  <si>
    <t>Conflict of interest</t>
  </si>
  <si>
    <t xml:space="preserve">Business and financial reporting </t>
  </si>
  <si>
    <t>Discrimination, Harrassments, Bullying and Retaliation</t>
  </si>
  <si>
    <t>Discrimination, including harassment and retaliation</t>
  </si>
  <si>
    <t>Competition / anti-trust</t>
  </si>
  <si>
    <t>Computer, email and internet use</t>
  </si>
  <si>
    <t>Employee Rights / Employee Relations</t>
  </si>
  <si>
    <t>Employee Rights</t>
  </si>
  <si>
    <t>Employee rights</t>
  </si>
  <si>
    <t>Confidential information and intellectual property</t>
  </si>
  <si>
    <t>Competition/Anti-Trust</t>
  </si>
  <si>
    <t>Enquiry</t>
  </si>
  <si>
    <t>Environmental Protection, Product Stewardship or Health and Safety</t>
  </si>
  <si>
    <t>Environmental protection, product stewardship or health and safety</t>
  </si>
  <si>
    <t>Discrimination including harassment and retaliation</t>
  </si>
  <si>
    <t>Disclosure or Misappropriation of Confidential Information</t>
  </si>
  <si>
    <t>Financial crime</t>
  </si>
  <si>
    <t>Violence, Threats or Security</t>
  </si>
  <si>
    <t>Insider trading, financial reporting and other securities violations</t>
  </si>
  <si>
    <t>Other or general enquiry</t>
  </si>
  <si>
    <t>Other</t>
  </si>
  <si>
    <t>Theft or Misuse of Assets</t>
  </si>
  <si>
    <t>Theft or misuse of assets</t>
  </si>
  <si>
    <t>Insider trading</t>
  </si>
  <si>
    <t>Fraud, money laundering and embezzlement</t>
  </si>
  <si>
    <t>Fraud</t>
  </si>
  <si>
    <t>Trade and export controls</t>
  </si>
  <si>
    <t>Misconduct or inappropriate behaviour</t>
  </si>
  <si>
    <t>Protection of Privacy and Personal Data, and Security of Network and Information Systems</t>
  </si>
  <si>
    <t>Protection of Privacy &amp; Personal Data, Network Security</t>
  </si>
  <si>
    <t>Physical assets</t>
  </si>
  <si>
    <t>Substance abuse</t>
  </si>
  <si>
    <t>Policy Violation</t>
  </si>
  <si>
    <t>Retaliation</t>
  </si>
  <si>
    <t>*To simplify identification of issues raised, consolidation has been made of some of the categories from 2021/22.</t>
  </si>
  <si>
    <t>Theft</t>
  </si>
  <si>
    <t>Insider Trading, Financial Reporting and Other Securities Violations</t>
  </si>
  <si>
    <t>Violence or threats</t>
  </si>
  <si>
    <t>Money Laundering</t>
  </si>
  <si>
    <t>Recommendations following closed investigated reports in 2024/25</t>
  </si>
  <si>
    <t>Recommendations following closed investigated reports in 2023/24</t>
  </si>
  <si>
    <t>Recommendations following closed investigated reports in 2022/23</t>
  </si>
  <si>
    <t>Please note there could be more than one recommendation per report, or some cases none</t>
  </si>
  <si>
    <t>Separation with employee</t>
  </si>
  <si>
    <t>Verbal or written warning</t>
  </si>
  <si>
    <t>Coaching or training</t>
  </si>
  <si>
    <t>Coaching / training</t>
  </si>
  <si>
    <t>Communications</t>
  </si>
  <si>
    <t>Communication</t>
  </si>
  <si>
    <t>Internal review of processes</t>
  </si>
  <si>
    <t>Update or create new standards/controls</t>
  </si>
  <si>
    <t>Update / create new standards / controls</t>
  </si>
  <si>
    <t>Senior leader or senior management actions</t>
  </si>
  <si>
    <t>Senior leadership or management actions</t>
  </si>
  <si>
    <t>Remedy for the reporter or victim</t>
  </si>
  <si>
    <t>Remedy for the reporter</t>
  </si>
  <si>
    <t>No recommendation*</t>
  </si>
  <si>
    <t>No recommendation</t>
  </si>
  <si>
    <t>*No recommendation would be given in cases whereby the allegation/concern has been found to be unsubstanciated and/or no further action was needed</t>
  </si>
  <si>
    <t>We at Johnson Matthey believe that Community investment helps us to connect with each other and our local communities.</t>
  </si>
  <si>
    <t>Community investment summary</t>
  </si>
  <si>
    <t>Direct expenditure</t>
  </si>
  <si>
    <t>£'000</t>
  </si>
  <si>
    <t>Indirect expenditure</t>
  </si>
  <si>
    <t>Total Volunteering Days</t>
  </si>
  <si>
    <t># of days</t>
  </si>
  <si>
    <t># employees per region</t>
  </si>
  <si>
    <t>Ratio of # of employees for each region and # of volunteering days</t>
  </si>
  <si>
    <t>The nature of the complex chemistry in our products and manufacturing processes means that we sometimes have to use chemicals that are potentially hazardous due to their physico-chemical, toxicological and ecotoxicological properties. JM’s product stewardship processes, and our commitment to Responsible Care®, a global initiative of the chemical industry, are central to ensuring our products should not pose any risk to humans or the environment when used responsibly and as intended. In addition, we continuously work to identify opportunities to further improve the safety and sustainability of our product portfolio through, for example, evaluating if more hazardous components can be substituted with safer technically equivalent chemistries. 
We maintain a database of environmental, health, safety and regulatory data for all of our substances and products. This underpins our programmes to maintain compliance with applicable global chemicals regulations (e.g. TSCA in the United States, REACH and REACH-like regulations in the EU, UK, Turkey, South Korea and China) as well as the provision of hazard communication to our customers in the form of safety data sheets in the required language(s). In the event of an incident with a JM product, a 24-hour global emergency response telephone service is in place to provide safety information in the local language. We continue to comply with all applicable health and safety, labelling and marketing regulations, and voluntary codes.</t>
  </si>
  <si>
    <t>GRI 416-1</t>
  </si>
  <si>
    <t>2025/26
incl CT</t>
  </si>
  <si>
    <t xml:space="preserve">Percentage of significant product and service categories for which health and safety impacts are assessed for improvement. </t>
  </si>
  <si>
    <r>
      <t xml:space="preserve">Note: </t>
    </r>
    <r>
      <rPr>
        <sz val="10"/>
        <color theme="1"/>
        <rFont val="Verdana"/>
        <family val="2"/>
      </rPr>
      <t>Data reflects evaluation of product and service categories, predominantly in R&amp;D; Manufacturing and production; Disposal, reuse, or recycling phases of the life cycle.</t>
    </r>
  </si>
  <si>
    <t>GRI 416-2</t>
  </si>
  <si>
    <t>Incidents of non-compliance concerning the health and safety impacts of products and services</t>
  </si>
  <si>
    <r>
      <t xml:space="preserve">Note: </t>
    </r>
    <r>
      <rPr>
        <sz val="10"/>
        <color theme="1"/>
        <rFont val="Verdana"/>
        <family val="2"/>
      </rPr>
      <t>None of the nine Speak Ups in the Ethics and Compliance tab under 'Environmental Protection, Product Stewardship or Health and Safety' related to Disclosure 416-2</t>
    </r>
  </si>
  <si>
    <t>GRI 417-1b</t>
  </si>
  <si>
    <t xml:space="preserve">Percentage of significant product and service categories covered by and assessed for compliance with procedures for product and service information labelling. </t>
  </si>
  <si>
    <t>GRI 417-2</t>
  </si>
  <si>
    <t>Incidents of non-compliance concerning product and service information and labelling</t>
  </si>
  <si>
    <r>
      <t xml:space="preserve">Note: 
</t>
    </r>
    <r>
      <rPr>
        <sz val="10"/>
        <color theme="1"/>
        <rFont val="Verdana"/>
        <family val="2"/>
      </rPr>
      <t>None of the nine Speak Ups in the Ethics and Compliance tab under 'Environmental Protection, Product Stewardship or Health and Safety' related to Disclosure 417-2</t>
    </r>
  </si>
  <si>
    <t>SASB (RT-CH-410c.1)</t>
  </si>
  <si>
    <t>Biocatalyst &amp; chiral products</t>
  </si>
  <si>
    <t>% of sales</t>
  </si>
  <si>
    <t>&lt;0.1</t>
  </si>
  <si>
    <r>
      <rPr>
        <b/>
        <sz val="10"/>
        <color theme="1"/>
        <rFont val="Verdana"/>
        <family val="2"/>
      </rPr>
      <t xml:space="preserve">Notes:
</t>
    </r>
    <r>
      <rPr>
        <sz val="10"/>
        <color theme="1"/>
        <rFont val="Verdana"/>
        <family val="2"/>
      </rPr>
      <t>JM does not supply products that contain GMOs. 
The biocatalyst and chiral alcohol products we manufacture do not contain live organisms at the point of supply to our customers. Manufacture of these products requires the use of genetically modified organisms.</t>
    </r>
  </si>
  <si>
    <t>See our Supplier code of conduct | Johnson Matthey</t>
  </si>
  <si>
    <t>Supplier human rights screening</t>
  </si>
  <si>
    <t>Suppliers for 
2025/26</t>
  </si>
  <si>
    <t>Suppliers for 
2024/25</t>
  </si>
  <si>
    <t>Suppliers for
2023/24</t>
  </si>
  <si>
    <t>Total number of suppliers assessed</t>
  </si>
  <si>
    <t>--</t>
  </si>
  <si>
    <t>Total % of procurement spend with assessed suppliers</t>
  </si>
  <si>
    <t>Total number of suppliers identified as high risk</t>
  </si>
  <si>
    <t>Total % of procurement spend with suppliers identified as high risk</t>
  </si>
  <si>
    <t>Total number of high risk suppliers from the previous year with the risk mitigated</t>
  </si>
  <si>
    <t>Total number of high risk suppliers from the previous year with no prior year spend</t>
  </si>
  <si>
    <t>Supplier screening using EcoVadis ratings</t>
  </si>
  <si>
    <t>Total procurement spend (%) 2025/26</t>
  </si>
  <si>
    <t>Total procurement spend (%) 2024/25</t>
  </si>
  <si>
    <t>Total procurement spend (%) 2023/24</t>
  </si>
  <si>
    <t>Total procurement spend (%) 2022/23</t>
  </si>
  <si>
    <t>Total procurement spend (%) 2021/22</t>
  </si>
  <si>
    <t>Suppliers with a valid EcoVadis Recognition (Committed or Medal Recognition)</t>
  </si>
  <si>
    <t>Suppliers with a valid EcoVadis rating below medal achieving score</t>
  </si>
  <si>
    <t>Suppliers without a valid EcoVadis rating, have declined to share their rating or we have not yet requested it</t>
  </si>
  <si>
    <t>Supplier screening for conflict minerals - cobalt, tin, tungsten, tantalum, and gold (3TGs)</t>
  </si>
  <si>
    <t>Total number of suppliers assessed for 3TGs (CMRT)</t>
  </si>
  <si>
    <t>Total number of conformant 3TG suppliers (&gt;75% supply chain coverage)*</t>
  </si>
  <si>
    <t>Total number of non-conformant 3TG suppliers with sufficient risk mitigation policies</t>
  </si>
  <si>
    <t>% of JM 3TG supply chain represented by Conflict Mineral Supplier Screening</t>
  </si>
  <si>
    <t>&gt;90%</t>
  </si>
  <si>
    <t>Total number of suppliers assessed for cobalt, mica, copper, nickel, lithium, and natural graphite (EMRT)</t>
  </si>
  <si>
    <t>Total number of conformant cobalt suppliers (&gt;75% supply chain coverage)*</t>
  </si>
  <si>
    <t>Total number of non-conformant cobalt suppliers with sufficient risk mitigation policies</t>
  </si>
  <si>
    <t>% of JM cobalt supply chain represented by Conflict Mineral Supplier Screening</t>
  </si>
  <si>
    <t xml:space="preserve">*As of 30/04/2026. All non-conformant suppliers are currently being engaged to share better conflict minerals reporting data, or being removed from our supply chain. </t>
  </si>
  <si>
    <t>Local suppliers</t>
  </si>
  <si>
    <t>Total % of procurement spend with local suppliers</t>
  </si>
  <si>
    <t>Product Carbon Footprint Coverage</t>
  </si>
  <si>
    <t>Emissions for 2025/26</t>
  </si>
  <si>
    <t>Emissions for 2024/25</t>
  </si>
  <si>
    <t>Emissions for 2023/24</t>
  </si>
  <si>
    <t>Emissions for 2022/23</t>
  </si>
  <si>
    <t>Emissions for 2021/22</t>
  </si>
  <si>
    <t>Emissions for 2020/21</t>
  </si>
  <si>
    <t>Emissions for 2019/20</t>
  </si>
  <si>
    <t>Total % of Scope 3.1 emissions (excluding precious metals) calculated with PCFs</t>
  </si>
  <si>
    <t>Training in Human rights</t>
  </si>
  <si>
    <t>Human rights training with procurement employees</t>
  </si>
  <si>
    <t>Basis of Reporting</t>
  </si>
  <si>
    <t>Performance data covers all sites that are under the financial control of the group, including all manufacturing, research and warehousing operations of Johnson Matthey Plc and its subsidiaries. Joint ventures where we have a minority share are not included.
For the purposes of reporting, separate businesses resident at the same location are counted as separate sites. Data from 58 sites was included in this databook. Data from new facilities is included from the point at which the facility becomes owned by JM and operational.</t>
  </si>
  <si>
    <r>
      <t>Scope 1 emissions are the direct emissions from our sites and come from a number of sources. 
Scope 1 emissions are emitted following combustion of fuels at our sites. This encompasses any fuels we consume in our operations (e.g. natural gas, LPG, Diesel etc).  
We also emit GHG directly from our processes which comprise of CO</t>
    </r>
    <r>
      <rPr>
        <vertAlign val="subscript"/>
        <sz val="11"/>
        <color theme="1"/>
        <rFont val="Verdana"/>
        <family val="2"/>
      </rPr>
      <t>2</t>
    </r>
    <r>
      <rPr>
        <sz val="11"/>
        <color theme="1"/>
        <rFont val="Verdana"/>
        <family val="2"/>
      </rPr>
      <t xml:space="preserve"> or CO</t>
    </r>
    <r>
      <rPr>
        <vertAlign val="subscript"/>
        <sz val="11"/>
        <color theme="1"/>
        <rFont val="Verdana"/>
        <family val="2"/>
      </rPr>
      <t>2</t>
    </r>
    <r>
      <rPr>
        <sz val="11"/>
        <color theme="1"/>
        <rFont val="Verdana"/>
        <family val="2"/>
      </rPr>
      <t xml:space="preserve"> equivalents. The GHG that we consider are those mentioned in the Kyoto Protocol and cover CH</t>
    </r>
    <r>
      <rPr>
        <vertAlign val="subscript"/>
        <sz val="11"/>
        <color theme="1"/>
        <rFont val="Verdana"/>
        <family val="2"/>
      </rPr>
      <t>4</t>
    </r>
    <r>
      <rPr>
        <sz val="11"/>
        <color theme="1"/>
        <rFont val="Verdana"/>
        <family val="2"/>
      </rPr>
      <t>, N</t>
    </r>
    <r>
      <rPr>
        <vertAlign val="subscript"/>
        <sz val="11"/>
        <color theme="1"/>
        <rFont val="Verdana"/>
        <family val="2"/>
      </rPr>
      <t>2</t>
    </r>
    <r>
      <rPr>
        <sz val="11"/>
        <color theme="1"/>
        <rFont val="Verdana"/>
        <family val="2"/>
      </rPr>
      <t>O and refrigerant gases in addition to CO</t>
    </r>
    <r>
      <rPr>
        <vertAlign val="subscript"/>
        <sz val="11"/>
        <color theme="1"/>
        <rFont val="Verdana"/>
        <family val="2"/>
      </rPr>
      <t>2</t>
    </r>
    <r>
      <rPr>
        <sz val="11"/>
        <color theme="1"/>
        <rFont val="Verdana"/>
        <family val="2"/>
      </rPr>
      <t>.  
Scope 1 emissions also include emissions from fuel used in JM owned vehicles.
Scope 1 emissions from fuel use are calculated by applying calorific values and emission factors sourced from DEFRA.</t>
    </r>
  </si>
  <si>
    <t>Scope 2 emissions are indirect emissions associated with our electricity and steam energy that we import onto site, energy that has not been generated by Johnson Matthey burning fuel, and thereby reported in the scope 1 emissions section above.  
The market-based Greenhouse Gas emission factors for grid electricity from suppliers that the site / business unit has purposefully chosen. This is the carbon intensity of purchased electricity. These are obtained in writing direct from the supplier.</t>
  </si>
  <si>
    <t xml:space="preserve">Scope 2 emissions are indirect emissions associated with our electricity and steam energy that we import onto site, energy that has not been generated by Johnson Matthey burning fuel, and thereby reported in the scope 1 emissions section above.  
The location-based Greenhouse Gas emission factor for grid electricity uses the carbon intensity from the location of the purchase and is sourced from the most up to date factors from eGrid (USA) DEFRA (UK) and IEA (rest of World). </t>
  </si>
  <si>
    <t>This is our operational GHG footprint using the Scope 1 emissions and the Scope 2 market-based emissions as stated above.</t>
  </si>
  <si>
    <t xml:space="preserve">This is the total Scope 1 emissions and  Scope 2 market-based emissions, as stated above, against the weight of products sold. </t>
  </si>
  <si>
    <t>(current year - previous year)/(previous year ) 
for example  (2025/26 # - 2024/25 #)/(2024/25 #)</t>
  </si>
  <si>
    <t>This is the total energy consumed by JM (expressed in MWh)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</si>
  <si>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non-renewable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</si>
  <si>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This is the total amount of renewable energy (expressed in kWh) supplied to site or generated on site for use in our operations. The energy is certified renewable or is purchased as a renewable supply.</t>
  </si>
  <si>
    <r>
      <t xml:space="preserve">This is the total amount of renewable electricity supplied to site or generated on site as a percentage of the total electricity used by JM. </t>
    </r>
    <r>
      <rPr>
        <sz val="11"/>
        <rFont val="Verdana"/>
        <family val="2"/>
      </rPr>
      <t>The total amount includes non renewable electricity generated by JM on our own sites as well as all electricity supplied to JM through grid or direct connection.</t>
    </r>
  </si>
  <si>
    <t>Activity-based secondary emission factors were used on floor space and geographical data.</t>
  </si>
  <si>
    <t>Where possible, calculations have been made using the mass or number of products sold and attributing an emissions conversion associated with a catalyst activation step by downstream customers for products requiring this. For Clean Air products, an emission factor associated with welding/canning was used.</t>
  </si>
  <si>
    <t>JM does not have any franchises.</t>
  </si>
  <si>
    <t>Total Scope 3 GHG emissions.</t>
  </si>
  <si>
    <t>This is wastewater that is returned to its original source and is of equal or higher quality than the water that was originally extracted. In JM we only consider water returned to fresh surface water (lakes, rivers etc).</t>
  </si>
  <si>
    <t>This indicator equates to the net fresh water usage indicator as per the DJSI reporting criteria. 
This equates to the fresh water taken into site from mains, surface and ground water which is adjusted for any water that is returned to fresh surface or ground water.</t>
  </si>
  <si>
    <t>This indicator equates to the net fresh water usage indicator as per the DJSI reporting criteria in areas that are rated as "high" or "extremely high" baseline water stress under the WRI Aqueduct model. 
This equates to the fresh water taken into site from mains, fresh surface water and fresh ground water. This is then adjusted for any water that is returned at the same or at higher quality to fresh surface water or fresh ground water.
The JM facility coordinates are entered into the WRI Aqueduct model and the baseline water stress is calculated. Baseline water stress measures the ratio of total water withdrawals to available renewable surface water and ground 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</si>
  <si>
    <t>This is the Chemical Oxygen Demand (COD) of the wastewater that JM discharges from site. COD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</si>
  <si>
    <t>This is the total waste that is recycled  or reused. Total waste represents both liquid and solid waste. Total waste includes both hazardous and non hazardous waste.
Landfill is considered as disposal by burying waste underground at a licensed / authorised facility external to JM.</t>
  </si>
  <si>
    <t>This is the total waste that is recycled  or reused. Total waste represents both liquid and solid waste. Total waste includes both hazardous and non hazardous waste.
This category counts waste that is sent offsite from JM to a third party facility that is licensed and authorised to incinerate waste materials. The incineration process will give rise to waste heat that is recovered for reuse as heat or to generate electricity.</t>
  </si>
  <si>
    <t xml:space="preserve">This is the total waste that is recycled or reused. Total waste represents both liquid and solid waste. Total waste includes both hazardous and non hazardous waste.
This category covers waste that is either sent offsite from JM to a third party facility that is licensed and authorised to incinerate waste materials. No waste heat or energy will be recovered from the incineration process.
This category also covers waste that is sent offsite from JM to a third party and that the waste is treated by the third party before disposal. Treatment usually means that the waste is neutralised, or reacted chemically by the third party. This treatment type usually gives no benefit. </t>
  </si>
  <si>
    <t>This is the total waste that is recycled or reused. Total waste represents both liquid and solid waste. Total waste includes both hazardous and non hazardous waste.
This is the total waste sent from the JM site for reuse, recycling incineration with energy recovery, incineration / treatment without energy recovery or landfilling.</t>
  </si>
  <si>
    <t>Total hazardous waste recycled/reused</t>
  </si>
  <si>
    <t>Hazardous waste is waste that contains hazardous properties and if mismanaged has the potential to cause harm to the environment or humans.
In general, hazardous waste is material deemed hazardous under the terms of the Basel Convention Annex I, II, III, 179 and VIII. 
Reused waste is that waste that can be reused in its original or some other purpose without any modification to the waste material.
Recycling means any operation whereby recovered waste materials are reprocessed into products, materials or substances whether for the original or some other purpose. It includes the reprocessing of organic material but does not include energy recovery and the reprocessing into materials that are to be used as fuels or for backfilling operations.</t>
  </si>
  <si>
    <t>Hazardous waste is waste that contains hazardous properties and if mismanaged has the potential to cause harm to the environment or humans.
In general, hazardous waste is material deemed hazardous under the terms of the Basel Convention Annex I, II, III, 179 and VIII. 
Landfill is considered as disposal by burying waste underground at a licensed / authorised facility external to JM.</t>
  </si>
  <si>
    <t>Hazardous waste is waste that contains hazardous properties and if mismanaged has the potential to cause harm to the environment or humans.
In general, hazardous waste is material deemed hazardous under the terms of the Basel Convention Annex I, II, III, 179 and VIII. 
This category counts waste that is sent offsite from JM to a third party facility that is licensed and authorised to incinerate waste materials. The incineration process will give rise to waste heat that is recovered for reuse as heat or to generate electricity. and is incinerated as the method of disposal</t>
  </si>
  <si>
    <t xml:space="preserve">Hazardous waste is waste that contains hazardous properties and if mismanaged has the potential to cause harm to the environment or humans.
In general, hazardous waste is material deemed hazardous under the terms of the Basel Convention Annex I, II, III, 179 and VIII. 
This category covers waste that is either sent offsite from JM to a third party facility that is licensed and authorised to incinerate waste materials. No waste heat or energy will be recovered from the incineration process.
This category also covers waste that is sent offsite from JM to a third party and that the waste is treated by the third party before disposal. Treatment usually means that the waste is neutralised, or reacted chemically by the third party. This treatment type usually gives no benefit. </t>
  </si>
  <si>
    <t>Hazardous waste is waste that contains hazardous properties and if mismanaged has the potential to cause harm to the environment or humans.
In general, hazardous waste is material deemed hazardous under the terms of the Basel Convention Annex I, II, III, 179 and VIII. 
This is the total waste sent from the JM site for reuse, recycling incineration with energy recovery, incineration / treatment without energy recover or landfilling. This is a sum of the above total hazardous waste indicators.</t>
  </si>
  <si>
    <t>A solid waste is any item that is transported in a skip or similar container that cannot be poured. This indicator represents the total solid waste (hazardous and non hazardous) that is sent offsite to incineration (with or without energy recovery), further treatment before disposal and landfill. This indicator considers solid waste that cannot be recovered, reused or recycled.</t>
  </si>
  <si>
    <t>A solid waste is any item that is transported in a skip or similar container that cannot be poured. The total solid waste is the total of all solid hazardous and non hazardous waste sent offsite by JM.</t>
  </si>
  <si>
    <t xml:space="preserve">This is the generation of nitric oxides either through high temperature combustion processes or by the use of concentrated nitric acid in production processes. Including Nitric Oxide (NO), Nitrogen Dioxide (NO2) Dinitrogen Dioxide (N2O2) and Dinitrogen Trioxide (N2O3). </t>
  </si>
  <si>
    <t>Usually generated from high temperature combustion involving contaminants in the fuel source. Sulphur Dioxide (SO2) is one of a group of gases called sulphur oxides (SOx). The other gases in the group are much less common in the atmosphere  e.g. SO3 and SO (Sulphur Trioxide and Sulphur Monoxide).</t>
  </si>
  <si>
    <t>This represents the percentage of JM operational production sites reporting NOx values.</t>
  </si>
  <si>
    <t>This represents the percentage of JM operational production sites reporting SOx values.</t>
  </si>
  <si>
    <t>This represents the percentage of JM operational production sites reporting VOCs values.</t>
  </si>
  <si>
    <t>Our methodology for calculating avoided GHG emissions was developed in-house and independently verified by EcoActTM for all product families contributing towards our target to ensure it complies with industry best practice. EcoAct concluded that our approach complied with recognised public guidelines and considered our calculations to be both fairly stated and representative of a balanced view of our contribution in enabling avoided emissions through relevant technologies. EcoAct also determined that our calculations follow industry best practice for measurement. Their full statement is available on request. For each qualifying JM technology solution, we first determine its functional unit. The functional unit is used to determine the boundary of the analysis, to ensure that the scope of the calculation covers the relevant life-cycle stages leading to the avoided emissions. Performance comparisons for our technology solution scenario are then made against identified reference scenarios, which represent current day, conventional technologies dominant in the market, which our emerging technologies are seeking to improve upon.</t>
  </si>
  <si>
    <t>This is a measurement of all % recycled platinum group metals in our manufactured goods on a mass basis. We include use of five PGMs – platinum, palladium, rhodium, ruthenium and iridium in our target. This is defined as the weighted global average of all PGM sponge used to manufacture goods in our plants over the course of the reporting year and includes metal that is both sourced and funded by JM and metal sourced and funded by our customers. We define primary metal as metal from a mine or originating outside of the refining loop. This is measured by recording the amount of metal matching this description that has been used in product manufacturing over the given time-period.We define secondary or recycled metal as platinum-group metal-bearing material that has come from an end use (including post-consumer product scrap and waste materials) and has not come to JM in the form of ingot, concentrate or matte directly from a mining process. This makes up the balance of metal that has been used in product manufacturing over the given time-period. Refining “intake” figures are based on estimated assays, based on the scrap etc that is sent in from customers and sampled, prior to the Refining process. The assay amounts are finalised throughout the year, and adjustments are periodically made to the reporting figures to account for any differences between the original estimated numbers vs. the final numbers.</t>
  </si>
  <si>
    <t>The OSHA severity rate monitors the severity of injuries occurring at JM sites by counting all the lost days away from normal work (including restricted duties) for all personnel conducting its process activities (i.e. employees, temporary staff and agency employees). The total number of injuries is multiplied by the 200,000 OSHA standardised factor and divided by the total number of hours worked (by employees, temps and agency employees).</t>
  </si>
  <si>
    <t>Lost Time Case</t>
  </si>
  <si>
    <t>Lost Time Case is a work-related injury or illness case that requires an employee to spend one or more full days away from work other than the day of injury or illness</t>
  </si>
  <si>
    <t>A Tier 1 Process Safety Event (T-1 PSE) is a loss of primary containment (LOPC) with the greatest consequence as defined by American Petroleum Institute recommended practice (RP) 754</t>
  </si>
  <si>
    <t>Total Recordable Injury and Illness Rate (TRIIR) employees + contractors</t>
  </si>
  <si>
    <t>Total recordable injury and illness rate (TRIIR) is defined as the number of recordable cases per 200,000 hours worked in a rolling year and includes cases affecting both our employees and contractors.
A recordable case (as defined under the US Occupational Safety and Health Administration (OSHA) Regulations) is defined as a work related accident or illness that results in one or more of the following: absence of more than one day; medical treatment beyond first aid; death; loss of consciousness and restricted work or transfer to another job.</t>
  </si>
  <si>
    <t>The total number of LTA's is a subset of the total recordables. 
Any involving Temporary Workers have been included under the "Contractors" heading.</t>
  </si>
  <si>
    <t>JM's lost time injury frequency rate (LTIFR) uses a 1,000,000 standardised multiplier, and additionally includes contractor accidents occurring whilst working on JM sites.</t>
  </si>
  <si>
    <t>JM's lost time injury and illness rate (LTIIR) is based upon the US OSHA accident reporting metric (using the OSHA 200,00 standardised multiplier) but additionally includes contractor accidents occurring whilst working on JM sites.</t>
  </si>
  <si>
    <t>The process safety event severity rate (PSESR) is measured according to the methodology approved by International Council of Chemical Associations (ICCA). The metric first requires a determination that the event is to be included in the process safety event severity rate (PSESR) calculation and then determining the severity using the severity table. In determining this rate, 1 point is assigned for each Level 4 incident attribute, 3 points for each Level 3 attribute, 9 points for each Level 2 attribute, and 27 points for each Level 1 attribute. The PSESR is recorded as a 12 month rolling number. Total worker hours include employees, temporary employees and contractors. Theoretically, a process safety event could be assigned a minimum of 1 point (i.e. the incident meets the attributes of a Level 4 incident in only one category) or a maximum of 135 points (i.e. the incident meets the attributes of a Level 1 incident in each of the five categories).</t>
  </si>
  <si>
    <t>Lifesaving Policy</t>
  </si>
  <si>
    <t>Our Group Environmental, Health and Safety (EHS) Policy is supported by a core group of eight health and safety policies which we call "Lifesaving policies". These policies are available in local languages and cover high risk topics, where policy breaches could endanger life or lead to serious injury.</t>
  </si>
  <si>
    <t>Employee</t>
  </si>
  <si>
    <t>Defined as an individual who is paid on a Johnson Matthey’s payroll and have a contract of employment
They can be further classified under the employee types of Regular, Fixed-term, Graduate, Intern, Apprentice
Permanent headcount = regular
Non permanent/Temporary = Fixed term, graduate, intern and apprentice
Work is directly supervised by JM - paid via payroll</t>
  </si>
  <si>
    <t>Contractor</t>
  </si>
  <si>
    <t>An individual who is not on Johnson Matthey’s payroll, but performs tasks on Johnson Matthey's behalf. 
They are hired for a specific purpose and usually for a certain period of time e.g. Consultant,  Contractor, Vendor
Example could be catering, cleaning or grounds maintenance</t>
  </si>
  <si>
    <t>Continuously site based
Person employed by an agency performing tasks that would normally be expected to be undertaken by a JM employee.
Work is directly supervised by JM - paid directly via invoices</t>
  </si>
  <si>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</si>
  <si>
    <t>Group leadership team (GLT) and Group leadership team (GLT)-1</t>
  </si>
  <si>
    <t>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All management levels refers to all employees whether they are a people manager or not, at a minimum compensation grade</t>
  </si>
  <si>
    <t>All employees who are people managers and at a maximum compensation grade</t>
  </si>
  <si>
    <t>All employees whose primary roles fall within science, technology, engineering, and mathematics–related job families. In this dataset, STEM roles are identified based on job family classifications including Architecture, Business Systems Development, General Engineering, Maintenance, Planning, Production, Scientist, Security, Service Management and ITIL, Infrastructure and Operations, Assurance and Risk, Intellectual Property, Environment, Health and Safety (EHS), and General Quality.</t>
  </si>
  <si>
    <t>All employees in roles directly contributing to business growth and income. In this dataset, they are identified by job families such as Sales, Sales (SIP), Marketing and Business Development, and Business Analyst.</t>
  </si>
  <si>
    <t>External joiners</t>
  </si>
  <si>
    <t>Resignation only</t>
  </si>
  <si>
    <t xml:space="preserve">Leavers initiated by employer </t>
  </si>
  <si>
    <t>Resignation only
Number of leavers over last 12 months divided by average headcount as at data points 1 April and the following 31 March</t>
  </si>
  <si>
    <t>Employee turnover rate initiated by employer 
Number of leavers over last 12 months divided by average headcount as at data points 1 April and the following 31 March
Includes businesses divested during the year</t>
  </si>
  <si>
    <t>Internal promotion</t>
  </si>
  <si>
    <t>An internal promotion happens when an internal candidate is promoted to a new position — instead of the organization hiring an external candidate.</t>
  </si>
  <si>
    <t>Employee Engagment score</t>
  </si>
  <si>
    <t>Average score given by survey respondents in response to three engagement questions (engagement, loyalty, satisfaction) </t>
  </si>
  <si>
    <t>Calculation for indirect expenditure in community investment</t>
  </si>
  <si>
    <t xml:space="preserve">UN SDG Sales alignment </t>
  </si>
  <si>
    <t>Johnson Matthey has chosen 4 key UN SDGs wherein we believe we are strategically aligned towards, namely;
SDG 3 - Good Health and Well-Being
- Automotive:
-- Products &amp; services that remove toxic or hazardous emissions, e.g. Emission control systems for ICE vehicles
-- Products &amp; services that eliminate the need for toxic or hazardous materials
- Chemicals:
-- Products &amp; services that ‘remove’ or eliminate the need for toxic or hazardous materials, e.g. VOC abatement
-- Products &amp; services for pharmaceuticals and medical-related applications
- Products &amp; services that remove or eliminate the need for toxic or hazardous materials
-- e.g. Emission control for stationary applications
-- e.g. Catalysts &amp; additives for low sulphur production of fuel
SDG 7 - Affordable and Clean Energy
- Automotive
-- Products &amp; services that enable hydrogen use in industrial heat
-- Products &amp; services that produce useable low carbon hydrogen as a product or significant by-product
- Chemicals
-- Products &amp; services that enable hydrogen use in industrial heat
-- Products &amp; services that produce useable low carbon hydrogen as a product or significant by-product
- Energy
-- Products and services for the production of electrolytic (green) hydrogen
SDG 12 - Responsible Consumption and Production
- Automotive
-- Recycling PGM autocatalysts &amp; components for ICE vehicles
-- Recycling PGM components for fuel cell vehicles
- Chemicals
-- Delivering critical material recycling services
-- Capture of compounds which damage necessary process consumables or equipment
-- Products &amp; services that significantly reduce waste
- Energy
-- Delivering critical material recycling services
-- Capture of compounds which damage necessary process consumables or equipment
-- Products &amp; services that significantly reduce waste
SDG 13 - Climate Action
- Automotive
-- Products and services to produce fuel cells
- Chemicals
-- Products &amp; services to produce significantly lower GWP alternatives
- Energy
-- Products &amp; services to produce fuel cells
-- Products &amp; services to produce sustainable fuels (e-fuels, lower CO₂ fuels)
Our sales are categorised into alignment with one of these four SDGs, through knowledge of its end use purpose/customer application. Alignment is calculated in proportion to total sales and their UN SDG assignment.</t>
  </si>
  <si>
    <t xml:space="preserve">UN SDG R&amp;D alignment </t>
  </si>
  <si>
    <t>Johnson Matthey has chosen 4 key UN SDGs wherein we believe we are strategically aligned towards, namely;
SDG 3 - Good Health and Well-Being
SDG 7 - Affordable and Clean Energy
SDG 12 - Responsible Consumption and Production
SDG 13 - Climate Action
Our R&amp;D costs are categorised into alignment with one of these four SDGs, through knowledge of its intended field of research, customer joint venture or market for application. Alignment is calculated on the basis of employee resources spent on project development and their assigned UN SDG.</t>
  </si>
  <si>
    <r>
      <t xml:space="preserve">This is the total amount of net zero carbon electricity supplied to site or generated on site as a percentage of the total electricity used by JM. </t>
    </r>
    <r>
      <rPr>
        <sz val="11"/>
        <rFont val="Verdana"/>
        <family val="2"/>
      </rPr>
      <t>The 'total electricity used by JM' includes non renewable electricity generated by JM on our own sites as well as all electricity supplied to JM through grid or direct connection.</t>
    </r>
  </si>
  <si>
    <t>The total number of sites that hold a valid ISO 45001 certificate, as a percentage of the total number of sites. Only manufacturing and R&amp;D sites are included, no offices are included in this data point. ISO 45001 is applicable to any organization looking to implement an Occupational Health &amp; Safety management system, regardless of size, industry or geographic location. It is especially valuable for higher-risk industries like the chemical industry and enables an organisation to systematically assess hazards and implement risk control measures, leading to reduced workplace injuries, illnesses and incidents</t>
  </si>
  <si>
    <r>
      <t xml:space="preserve">For more information on our methodology, please see our Basis of Reporting on pages 222-227 of our 2022/23 Annual Report and Accounts 
</t>
    </r>
    <r>
      <rPr>
        <b/>
        <sz val="12"/>
        <color theme="3"/>
        <rFont val="Verdana"/>
        <family val="2"/>
      </rPr>
      <t>Rebaseline statement: JM has updated the baseline data to take account of all businesses sold in the period from 1</t>
    </r>
    <r>
      <rPr>
        <b/>
        <vertAlign val="superscript"/>
        <sz val="12"/>
        <color theme="3"/>
        <rFont val="Verdana"/>
        <family val="2"/>
      </rPr>
      <t>st</t>
    </r>
    <r>
      <rPr>
        <b/>
        <sz val="12"/>
        <color theme="3"/>
        <rFont val="Verdana"/>
        <family val="2"/>
      </rPr>
      <t xml:space="preserve"> April 2019 through to 31</t>
    </r>
    <r>
      <rPr>
        <b/>
        <vertAlign val="superscript"/>
        <sz val="12"/>
        <color theme="3"/>
        <rFont val="Verdana"/>
        <family val="2"/>
      </rPr>
      <t>st</t>
    </r>
    <r>
      <rPr>
        <b/>
        <sz val="12"/>
        <color theme="3"/>
        <rFont val="Verdana"/>
        <family val="2"/>
      </rPr>
      <t xml:space="preserve"> March 2023. Data from the sold businesses have been removed from the rebaselined data set. Where JM has ceased operations voluntarily and sites have been closed then this data remains in the rebaselined data.</t>
    </r>
  </si>
  <si>
    <t>This is our operational GHG footprint using the Scope 1 emissions and the market based Scope 2 emissions as stated above.</t>
  </si>
  <si>
    <t>This is our operational GHG footprint using the Scope 1 emissions and the location based Scope 2 emissions as stated above.</t>
  </si>
  <si>
    <r>
      <t>tonnes CO</t>
    </r>
    <r>
      <rPr>
        <b/>
        <vertAlign val="subscript"/>
        <sz val="11"/>
        <rFont val="Verdana"/>
        <family val="2"/>
      </rPr>
      <t>2</t>
    </r>
    <r>
      <rPr>
        <b/>
        <sz val="11"/>
        <rFont val="Verdana"/>
        <family val="2"/>
      </rPr>
      <t>e/tonne sales</t>
    </r>
  </si>
  <si>
    <t xml:space="preserve">Pie chart data </t>
  </si>
  <si>
    <t>Scope 1</t>
  </si>
  <si>
    <t>Scope 2</t>
  </si>
  <si>
    <t>Scope 3 - Purchased goods and services</t>
  </si>
  <si>
    <t>Scope 3- All other categories</t>
  </si>
  <si>
    <t xml:space="preserve">Global
Weight of product sold. </t>
  </si>
  <si>
    <t>This is wastewater that is returned to its original source and is of equal or higher quality than the water that was originally extracted. In JM we only consider water returned to fresh surface water (lakes, rivers etc) or fresh ground water for this indicator.</t>
  </si>
  <si>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treatment that is returned to the groundwater source from which it was originally extracted.</t>
  </si>
  <si>
    <t xml:space="preserve">This represents all hazardous waste that is generated and then sent offsite for treatment. Hazardous waste is material deemed hazardous under the terms of the Basel Convention Annex I, II, III, 179 and VIII.  </t>
  </si>
  <si>
    <t>Types of off site waste treatment</t>
  </si>
  <si>
    <t>Reuse</t>
  </si>
  <si>
    <r>
      <t>Total non-hazardous waste disposed</t>
    </r>
    <r>
      <rPr>
        <b/>
        <vertAlign val="superscript"/>
        <sz val="11"/>
        <color theme="3"/>
        <rFont val="Verdana"/>
        <family val="2"/>
      </rPr>
      <t>7</t>
    </r>
  </si>
  <si>
    <t>recycling</t>
  </si>
  <si>
    <t>off site incineration with energy recovery</t>
  </si>
  <si>
    <t>Incineration or other off site treatment</t>
  </si>
  <si>
    <t>total waste disposed to landfill</t>
  </si>
  <si>
    <t>total waste sent off site</t>
  </si>
  <si>
    <t>The total waste reported as  "reused"  and recycled where reused is the beneficiary takes the material at no cost to JM (including paying for transportation off the JM site). If JM pays the cost of transport, then it should be reported as "recycled" rather than re-used.  Recycled waste is material that can be recovered and then used again in place of virgin raw materials.</t>
  </si>
  <si>
    <r>
      <t xml:space="preserve">This is the total energy used by the business divided by </t>
    </r>
    <r>
      <rPr>
        <sz val="11"/>
        <color rgb="FFFF0000"/>
        <rFont val="Verdana"/>
        <family val="2"/>
      </rPr>
      <t>amount of materials sold to customers.</t>
    </r>
  </si>
  <si>
    <t>This is the total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</si>
  <si>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non renewable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</si>
  <si>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Non-renewable, grid-supplied electricity</t>
  </si>
  <si>
    <t>Certified renewable electricity from the grid</t>
  </si>
  <si>
    <t>Renewable electricity generated locally</t>
  </si>
  <si>
    <t>Natural gas used on site</t>
  </si>
  <si>
    <t>Other fossil fuels used on site</t>
  </si>
  <si>
    <t>Non-renewable steam procured</t>
  </si>
  <si>
    <t>Fuel used on public roads by JM vehicles on company business</t>
  </si>
  <si>
    <t>Total (MWh)</t>
  </si>
  <si>
    <t xml:space="preserve">The data below represents Johnson Matthey's People information as at 31st March 2023 (for 2022/23) and is reported on the basis of our Basis of Reporting 2022/23 which can be found on our website at XXXX </t>
  </si>
  <si>
    <t>Reported as "Employees"</t>
  </si>
  <si>
    <t>Definition</t>
  </si>
  <si>
    <t>Percentage of female representation
2022/22</t>
  </si>
  <si>
    <t>Performance against 2030 target</t>
  </si>
  <si>
    <t xml:space="preserve">Employee’s gender is determined based on their registered gender at birth or otherwise legally recognised gender as disclosed by the employee.  </t>
  </si>
  <si>
    <t>Continuously site based
Contract signed directly between JM and individual and paid regular salary and other benefits by JM
Work is directly supervised by JM - paid via payroll</t>
  </si>
  <si>
    <t>Continuously site based
Fixed term contract signed directly between JM and individual and paid regular salary and other benefits by JM
Work is directly supervised by JM - paid via payroll</t>
  </si>
  <si>
    <t>Excludes Non Executive Board members, Agency Staff and contingent workers</t>
  </si>
  <si>
    <t>Members of the Board</t>
  </si>
  <si>
    <t>JM's Group Leadership Team (GLT)</t>
  </si>
  <si>
    <t>Individuals appointed to the boards of JM's other legal entities, other than JMPLC</t>
  </si>
  <si>
    <t xml:space="preserve">Within JM our senior managers are defined as direct reports of the GLT. </t>
  </si>
  <si>
    <r>
      <t xml:space="preserve">All management levels 
</t>
    </r>
    <r>
      <rPr>
        <b/>
        <sz val="10"/>
        <color theme="4"/>
        <rFont val="Verdana"/>
        <family val="2"/>
      </rPr>
      <t>Our Goal of &gt;40% female representation across all management levels by 2030</t>
    </r>
  </si>
  <si>
    <t>All employees whether they are a People manager or not at a minimum pay grade</t>
  </si>
  <si>
    <r>
      <t xml:space="preserve">Excludes Board members
</t>
    </r>
    <r>
      <rPr>
        <sz val="10"/>
        <color rgb="FFFF0000"/>
        <rFont val="Verdana"/>
        <family val="2"/>
      </rPr>
      <t xml:space="preserve">
</t>
    </r>
    <r>
      <rPr>
        <sz val="10"/>
        <color theme="5"/>
        <rFont val="Verdana"/>
        <family val="2"/>
      </rPr>
      <t>2022 and 2021 categories different
employees under 30 years of age
employees aged between 30-50 
employees aged over 50</t>
    </r>
  </si>
  <si>
    <t>Employees beteween 30-45 years of age</t>
  </si>
  <si>
    <t>Age not known for 201 employees in 2022/23
Age disclosure is voluntary</t>
  </si>
  <si>
    <t>Employee turnover rate initiated by employer (in 2022/23 there were 0 compulsory redundancies in JM)</t>
  </si>
  <si>
    <t>Involuntary permanent employee leavers excl Health</t>
  </si>
  <si>
    <t>Resignation only
Number of leavers over last 12 months divided by average headcount as at data points 1 April 2022 and 31 March 2023</t>
  </si>
  <si>
    <t>Employee turnover rate initiated by employer  (in 2022/23 there were 0 compulsory redundancies in JM)
Number of leavers over last 12 months divided by average headcount as at data points 1 April 2022 and 31 March 2023</t>
  </si>
  <si>
    <t>Involuntary permanent employee leavers turnover rate excl Health</t>
  </si>
  <si>
    <t>Total permanent employee leavers turnover Incl Health</t>
  </si>
  <si>
    <t>Voluntary and involuntary leavers
Number of leavers over last 12 months divided by average headcount as at data points 1 April 2022 and 31 March 2023</t>
  </si>
  <si>
    <t>Total permanent employee leavers turnover Excl Health</t>
  </si>
  <si>
    <t xml:space="preserve">The UK Corporate Governance Code 2018 requires companies to disclose the gender balance of senior management, which is defined in the Code as a company’s executive committee and the Company Secretary, the statistics for this are included in the GLT row above. Some individuals are included in more than one category. </t>
  </si>
  <si>
    <t>Reported as "Contractors"</t>
  </si>
  <si>
    <t xml:space="preserve">Outsourced Function </t>
  </si>
  <si>
    <t>Continuously or regularly site based
Facility management - catering, cleaning or grounds maintenance; IT and occupational health, if outsourced.
Work is supervised by contractor and monitored by JM</t>
  </si>
  <si>
    <t>Specialist Service</t>
  </si>
  <si>
    <t>One-off project or regularly based on site.
Small scale building or ground works; repairing specialistplant or equipment; low level maintenance; small scale repairs to offices or other buildings; stack monitoring.
Work is supervised by contractor and monitored by JM</t>
  </si>
  <si>
    <t>Projects</t>
  </si>
  <si>
    <t>One-off project
Construction work, capital project work, major maintenance activities.
Work is supervised by contractor and monitored by JM</t>
  </si>
  <si>
    <t>Number of contractors</t>
  </si>
  <si>
    <t>Workers who are not employees - data gathered via Workday</t>
  </si>
  <si>
    <t>A contingent worker is defined as an individual who is not on Johnson Matthey’s payroll, but performs tasks on Johnson Matthey's behalf. 
They are hired for a specific purpose and usually for a certain period of time e.g. Consultant,  Contractor, Vendor</t>
  </si>
  <si>
    <t>Key workforce stats</t>
  </si>
  <si>
    <t>Total workforce as at 31st March 2023</t>
  </si>
  <si>
    <t>Total number of employees and contractors - does not include Non Executive Board members and Agency Staff</t>
  </si>
  <si>
    <t>12 month average headcount</t>
  </si>
  <si>
    <t>12 month average headcount excl Health</t>
  </si>
  <si>
    <t>Reported as "Agency Staff"</t>
  </si>
  <si>
    <t>Total average number of employees (including health)</t>
  </si>
  <si>
    <t>Average number of employees who were covered by a collective bargaining agreement and / or represented by a trade union</t>
  </si>
  <si>
    <t>% promoted</t>
  </si>
  <si>
    <r>
      <t>An internal promotion happens </t>
    </r>
    <r>
      <rPr>
        <sz val="10"/>
        <color rgb="FF040C28"/>
        <rFont val="Verdana"/>
        <family val="2"/>
      </rPr>
      <t>when an internal candidate is promoted to a new position — instead of the organization hiring an external candidate</t>
    </r>
    <r>
      <rPr>
        <sz val="10"/>
        <color rgb="FF202124"/>
        <rFont val="Verdana"/>
        <family val="2"/>
      </rPr>
      <t>. </t>
    </r>
  </si>
  <si>
    <t>Query with leadership?</t>
  </si>
  <si>
    <t>Parental leave definition needed</t>
  </si>
  <si>
    <t>Total number of employees that were entitled to parental leave</t>
  </si>
  <si>
    <t>many are still on parental leave so for returned to work and retention it is not possible to complete the data for them</t>
  </si>
  <si>
    <t>Workday has only been in for a year as at end of March, there is no data on employees still being employed 12 months after they returned to work.</t>
  </si>
  <si>
    <t>0%</t>
  </si>
  <si>
    <t>50%</t>
  </si>
  <si>
    <t>Employees receiving performance review = 92% in 2022/23</t>
  </si>
  <si>
    <t>Employees globally receiving regular performance and career development reviews with objectives set and signed off by managers</t>
  </si>
  <si>
    <t>Employees globally receiving regular performance and career development reviews with objectives set and signed off by managers
Note: some trade unions and collective bargaining agreements do not follow the process</t>
  </si>
  <si>
    <t>Work with Nicole Fraser</t>
  </si>
  <si>
    <t>Updated #s</t>
  </si>
  <si>
    <t>Based on employee response to yourSay survey</t>
  </si>
  <si>
    <t>Julie Bolam</t>
  </si>
  <si>
    <t>Employee learning hours</t>
  </si>
  <si>
    <t xml:space="preserve">Average learning hours per employee
This is calculated from data gathered from 3 of our key sites. A programme to migrate learning record management to one global system is underway. </t>
  </si>
  <si>
    <t>Automatically Waived - 
employee left JM</t>
  </si>
  <si>
    <t>Completed</t>
  </si>
  <si>
    <t>Did not complete</t>
  </si>
  <si>
    <t>Total employee assigned</t>
  </si>
  <si>
    <t>Catalyst Technologies</t>
  </si>
  <si>
    <t>Clean Air</t>
  </si>
  <si>
    <t>Group</t>
  </si>
  <si>
    <t>Hydrogen Technologies</t>
  </si>
  <si>
    <t>Platinum Group Metal Services</t>
  </si>
  <si>
    <t>Value Businesses</t>
  </si>
  <si>
    <t>(blank)</t>
  </si>
  <si>
    <t>Competition Law Training Course</t>
  </si>
  <si>
    <t>A new course for 2022/23 
The training was assigned to all JM employees at a certain level and above, plus to customer facing roles in Commercial and Procurement.</t>
  </si>
  <si>
    <t>Open</t>
  </si>
  <si>
    <t xml:space="preserve">Launched January 2022 and available to complete until 31 December 2022
Data shown here is from 1st April 2022 to 31st December 2022 </t>
  </si>
  <si>
    <t>Automatically Waived</t>
  </si>
  <si>
    <t>Code of Ethics 2022</t>
  </si>
  <si>
    <t>Includes perm employees and temp employees with contracts over 3months.</t>
  </si>
  <si>
    <t>ARA p.2, 207-209, 220, back cover</t>
  </si>
  <si>
    <t>ARA p.143, 207-209, 211</t>
  </si>
  <si>
    <t>ARA p.143, 211, 220</t>
  </si>
  <si>
    <t>ARA p.211
SPD Home tab
SPD Health and Safety tab
SPD Environment tab</t>
  </si>
  <si>
    <t>ARA p.129-136, 216-218</t>
  </si>
  <si>
    <t>ARA p.1-9</t>
  </si>
  <si>
    <t>ARA p.2, 9, 37-39, 161, 215-218
SPD People tab</t>
  </si>
  <si>
    <t>Johnson Matthey Corporate Website - Governance</t>
  </si>
  <si>
    <t>ARA p. 62-69
SPD People tab</t>
  </si>
  <si>
    <t>ARA p.62, 79-81</t>
  </si>
  <si>
    <t>ARA p.62, 66, 69</t>
  </si>
  <si>
    <t>ARA p.30-31, 62-69, 76-78, 94</t>
  </si>
  <si>
    <t>ARA p.30-31, 69, 93-94</t>
  </si>
  <si>
    <t>ARA p.30-31, 69-71, 93-94</t>
  </si>
  <si>
    <t>ARA p.59, 100, 124</t>
  </si>
  <si>
    <t>ARA p.65-67</t>
  </si>
  <si>
    <t>ARA p.72-73</t>
  </si>
  <si>
    <t>ARA p.95-111</t>
  </si>
  <si>
    <t>ARA p.69, 93-94
SPD Ethics and Compliance tab</t>
  </si>
  <si>
    <t>ARA p.95-122</t>
  </si>
  <si>
    <t>ARA p.121
SPD People Tab</t>
  </si>
  <si>
    <t>ARA p.3-5</t>
  </si>
  <si>
    <t>ARA p.33, 35, 37, 58-59</t>
  </si>
  <si>
    <t>ARA p.58-59, 94</t>
  </si>
  <si>
    <t>ARA p. 58-59
SPD Ethics and Compliance tab</t>
  </si>
  <si>
    <t>ARA p.58-59 
SPD Environment tab
SPD Product Stewardship tab
SPD Ethics and Compliance tab</t>
  </si>
  <si>
    <t>Johnson Matthey Corporate Website - Collaboration</t>
  </si>
  <si>
    <t>ARA p.107-106
SPD People tab</t>
  </si>
  <si>
    <t>ARA p.30, 212
SPD Material Topics tab</t>
  </si>
  <si>
    <t>ARA p.30, 212</t>
  </si>
  <si>
    <t>ARA p.40-47, 143-209</t>
  </si>
  <si>
    <t>ARA p.40-47</t>
  </si>
  <si>
    <t>ARA p.143-209
SPD Community Investments tab</t>
  </si>
  <si>
    <t>ARA p.95-98, 149, 173-174</t>
  </si>
  <si>
    <t>ARA p.158</t>
  </si>
  <si>
    <t>ARA p.30, 58-59</t>
  </si>
  <si>
    <t>ARA p.30</t>
  </si>
  <si>
    <t>Johnson Matthey Corporate Website - Partnering with Us</t>
  </si>
  <si>
    <t>Johnson Matthey Global Competition Law Policy</t>
  </si>
  <si>
    <t>Johnson Matthey Global Anti-Bribery and Corruption Policy</t>
  </si>
  <si>
    <t>ARA p.125</t>
  </si>
  <si>
    <t>ARA p.148</t>
  </si>
  <si>
    <t>ARA p.4, 17, 30, 32, 35, 214</t>
  </si>
  <si>
    <t>ARA p.32, 35</t>
  </si>
  <si>
    <t>ARA p.5, 30, 32-34, 216-218</t>
  </si>
  <si>
    <t>ARA p.33-34, 48-49
SPD Environment tab</t>
  </si>
  <si>
    <t>ARA p.33-34
SPD Environment tab</t>
  </si>
  <si>
    <t>ARA p.30, 32, 36, 214, 216-218</t>
  </si>
  <si>
    <t>ARA p.36
SPD Environment tab</t>
  </si>
  <si>
    <t>Not disclosed as this is still work in progress</t>
  </si>
  <si>
    <t>Johnson Matthey Corporate Website - Nature and Circularity</t>
  </si>
  <si>
    <t>ARA p.14, 16, 18, 30, 32, 42-46, 212-213, 216-218</t>
  </si>
  <si>
    <t>ARA p.32-34, 48-49
SPD Environment tab</t>
  </si>
  <si>
    <t>We do not produce ozone-depleting substances (ODS) through our operations, however, any small leaks of refrigerant gases are reported in our Scope 1 GHG emissions</t>
  </si>
  <si>
    <t>ARA p.30, 37-39</t>
  </si>
  <si>
    <t>Johnson Matthey Corporate Website - Wellbeing</t>
  </si>
  <si>
    <t>Johnson Matthey Global Employee Leave Policy</t>
  </si>
  <si>
    <t>ARA p.30, 37-39, 58-59</t>
  </si>
  <si>
    <t xml:space="preserve">ARA p.30, 32, 37, 58-59, 215 </t>
  </si>
  <si>
    <t>ARA p.37</t>
  </si>
  <si>
    <t>ARA p.37, 76</t>
  </si>
  <si>
    <t>ARA p.37
SPD Health and Safety tab</t>
  </si>
  <si>
    <t>Johnson Matthey Corporate Website - Learning and Development</t>
  </si>
  <si>
    <t>ARA p.30, 32, 38-39, 80-81, 215</t>
  </si>
  <si>
    <t>ARA p.30, 32, 38-39, 80-81, 215
SPD People tab</t>
  </si>
  <si>
    <t>ARA p.32, 215</t>
  </si>
  <si>
    <t xml:space="preserve">Countries or suppliers where risks exist are not disclosed </t>
  </si>
  <si>
    <t>ARA p.30
SPD Responsible Sourcing tab</t>
  </si>
  <si>
    <t>Risks disclosed but not impacts or actions taken</t>
  </si>
  <si>
    <t>ARA p.42-46</t>
  </si>
  <si>
    <t>Not disclosed as not relevant KPI to aggregate across our business</t>
  </si>
  <si>
    <t>Only dislosed for platinum group metal use</t>
  </si>
  <si>
    <t>Not disclosed due to confidentiality around contracts</t>
  </si>
  <si>
    <t>Please see ERM CVS' full assurance report on pages 216-218 of our ARA 2026 for more details.</t>
  </si>
  <si>
    <r>
      <t xml:space="preserve">Please see ERM CVS' full assurance report on page 216-218 of our ARA 2026 and on the </t>
    </r>
    <r>
      <rPr>
        <u/>
        <sz val="11"/>
        <rFont val="Calibri"/>
        <family val="2"/>
        <scheme val="minor"/>
      </rPr>
      <t>Basis of Reporting</t>
    </r>
    <r>
      <rPr>
        <sz val="11"/>
        <rFont val="Calibri"/>
        <family val="2"/>
        <scheme val="minor"/>
      </rPr>
      <t xml:space="preserve"> tab for more details.</t>
    </r>
  </si>
  <si>
    <t>ARA p.32-33</t>
  </si>
  <si>
    <t>ARA p.34
SPD Environment tab</t>
  </si>
  <si>
    <t>ARA p.36, 45
SPD Environment tab</t>
  </si>
  <si>
    <t>ARA p.14, 32, 37
SPD Health and Safety tab</t>
  </si>
  <si>
    <t>ARA p.32, 37
SPD Health and safety tab</t>
  </si>
  <si>
    <t>ARA p.30-31, 40</t>
  </si>
  <si>
    <t xml:space="preserve">ARA p.30-31 </t>
  </si>
  <si>
    <t>ARA p.40-41</t>
  </si>
  <si>
    <t>ARA p.41-46</t>
  </si>
  <si>
    <t>ARA p.41</t>
  </si>
  <si>
    <t>ARA p.47</t>
  </si>
  <si>
    <t>ARA p.48-49</t>
  </si>
  <si>
    <t>ARA p.48-49
SPD Environment tab</t>
  </si>
  <si>
    <t>ARA p.33
SPD Environment tab</t>
  </si>
  <si>
    <t>ARA p.155-156</t>
  </si>
  <si>
    <t>ARA p.64
SPD People tab</t>
  </si>
  <si>
    <t>Non-renewable energy consumption is 75% of total energy consumption</t>
  </si>
  <si>
    <t>In 2025/26, JM revenue that aligns with SASB products designed for use phase efficiency were £0.59 billion (with sales excluding precious metals as £3.09 billion) compared with £0.68 billion in 2024/25 (with sales excluding precious metals as £3.47 billion).</t>
  </si>
  <si>
    <t>In line with the requirements set out in the UK Government’s guidance on SECR, the table below represents Johnson Matthey’s energy use and associated GHG emissions from electricity and fuel in the UK (1st April 2025 through to 31st March 2026), calculated with reference to the Greenhouse Gas Protocol. 
The scope of this data includes 9 sites based in the UK. In 2025/26, the UK accounted for 45% of our global total Scope 1 and 2 emissions as well as 28% of our global energy use.</t>
  </si>
  <si>
    <t>UK Streamlined Energy and Carbon Reporting (SECR)</t>
  </si>
  <si>
    <t>DEFRA’s GHG reporting conversion factors 2025 were used to calculate well-to-tank GHG emissions from fuel usage, transmission and distribution losses from purchased electricity, and well-to-tank and transmission and distribution losses of energy from steam.</t>
  </si>
  <si>
    <t>Where GHG footprints were available from waste service providers they were used, otherwise DEFRA’s GHG reporting conversion factors 2025 were used according to mass of waste disposal by destination.</t>
  </si>
  <si>
    <t>Data is obtained through an annual employee survey of distance travelled per week by modes of transport. DEFRA’s GHG reporting conversion factors 2025 are used to calculate the GHG intensity of each transport type and WFH emissions.</t>
  </si>
  <si>
    <t>We have removed Use of sold products from our footprint by agreement with the SBTi, as it determined that the emissions we reported in this category were ‘indirect’ and should not, therefore, be included.</t>
  </si>
  <si>
    <t>Given no visibility of the end-of-life treatment/use of JM products, the mass of sold products has been mapped against an emission factor associated with the recycling of PGMs to retain the precious metals, with remainder mass associated with GHG emissions for landfill activities or open/closed loop metal scrap where known.</t>
  </si>
  <si>
    <t>GHG intensity factors from our pensions trustee providers were used and applied to pension-related financials. Scope 1 and 2 emissions from JM’s joint ventures, proportional to JM’s stake of ownership.</t>
  </si>
  <si>
    <t>This year, we accelerated our responsible sourcing programme through enhanced supplier engagement, strengthened due diligence processes, and improved scope 3 data accuracy. We continued our membership with Together for Sustainability, meeting all member requirements and actively participating in working groups that shape ESG best practices across the chemical sector. We used the insights from our 2024/25 EcoVadis IQ assessment to guide our supplier risk mitigation activities. EcoVadis remains a key tool in evaluating supplier performance and our network now includes more than 400 suppliers, with 46% of our total procurement spend having a valid EcoVadis recognition (Committed or Medal level).
We also screened our top suppliers to assess their emissions reduction targets and collected primary scope 3 data, with supplier‑provided PCFs accounting for 13% of our scope 3 calculations this year. In parallel, we completed a supply‑chain‑wide assessment using both the Conflict Minerals Reporting Template (CMRT) and Extended Minerals Reporting Template (EMRT), evaluating 65 suppliers for their sourcing of cobalt, mica, copper, nickel, lithium, natural graphite, and tin, tungsten, tantalum, and gold (3TGs). Looking ahead, we will continue monitoring our suppliers for human-rights risks to ensure they uphold our own high standards and adhere to international regulatory requirements.</t>
  </si>
  <si>
    <t>Speak Up reports 2025/26</t>
  </si>
  <si>
    <t>Recommendations following closed investigated reports in 2025/26</t>
  </si>
  <si>
    <t>Performance (Absolute value)</t>
  </si>
  <si>
    <t>Progress towards target 
(target met = 100%)</t>
  </si>
  <si>
    <t>Reduction from baseline</t>
  </si>
  <si>
    <t>The data presented relates to Johnson Matthey's financial reporting year (1 April 20xx to 31 March 20yy), unless otherwise stated</t>
  </si>
  <si>
    <t xml:space="preserve"> Value in Baseline financial year</t>
  </si>
  <si>
    <t>Baseline financial year</t>
  </si>
  <si>
    <t>2-1 Organisational details</t>
  </si>
  <si>
    <t xml:space="preserve">&lt; 1% </t>
  </si>
  <si>
    <t>out of 10</t>
  </si>
  <si>
    <t>Waste water sent to brackish surface water</t>
  </si>
  <si>
    <t>Waste water sent to groundwater</t>
  </si>
  <si>
    <t>Waste water sent to municipal treatment</t>
  </si>
  <si>
    <t>Direct Chemical Oxygen Demand</t>
  </si>
  <si>
    <t>ARA p.75, 78</t>
  </si>
  <si>
    <t>In 2025 the NJ-EPA reviewed, historical JM self-reported deviation data, for the years 2018-2022. During the review period, 26 operational control deviations were noted and combined into a single violation which was issued to JM in August 2025. None of these fines were over $10k</t>
  </si>
  <si>
    <t>Unless otherwise stated the data for all years include Catalyst Technology (CT) business.</t>
  </si>
  <si>
    <r>
      <t xml:space="preserve">For more information on our methodology, please see our Basis of Reporting on pages 211-215 of our Annual Report and Accounts 2026 and on the </t>
    </r>
    <r>
      <rPr>
        <u/>
        <sz val="12"/>
        <rFont val="Verdana"/>
        <family val="2"/>
      </rPr>
      <t xml:space="preserve">Basis of Reporting </t>
    </r>
    <r>
      <rPr>
        <sz val="12"/>
        <rFont val="Verdana"/>
        <family val="2"/>
      </rPr>
      <t>tab.</t>
    </r>
  </si>
  <si>
    <t>Unless otherwise stated the data includes Catalyst Technology (CT) business.</t>
  </si>
  <si>
    <t xml:space="preserve">The data below represents Johnson Matthey's People information as at 31st March 2026 (for 2025/26), unless otherwise stated, and is reported on the basis of our Basis of Reporting on pages 211-215 of our Annual Report and Accounts 2026 and on the Basis of Reporting tab.
</t>
  </si>
  <si>
    <t xml:space="preserve">Union representation </t>
  </si>
  <si>
    <t>This is our operational GHG footprint using the Scope 1 emissions and the Scope 2 location-based emissions as stated above.</t>
  </si>
  <si>
    <t>This is the total energy consumed by JM (expressed in kWh) in the operations that it controls. Energy from non renewable fuels and covers Natural Gas, Diesel, Gasoline, LPG, LNG and fuel oil. The volume or weight of the fuel is converted into an energy value by applying calorific values sourced from the most up to date version of the DEFRA emissions factors data set.</t>
  </si>
  <si>
    <t>This is the total amount of renewable energy (expressed as kWh) supplied to site or generated on site for use in our operations. The energy is certified renewable or is purchased as a renewable supply.</t>
  </si>
  <si>
    <t>Solar power</t>
  </si>
  <si>
    <t>Renewable electricity generated from facility owned and operated by JM</t>
  </si>
  <si>
    <t>This represents all non hazardous waste that is generated and then sent offsite for treatment. Non Hazardous waste is material that is not deemed hazardous under the terms of the Basel Convention Annex I, II, III, 179 and VIII.</t>
  </si>
  <si>
    <t>Total waste represents both liquid and solid waste. Total waste includes both hazardous and non hazardous waste.
Reused waste is waste that can be reused for its original purpose or some other purpose without any modification to the waste material.</t>
  </si>
  <si>
    <t>Total waste represents both liquid and solid waste. Total waste includes both hazardous and non hazardous waste.
Recycling means any operation whereby recovered waste materials are reprocessed into products, materials or substances whether for the original or some other purpose. It includes the reprocessing of organic material but does not include energy recovery and the reprocessing into materials that are to be used as fuels or for backfilling operations.</t>
  </si>
  <si>
    <t>A solid waste is any item that is transported in a skip or similar container that cannot be poured. This represents the total hazardous and non hazardous waste sent offsite by JM for reuse.</t>
  </si>
  <si>
    <t xml:space="preserve">A solid waste is any item that is transported in a skip or similar container that cannot be poured. This represents the total hazardous and non hazardous waste sent offsite by JM for recycling. </t>
  </si>
  <si>
    <t>Calculation Methodology / Definition</t>
  </si>
  <si>
    <t>#/10</t>
  </si>
  <si>
    <t>Financial allocation (EEIO model from CEDA by Watershed) using geographical breakdown of data shown in note 11, ‘Property, plant and equipment,’ on page 163 of ARA2026.</t>
  </si>
  <si>
    <t xml:space="preserve">Activity-based secondary emission factors were used on floor space where available, using PCAF emission factors for european leases, else CIBSE data was combined with IEA factors to calculate geographies not covered in PCAF. Where no floor space data is available, averages by country/building type were derived and applied. </t>
  </si>
  <si>
    <t>Where mass of purchased goods was available, emissions were preferentially calculated using supplier specific factors and mass based factors (ecoinvent). For the remaining purchased goods and services where mass data was not available, spend-based emission factors were applied from an EEIO model, CEDA by Watershed.</t>
  </si>
  <si>
    <t>A financial allocation approach was taken using intensity factors from an EEIO model (CEDA by Watershed), with data split into upstream/downstream using invoice information.</t>
  </si>
  <si>
    <t>Footprints for business travel for air, rail and hotel were obtained from our business travel service providers, where possible. For all other travel-related items, distance was derived from spend and public data to be used in combination with DEFRA’s GHG reporting conversion factors 2025. Accounting is by date of financial transaction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</si>
</sst>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43" formatCode="_-* #,##0.00_-;\-* #,##0.00_-;_-* &quot;-&quot;??_-;_-@_-"/>
    <numFmt numFmtId="164" formatCode="0.0%"/>
    <numFmt numFmtId="165" formatCode="#,##0.0"/>
    <numFmt numFmtId="166" formatCode="_-* #,##0_-;\-* #,##0_-;_-* &quot;-&quot;??_-;_-@_-"/>
    <numFmt numFmtId="167" formatCode="#,##0_ ;\-#,##0\ "/>
    <numFmt numFmtId="168" formatCode="_-* #,##0.0_-;\-* #,##0.0_-;_-* &quot;-&quot;??_-;_-@_-"/>
    <numFmt numFmtId="169" formatCode="_-* #,##0.00_-;\-* #,##0.00_-;_-* &quot;-&quot;??_-;_-@"/>
    <numFmt numFmtId="170" formatCode="_-* #,##0_-;\-* #,##0_-;_-* &quot;-&quot;??_-;_-@"/>
    <numFmt numFmtId="171" formatCode="0.0"/>
    <numFmt numFmtId="172" formatCode="0E+00"/>
    <numFmt numFmtId="173" formatCode="_(* #,##0.0_);_(* \(#,##0.0\);_(* &quot;-&quot;??_);_(@_)"/>
    <numFmt numFmtId="174" formatCode="0.000%"/>
    <numFmt numFmtId="175" formatCode="0.0000%"/>
    <numFmt numFmtId="176" formatCode="0.000"/>
    <numFmt numFmtId="177" formatCode="0.0000000000000%"/>
    <numFmt numFmtId="178" formatCode="_-* #,##0.0_-;\-* #,##0.0_-;_-* &quot;-&quot;?_-;_-@_-"/>
    <numFmt numFmtId="179" formatCode="#,##0.000"/>
    <numFmt numFmtId="180" formatCode="[$£-809]#,##0"/>
  </numFmts>
  <fonts count="215" x14ac:knownFonts="1">
    <font>
      <sz val="11"/>
      <color theme="1"/>
      <name val="Calibri"/>
      <family val="2"/>
      <scheme val="minor"/>
    </font>
    <font>
      <u/>
      <sz val="11"/>
      <color theme="10"/>
      <name val="Calibri"/>
      <family val="2"/>
      <scheme val="minor"/>
    </font>
    <font>
      <sz val="11"/>
      <color theme="1"/>
      <name val="Calibri"/>
      <family val="2"/>
      <scheme val="minor"/>
    </font>
    <font>
      <sz val="8"/>
      <name val="Calibri"/>
      <family val="2"/>
      <scheme val="minor"/>
    </font>
    <font>
      <sz val="7"/>
      <color theme="1"/>
      <name val="Arial"/>
      <family val="2"/>
    </font>
    <font>
      <sz val="7"/>
      <color theme="0"/>
      <name val="Arial"/>
      <family val="2"/>
    </font>
    <font>
      <sz val="11"/>
      <color rgb="FFFF0000"/>
      <name val="Verdana"/>
      <family val="2"/>
    </font>
    <font>
      <sz val="11"/>
      <name val="Verdana"/>
      <family val="2"/>
    </font>
    <font>
      <sz val="11"/>
      <color theme="1"/>
      <name val="Verdana"/>
      <family val="2"/>
    </font>
    <font>
      <sz val="28"/>
      <color rgb="FF002060"/>
      <name val="Verdana"/>
      <family val="2"/>
    </font>
    <font>
      <b/>
      <sz val="11"/>
      <name val="Verdana"/>
      <family val="2"/>
    </font>
    <font>
      <sz val="10"/>
      <color rgb="FFFF0000"/>
      <name val="Verdana"/>
      <family val="2"/>
    </font>
    <font>
      <sz val="10"/>
      <name val="Verdana"/>
      <family val="2"/>
    </font>
    <font>
      <sz val="10"/>
      <color theme="1"/>
      <name val="Verdana"/>
      <family val="2"/>
    </font>
    <font>
      <b/>
      <sz val="10"/>
      <name val="Verdana"/>
      <family val="2"/>
    </font>
    <font>
      <b/>
      <sz val="28"/>
      <color rgb="FF0000CC"/>
      <name val="Verdana"/>
      <family val="2"/>
    </font>
    <font>
      <b/>
      <sz val="11"/>
      <color theme="0"/>
      <name val="Verdana"/>
      <family val="2"/>
    </font>
    <font>
      <b/>
      <sz val="11"/>
      <color rgb="FF002855"/>
      <name val="Verdana"/>
      <family val="2"/>
    </font>
    <font>
      <sz val="11"/>
      <color rgb="FF002855"/>
      <name val="Verdana"/>
      <family val="2"/>
    </font>
    <font>
      <b/>
      <sz val="10"/>
      <color rgb="FFFFFFFF"/>
      <name val="Verdana"/>
      <family val="2"/>
    </font>
    <font>
      <b/>
      <sz val="11"/>
      <color rgb="FFFFFFFF"/>
      <name val="Verdana"/>
      <family val="2"/>
    </font>
    <font>
      <b/>
      <sz val="11"/>
      <color theme="1"/>
      <name val="Verdana"/>
      <family val="2"/>
    </font>
    <font>
      <sz val="11"/>
      <color rgb="FF000000"/>
      <name val="Verdana"/>
      <family val="2"/>
    </font>
    <font>
      <b/>
      <sz val="11"/>
      <color rgb="FFFF0000"/>
      <name val="Verdana"/>
      <family val="2"/>
    </font>
    <font>
      <sz val="12"/>
      <color rgb="FFFF0000"/>
      <name val="Verdana"/>
      <family val="2"/>
    </font>
    <font>
      <sz val="11"/>
      <color theme="0"/>
      <name val="Verdana"/>
      <family val="2"/>
    </font>
    <font>
      <vertAlign val="superscript"/>
      <sz val="11"/>
      <color theme="1"/>
      <name val="Verdana"/>
      <family val="2"/>
    </font>
    <font>
      <sz val="8"/>
      <color theme="1"/>
      <name val="Verdana"/>
      <family val="2"/>
    </font>
    <font>
      <b/>
      <sz val="8"/>
      <color theme="1"/>
      <name val="Verdana"/>
      <family val="2"/>
    </font>
    <font>
      <b/>
      <sz val="11"/>
      <color rgb="FF000000"/>
      <name val="Verdana"/>
      <family val="2"/>
    </font>
    <font>
      <sz val="7"/>
      <color rgb="FF4A4D4E"/>
      <name val="Verdana"/>
      <family val="2"/>
    </font>
    <font>
      <sz val="9"/>
      <color theme="1"/>
      <name val="Verdana"/>
      <family val="2"/>
    </font>
    <font>
      <b/>
      <sz val="9"/>
      <color theme="1"/>
      <name val="Verdana"/>
      <family val="2"/>
    </font>
    <font>
      <sz val="7"/>
      <color theme="1"/>
      <name val="Verdana"/>
      <family val="2"/>
    </font>
    <font>
      <sz val="12"/>
      <color rgb="FFE60000"/>
      <name val="Verdana"/>
      <family val="2"/>
    </font>
    <font>
      <sz val="9.5"/>
      <color rgb="FF4A4D4E"/>
      <name val="Verdana"/>
      <family val="2"/>
    </font>
    <font>
      <b/>
      <sz val="16"/>
      <color rgb="FFE60000"/>
      <name val="Verdana"/>
      <family val="2"/>
    </font>
    <font>
      <sz val="12"/>
      <color rgb="FF0000CC"/>
      <name val="Verdana"/>
      <family val="2"/>
    </font>
    <font>
      <sz val="9.5"/>
      <color rgb="FFFF0000"/>
      <name val="Verdana"/>
      <family val="2"/>
    </font>
    <font>
      <b/>
      <sz val="9.5"/>
      <color rgb="FFE60000"/>
      <name val="Verdana"/>
      <family val="2"/>
    </font>
    <font>
      <b/>
      <sz val="20"/>
      <color rgb="FFFFFFFF"/>
      <name val="Verdana"/>
      <family val="2"/>
    </font>
    <font>
      <b/>
      <sz val="9.5"/>
      <color rgb="FFFFFFFF"/>
      <name val="Verdana"/>
      <family val="2"/>
    </font>
    <font>
      <b/>
      <sz val="9.5"/>
      <color theme="0"/>
      <name val="Verdana"/>
      <family val="2"/>
    </font>
    <font>
      <sz val="9.5"/>
      <color theme="0"/>
      <name val="Verdana"/>
      <family val="2"/>
    </font>
    <font>
      <b/>
      <sz val="9.5"/>
      <color rgb="FF0000CC"/>
      <name val="Verdana"/>
      <family val="2"/>
    </font>
    <font>
      <b/>
      <sz val="9.5"/>
      <color rgb="FF4A4D4E"/>
      <name val="Verdana"/>
      <family val="2"/>
    </font>
    <font>
      <b/>
      <sz val="11"/>
      <color rgb="FF0000CC"/>
      <name val="Verdana"/>
      <family val="2"/>
    </font>
    <font>
      <sz val="9.5"/>
      <name val="Verdana"/>
      <family val="2"/>
    </font>
    <font>
      <vertAlign val="subscript"/>
      <sz val="11"/>
      <name val="Verdana"/>
      <family val="2"/>
    </font>
    <font>
      <b/>
      <sz val="9.5"/>
      <color rgb="FF000000"/>
      <name val="Verdana"/>
      <family val="2"/>
    </font>
    <font>
      <b/>
      <sz val="20"/>
      <color theme="0"/>
      <name val="Verdana"/>
      <family val="2"/>
    </font>
    <font>
      <b/>
      <vertAlign val="superscript"/>
      <sz val="11"/>
      <color theme="1"/>
      <name val="Verdana"/>
      <family val="2"/>
    </font>
    <font>
      <b/>
      <sz val="11"/>
      <color theme="3"/>
      <name val="Verdana"/>
      <family val="2"/>
    </font>
    <font>
      <b/>
      <vertAlign val="superscript"/>
      <sz val="11"/>
      <color theme="3"/>
      <name val="Verdana"/>
      <family val="2"/>
    </font>
    <font>
      <sz val="11"/>
      <color theme="9" tint="-0.249977111117893"/>
      <name val="Verdana"/>
      <family val="2"/>
    </font>
    <font>
      <b/>
      <vertAlign val="superscript"/>
      <sz val="11"/>
      <name val="Verdana"/>
      <family val="2"/>
    </font>
    <font>
      <sz val="8"/>
      <color rgb="FFFF0000"/>
      <name val="Verdana"/>
      <family val="2"/>
    </font>
    <font>
      <b/>
      <sz val="18"/>
      <color theme="0"/>
      <name val="Verdana"/>
      <family val="2"/>
    </font>
    <font>
      <b/>
      <sz val="14"/>
      <color theme="0"/>
      <name val="Verdana"/>
      <family val="2"/>
    </font>
    <font>
      <b/>
      <sz val="20"/>
      <color rgb="FF0000CC"/>
      <name val="Verdana"/>
      <family val="2"/>
    </font>
    <font>
      <b/>
      <sz val="28"/>
      <color rgb="FFFF0000"/>
      <name val="Verdana"/>
      <family val="2"/>
    </font>
    <font>
      <sz val="9"/>
      <name val="Verdana"/>
      <family val="2"/>
    </font>
    <font>
      <b/>
      <sz val="12"/>
      <color theme="0"/>
      <name val="Verdana"/>
      <family val="2"/>
    </font>
    <font>
      <b/>
      <sz val="10"/>
      <color rgb="FF000000"/>
      <name val="Verdana"/>
      <family val="2"/>
    </font>
    <font>
      <sz val="10"/>
      <color rgb="FF000000"/>
      <name val="Verdana"/>
      <family val="2"/>
    </font>
    <font>
      <b/>
      <sz val="10"/>
      <color theme="1"/>
      <name val="Verdana"/>
      <family val="2"/>
    </font>
    <font>
      <b/>
      <sz val="12"/>
      <color rgb="FF0000CC"/>
      <name val="Verdana"/>
      <family val="2"/>
    </font>
    <font>
      <sz val="7"/>
      <name val="Verdana"/>
      <family val="2"/>
    </font>
    <font>
      <vertAlign val="subscript"/>
      <sz val="11"/>
      <color rgb="FF000000"/>
      <name val="Verdana"/>
      <family val="2"/>
    </font>
    <font>
      <b/>
      <vertAlign val="superscript"/>
      <sz val="11"/>
      <color rgb="FF000000"/>
      <name val="Verdana"/>
      <family val="2"/>
    </font>
    <font>
      <sz val="11"/>
      <color rgb="FF000000"/>
      <name val="Calibri"/>
      <family val="2"/>
      <scheme val="minor"/>
    </font>
    <font>
      <b/>
      <sz val="14"/>
      <color theme="1"/>
      <name val="Verdana"/>
      <family val="2"/>
    </font>
    <font>
      <sz val="11"/>
      <color theme="1"/>
      <name val="Verdana"/>
      <family val="2"/>
    </font>
    <font>
      <b/>
      <vertAlign val="subscript"/>
      <sz val="11"/>
      <name val="Verdana"/>
      <family val="2"/>
    </font>
    <font>
      <sz val="9"/>
      <color rgb="FF4A4D4E"/>
      <name val="Verdana"/>
      <family val="2"/>
    </font>
    <font>
      <b/>
      <sz val="11"/>
      <color theme="1"/>
      <name val="Calibri"/>
      <family val="2"/>
      <scheme val="minor"/>
    </font>
    <font>
      <sz val="16"/>
      <color rgb="FF4A4D4E"/>
      <name val="Verdana"/>
      <family val="2"/>
    </font>
    <font>
      <b/>
      <sz val="11"/>
      <color rgb="FF000000"/>
      <name val="Calibri"/>
      <family val="2"/>
      <scheme val="minor"/>
    </font>
    <font>
      <b/>
      <vertAlign val="subscript"/>
      <sz val="11"/>
      <color rgb="FF000000"/>
      <name val="Verdana"/>
      <family val="2"/>
    </font>
    <font>
      <b/>
      <sz val="14"/>
      <name val="Verdana"/>
      <family val="2"/>
    </font>
    <font>
      <sz val="11"/>
      <color theme="3"/>
      <name val="Verdana"/>
      <family val="2"/>
    </font>
    <font>
      <sz val="9.5"/>
      <color theme="3"/>
      <name val="Verdana"/>
      <family val="2"/>
    </font>
    <font>
      <b/>
      <sz val="14"/>
      <color theme="3"/>
      <name val="Verdana"/>
      <family val="2"/>
    </font>
    <font>
      <b/>
      <sz val="14"/>
      <color rgb="FF0000CC"/>
      <name val="Verdana"/>
      <family val="2"/>
    </font>
    <font>
      <b/>
      <sz val="16"/>
      <color theme="3"/>
      <name val="Verdana"/>
      <family val="2"/>
    </font>
    <font>
      <sz val="12"/>
      <color theme="3"/>
      <name val="Verdana"/>
      <family val="2"/>
    </font>
    <font>
      <b/>
      <sz val="12"/>
      <color theme="3"/>
      <name val="Verdana"/>
      <family val="2"/>
    </font>
    <font>
      <b/>
      <sz val="20"/>
      <color theme="7"/>
      <name val="Verdana"/>
      <family val="2"/>
    </font>
    <font>
      <b/>
      <sz val="20"/>
      <color theme="6" tint="-0.249977111117893"/>
      <name val="Verdana"/>
      <family val="2"/>
    </font>
    <font>
      <b/>
      <sz val="9.5"/>
      <color theme="3"/>
      <name val="Verdana"/>
      <family val="2"/>
    </font>
    <font>
      <b/>
      <sz val="10"/>
      <color theme="4"/>
      <name val="Verdana"/>
      <family val="2"/>
    </font>
    <font>
      <sz val="10"/>
      <color theme="5"/>
      <name val="Verdana"/>
      <family val="2"/>
    </font>
    <font>
      <sz val="11"/>
      <color rgb="FFFF0000"/>
      <name val="Calibri"/>
      <family val="2"/>
    </font>
    <font>
      <b/>
      <sz val="11"/>
      <color rgb="FFFF0000"/>
      <name val="Calibri"/>
      <family val="2"/>
    </font>
    <font>
      <vertAlign val="subscript"/>
      <sz val="12"/>
      <color rgb="FF0000CC"/>
      <name val="Verdana"/>
      <family val="2"/>
    </font>
    <font>
      <sz val="11"/>
      <color theme="8"/>
      <name val="Verdana"/>
      <family val="2"/>
    </font>
    <font>
      <sz val="11"/>
      <color rgb="FFFFFFFF"/>
      <name val="Verdana"/>
      <family val="2"/>
    </font>
    <font>
      <sz val="10"/>
      <color rgb="FF040C28"/>
      <name val="Verdana"/>
      <family val="2"/>
    </font>
    <font>
      <sz val="10"/>
      <color rgb="FF202124"/>
      <name val="Verdana"/>
      <family val="2"/>
    </font>
    <font>
      <sz val="9"/>
      <color indexed="81"/>
      <name val="Tahoma"/>
      <family val="2"/>
    </font>
    <font>
      <b/>
      <vertAlign val="superscript"/>
      <sz val="12"/>
      <color theme="3"/>
      <name val="Verdana"/>
      <family val="2"/>
    </font>
    <font>
      <b/>
      <sz val="10"/>
      <color rgb="FF0000CC"/>
      <name val="Verdana"/>
      <family val="2"/>
    </font>
    <font>
      <sz val="10"/>
      <color rgb="FF002855"/>
      <name val="Verdana"/>
      <family val="2"/>
    </font>
    <font>
      <b/>
      <sz val="10"/>
      <color theme="0"/>
      <name val="Verdana"/>
      <family val="2"/>
    </font>
    <font>
      <sz val="10"/>
      <color theme="0"/>
      <name val="Verdana"/>
      <family val="2"/>
    </font>
    <font>
      <vertAlign val="subscript"/>
      <sz val="10"/>
      <color theme="1"/>
      <name val="Verdana"/>
      <family val="2"/>
    </font>
    <font>
      <vertAlign val="superscript"/>
      <sz val="10"/>
      <color theme="1"/>
      <name val="Verdana"/>
      <family val="2"/>
    </font>
    <font>
      <sz val="10"/>
      <color theme="3"/>
      <name val="Verdana"/>
      <family val="2"/>
    </font>
    <font>
      <sz val="10"/>
      <color rgb="FF4A4D4E"/>
      <name val="Verdana"/>
      <family val="2"/>
    </font>
    <font>
      <sz val="11"/>
      <color rgb="FF4A4D4E"/>
      <name val="Verdana"/>
      <family val="2"/>
    </font>
    <font>
      <sz val="10"/>
      <color rgb="FF002060"/>
      <name val="Verdana"/>
      <family val="2"/>
    </font>
    <font>
      <sz val="10"/>
      <color rgb="FF0000CC"/>
      <name val="Verdana"/>
      <family val="2"/>
    </font>
    <font>
      <b/>
      <sz val="10"/>
      <color rgb="FF002855"/>
      <name val="Verdana"/>
      <family val="2"/>
    </font>
    <font>
      <sz val="12"/>
      <color theme="1"/>
      <name val="Verdana"/>
      <family val="2"/>
    </font>
    <font>
      <sz val="12"/>
      <name val="Verdana"/>
      <family val="2"/>
    </font>
    <font>
      <sz val="16"/>
      <color theme="1"/>
      <name val="Verdana"/>
      <family val="2"/>
    </font>
    <font>
      <b/>
      <sz val="12"/>
      <color theme="1"/>
      <name val="Verdana"/>
      <family val="2"/>
    </font>
    <font>
      <sz val="12"/>
      <color rgb="FF000000"/>
      <name val="Verdana"/>
      <family val="2"/>
    </font>
    <font>
      <b/>
      <sz val="12"/>
      <color rgb="FF000000"/>
      <name val="Verdana"/>
      <family val="2"/>
    </font>
    <font>
      <b/>
      <sz val="12"/>
      <name val="Verdana"/>
      <family val="2"/>
    </font>
    <font>
      <b/>
      <sz val="9"/>
      <color indexed="81"/>
      <name val="Tahoma"/>
      <family val="2"/>
    </font>
    <font>
      <sz val="10"/>
      <color indexed="81"/>
      <name val="Verdana"/>
      <family val="2"/>
    </font>
    <font>
      <b/>
      <sz val="10"/>
      <color indexed="81"/>
      <name val="Verdana"/>
      <family val="2"/>
    </font>
    <font>
      <vertAlign val="subscript"/>
      <sz val="12"/>
      <name val="Verdana"/>
      <family val="2"/>
    </font>
    <font>
      <b/>
      <vertAlign val="subscript"/>
      <sz val="12"/>
      <name val="Verdana"/>
      <family val="2"/>
    </font>
    <font>
      <vertAlign val="subscript"/>
      <sz val="12"/>
      <color rgb="FF000000"/>
      <name val="Verdana"/>
      <family val="2"/>
    </font>
    <font>
      <b/>
      <vertAlign val="subscript"/>
      <sz val="12"/>
      <color rgb="FF000000"/>
      <name val="Verdana"/>
      <family val="2"/>
    </font>
    <font>
      <sz val="12"/>
      <color theme="4"/>
      <name val="Verdana"/>
      <family val="2"/>
    </font>
    <font>
      <sz val="14"/>
      <color theme="1"/>
      <name val="Verdana"/>
      <family val="2"/>
    </font>
    <font>
      <b/>
      <sz val="14"/>
      <color rgb="FF002855"/>
      <name val="Verdana"/>
      <family val="2"/>
    </font>
    <font>
      <b/>
      <sz val="14"/>
      <color rgb="FFFFFFFF"/>
      <name val="Verdana"/>
      <family val="2"/>
    </font>
    <font>
      <b/>
      <sz val="12"/>
      <color rgb="FFFFFFFF"/>
      <name val="Verdana"/>
      <family val="2"/>
    </font>
    <font>
      <vertAlign val="superscript"/>
      <sz val="12"/>
      <color theme="1"/>
      <name val="Verdana"/>
      <family val="2"/>
    </font>
    <font>
      <vertAlign val="subscript"/>
      <sz val="12"/>
      <color theme="1"/>
      <name val="Verdana"/>
      <family val="2"/>
    </font>
    <font>
      <i/>
      <sz val="10"/>
      <color theme="1"/>
      <name val="Verdana"/>
      <family val="2"/>
    </font>
    <font>
      <b/>
      <i/>
      <sz val="11"/>
      <color theme="1"/>
      <name val="Verdana"/>
      <family val="2"/>
    </font>
    <font>
      <b/>
      <sz val="12"/>
      <color theme="6" tint="-0.499984740745262"/>
      <name val="Verdana"/>
      <family val="2"/>
    </font>
    <font>
      <b/>
      <sz val="12"/>
      <color theme="7" tint="-0.249977111117893"/>
      <name val="Verdana"/>
      <family val="2"/>
    </font>
    <font>
      <sz val="11"/>
      <color rgb="FF1E22AA"/>
      <name val="Calibri"/>
      <family val="2"/>
      <scheme val="minor"/>
    </font>
    <font>
      <b/>
      <sz val="20"/>
      <color rgb="FF1E22AA"/>
      <name val="Verdana"/>
      <family val="2"/>
    </font>
    <font>
      <u/>
      <sz val="11"/>
      <color rgb="FF1E22AA"/>
      <name val="Verdana"/>
      <family val="2"/>
    </font>
    <font>
      <sz val="11"/>
      <color rgb="FF1E22AA"/>
      <name val="Verdana"/>
      <family val="2"/>
    </font>
    <font>
      <b/>
      <sz val="11"/>
      <color rgb="FF1E22AA"/>
      <name val="Verdana"/>
      <family val="2"/>
    </font>
    <font>
      <b/>
      <sz val="12"/>
      <color rgb="FF1E22AA"/>
      <name val="Verdana"/>
      <family val="2"/>
    </font>
    <font>
      <sz val="12"/>
      <color rgb="FF1E22AA"/>
      <name val="Verdana"/>
      <family val="2"/>
    </font>
    <font>
      <b/>
      <sz val="10"/>
      <color rgb="FF1E22AA"/>
      <name val="Verdana"/>
      <family val="2"/>
    </font>
    <font>
      <sz val="12"/>
      <color theme="0"/>
      <name val="Verdana"/>
      <family val="2"/>
    </font>
    <font>
      <u/>
      <sz val="11"/>
      <name val="Calibri"/>
      <family val="2"/>
      <scheme val="minor"/>
    </font>
    <font>
      <vertAlign val="superscript"/>
      <sz val="12"/>
      <name val="Verdana"/>
      <family val="2"/>
    </font>
    <font>
      <sz val="11"/>
      <color theme="1"/>
      <name val="Verdana"/>
      <family val="2"/>
    </font>
    <font>
      <b/>
      <sz val="12"/>
      <color theme="4"/>
      <name val="Verdana"/>
      <family val="2"/>
    </font>
    <font>
      <vertAlign val="superscript"/>
      <sz val="10"/>
      <name val="Verdana"/>
      <family val="2"/>
    </font>
    <font>
      <u/>
      <sz val="10"/>
      <color theme="3"/>
      <name val="Verdana"/>
      <family val="2"/>
    </font>
    <font>
      <b/>
      <vertAlign val="superscript"/>
      <sz val="12"/>
      <color rgb="FF000000"/>
      <name val="Verdana"/>
      <family val="2"/>
    </font>
    <font>
      <sz val="11"/>
      <color theme="1"/>
      <name val="Verdana"/>
      <family val="2"/>
    </font>
    <font>
      <b/>
      <sz val="11"/>
      <color theme="1"/>
      <name val="Verdana"/>
      <family val="2"/>
    </font>
    <font>
      <b/>
      <sz val="10"/>
      <color theme="3"/>
      <name val="Verdana"/>
      <family val="2"/>
    </font>
    <font>
      <sz val="12"/>
      <color indexed="81"/>
      <name val="Verdana"/>
      <family val="2"/>
    </font>
    <font>
      <b/>
      <sz val="12"/>
      <color indexed="81"/>
      <name val="Verdana"/>
      <family val="2"/>
    </font>
    <font>
      <sz val="11.5"/>
      <color theme="1"/>
      <name val="Verdana"/>
      <family val="2"/>
    </font>
    <font>
      <sz val="11"/>
      <color theme="1"/>
      <name val="Verdana"/>
      <family val="2"/>
    </font>
    <font>
      <sz val="11"/>
      <color indexed="81"/>
      <name val="Verdana"/>
      <family val="2"/>
    </font>
    <font>
      <sz val="11"/>
      <color rgb="FFFF0000"/>
      <name val="Calibri"/>
      <family val="2"/>
      <scheme val="minor"/>
    </font>
    <font>
      <sz val="10"/>
      <color rgb="FF00B050"/>
      <name val="Verdana"/>
      <family val="2"/>
    </font>
    <font>
      <u/>
      <sz val="10"/>
      <name val="Verdana"/>
      <family val="2"/>
    </font>
    <font>
      <sz val="11.5"/>
      <name val="Verdana"/>
      <family val="2"/>
    </font>
    <font>
      <sz val="11"/>
      <name val="Calibri"/>
      <family val="2"/>
      <scheme val="minor"/>
    </font>
    <font>
      <b/>
      <sz val="12"/>
      <color rgb="FF002855"/>
      <name val="Verdana"/>
      <family val="2"/>
    </font>
    <font>
      <sz val="12"/>
      <color rgb="FF002855"/>
      <name val="Verdana"/>
      <family val="2"/>
    </font>
    <font>
      <b/>
      <vertAlign val="superscript"/>
      <sz val="12"/>
      <color theme="1"/>
      <name val="Verdana"/>
      <family val="2"/>
    </font>
    <font>
      <b/>
      <vertAlign val="superscript"/>
      <sz val="12"/>
      <name val="Verdana"/>
      <family val="2"/>
    </font>
    <font>
      <b/>
      <sz val="12"/>
      <color rgb="FFFF0000"/>
      <name val="Verdana"/>
      <family val="2"/>
    </font>
    <font>
      <sz val="11"/>
      <color theme="1"/>
      <name val="Verdana"/>
      <family val="2"/>
    </font>
    <font>
      <sz val="12"/>
      <color rgb="FF4A4D4E"/>
      <name val="Verdana"/>
      <family val="2"/>
    </font>
    <font>
      <b/>
      <i/>
      <sz val="10"/>
      <color rgb="FF1E22AA"/>
      <name val="Verdana"/>
      <family val="2"/>
    </font>
    <font>
      <b/>
      <sz val="11"/>
      <color theme="6" tint="-0.249977111117893"/>
      <name val="Verdana"/>
      <family val="2"/>
    </font>
    <font>
      <sz val="12"/>
      <color theme="5"/>
      <name val="Verdana"/>
      <family val="2"/>
    </font>
    <font>
      <b/>
      <sz val="12"/>
      <color theme="5"/>
      <name val="Verdana"/>
      <family val="2"/>
    </font>
    <font>
      <sz val="22"/>
      <color rgb="FFFF0000"/>
      <name val="Verdana"/>
      <family val="2"/>
    </font>
    <font>
      <sz val="12"/>
      <color theme="1"/>
      <name val="Calibri"/>
      <family val="2"/>
      <scheme val="minor"/>
    </font>
    <font>
      <b/>
      <sz val="12"/>
      <color rgb="FFE60000"/>
      <name val="Verdana"/>
      <family val="2"/>
    </font>
    <font>
      <b/>
      <sz val="12"/>
      <color rgb="FF4A4D4E"/>
      <name val="Verdana"/>
      <family val="2"/>
    </font>
    <font>
      <b/>
      <sz val="12"/>
      <color theme="5" tint="0.39997558519241921"/>
      <name val="Verdana"/>
      <family val="2"/>
    </font>
    <font>
      <vertAlign val="subscript"/>
      <sz val="11"/>
      <color theme="1"/>
      <name val="Verdana"/>
      <family val="2"/>
    </font>
    <font>
      <sz val="10"/>
      <color theme="4"/>
      <name val="Verdana"/>
      <family val="2"/>
    </font>
    <font>
      <sz val="10"/>
      <color theme="1"/>
      <name val="Verdana"/>
      <family val="2"/>
    </font>
    <font>
      <sz val="10"/>
      <name val="Verdana"/>
      <family val="2"/>
    </font>
    <font>
      <sz val="10"/>
      <color rgb="FF000000"/>
      <name val="Verdana"/>
      <family val="2"/>
    </font>
    <font>
      <b/>
      <sz val="12"/>
      <color theme="1"/>
      <name val="Verdana"/>
      <family val="2"/>
    </font>
    <font>
      <sz val="10"/>
      <color rgb="FF00B050"/>
      <name val="Verdana"/>
      <family val="2"/>
    </font>
    <font>
      <sz val="10"/>
      <color theme="10"/>
      <name val="Verdana"/>
      <family val="2"/>
    </font>
    <font>
      <b/>
      <sz val="12"/>
      <color theme="4"/>
      <name val="Verdana"/>
      <family val="2"/>
    </font>
    <font>
      <b/>
      <sz val="12"/>
      <color theme="3"/>
      <name val="Verdana"/>
      <family val="2"/>
    </font>
    <font>
      <sz val="11"/>
      <color theme="1"/>
      <name val="Verdana"/>
      <family val="2"/>
    </font>
    <font>
      <sz val="12"/>
      <color theme="1"/>
      <name val="Verdana"/>
      <family val="2"/>
    </font>
    <font>
      <sz val="11"/>
      <color rgb="FFFF0000"/>
      <name val="Verdana"/>
      <family val="2"/>
    </font>
    <font>
      <b/>
      <sz val="20"/>
      <color rgb="FF0000CC"/>
      <name val="Verdana"/>
      <family val="2"/>
    </font>
    <font>
      <b/>
      <sz val="10"/>
      <color theme="1"/>
      <name val="Verdana"/>
      <family val="2"/>
    </font>
    <font>
      <sz val="12"/>
      <color theme="3"/>
      <name val="Verdana"/>
      <family val="2"/>
    </font>
    <font>
      <b/>
      <i/>
      <sz val="11"/>
      <color rgb="FF00305C"/>
      <name val="Verdana"/>
      <family val="2"/>
    </font>
    <font>
      <sz val="11"/>
      <color rgb="FF0000CC"/>
      <name val="Verdana"/>
      <family val="2"/>
    </font>
    <font>
      <sz val="11"/>
      <color theme="3"/>
      <name val="Verdana"/>
      <family val="2"/>
    </font>
    <font>
      <sz val="20"/>
      <color theme="1"/>
      <name val="Verdana"/>
      <family val="2"/>
    </font>
    <font>
      <b/>
      <sz val="12"/>
      <color rgb="FF1E22AA"/>
      <name val="Verdana"/>
      <family val="2"/>
    </font>
    <font>
      <sz val="10"/>
      <color rgb="FFFF0000"/>
      <name val="Verdana"/>
      <family val="2"/>
    </font>
    <font>
      <b/>
      <i/>
      <sz val="10"/>
      <color theme="3"/>
      <name val="Verdana"/>
      <family val="2"/>
    </font>
    <font>
      <b/>
      <sz val="10"/>
      <color theme="0"/>
      <name val="Verdana"/>
      <family val="2"/>
    </font>
    <font>
      <sz val="10"/>
      <color theme="0"/>
      <name val="Verdana"/>
      <family val="2"/>
    </font>
    <font>
      <sz val="10"/>
      <color theme="3"/>
      <name val="Verdana"/>
      <family val="2"/>
    </font>
    <font>
      <b/>
      <sz val="11"/>
      <color indexed="81"/>
      <name val="Verdana"/>
      <family val="2"/>
    </font>
    <font>
      <sz val="12"/>
      <color rgb="FF0000CC"/>
      <name val="Verdana"/>
      <family val="2"/>
    </font>
    <font>
      <u/>
      <sz val="10"/>
      <color theme="1"/>
      <name val="Verdana"/>
      <family val="2"/>
    </font>
    <font>
      <u/>
      <sz val="12"/>
      <name val="Verdana"/>
      <family val="2"/>
    </font>
    <font>
      <sz val="12"/>
      <name val="Verdana"/>
      <family val="2"/>
    </font>
    <font>
      <sz val="10"/>
      <color theme="1"/>
      <name val="Calibri"/>
      <family val="2"/>
      <scheme val="minor"/>
    </font>
  </fonts>
  <fills count="4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0000CC"/>
        <bgColor rgb="FF000000"/>
      </patternFill>
    </fill>
    <fill>
      <patternFill patternType="solid">
        <fgColor theme="0"/>
        <bgColor rgb="FF000000"/>
      </patternFill>
    </fill>
    <fill>
      <patternFill patternType="solid">
        <fgColor theme="0" tint="-0.14999847407452621"/>
        <bgColor indexed="64"/>
      </patternFill>
    </fill>
    <fill>
      <patternFill patternType="solid">
        <fgColor theme="2"/>
        <bgColor indexed="64"/>
      </patternFill>
    </fill>
    <fill>
      <patternFill patternType="solid">
        <fgColor theme="0" tint="-0.14999847407452621"/>
        <bgColor rgb="FF000000"/>
      </patternFill>
    </fill>
    <fill>
      <patternFill patternType="solid">
        <fgColor rgb="FF0000CC"/>
        <bgColor indexed="64"/>
      </patternFill>
    </fill>
    <fill>
      <patternFill patternType="solid">
        <fgColor rgb="FFD9E2EE"/>
        <bgColor indexed="64"/>
      </patternFill>
    </fill>
    <fill>
      <patternFill patternType="solid">
        <fgColor rgb="FF4F74AE"/>
        <bgColor indexed="64"/>
      </patternFill>
    </fill>
    <fill>
      <patternFill patternType="solid">
        <fgColor rgb="FF9DB3D3"/>
        <bgColor indexed="64"/>
      </patternFill>
    </fill>
    <fill>
      <patternFill patternType="solid">
        <fgColor rgb="FFE3E4E5"/>
        <bgColor indexed="64"/>
      </patternFill>
    </fill>
    <fill>
      <patternFill patternType="solid">
        <fgColor rgb="FFFFFFFF"/>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bgColor indexed="64"/>
      </patternFill>
    </fill>
    <fill>
      <patternFill patternType="solid">
        <fgColor theme="9" tint="-9.9978637043366805E-2"/>
        <bgColor indexed="64"/>
      </patternFill>
    </fill>
    <fill>
      <patternFill patternType="solid">
        <fgColor theme="9" tint="-9.9978637043366805E-2"/>
        <bgColor rgb="FF000000"/>
      </patternFill>
    </fill>
    <fill>
      <patternFill patternType="solid">
        <fgColor theme="0" tint="-4.9989318521683403E-2"/>
        <bgColor rgb="FF000000"/>
      </patternFill>
    </fill>
    <fill>
      <patternFill patternType="solid">
        <fgColor theme="6" tint="0.79998168889431442"/>
        <bgColor rgb="FF000000"/>
      </patternFill>
    </fill>
    <fill>
      <patternFill patternType="solid">
        <fgColor theme="6" tint="0.79998168889431442"/>
        <bgColor indexed="64"/>
      </patternFill>
    </fill>
    <fill>
      <patternFill patternType="solid">
        <fgColor theme="3"/>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rgb="FFFFC000"/>
        <bgColor rgb="FF000000"/>
      </patternFill>
    </fill>
    <fill>
      <patternFill patternType="solid">
        <fgColor rgb="FF92D050"/>
        <bgColor indexed="64"/>
      </patternFill>
    </fill>
    <fill>
      <patternFill patternType="solid">
        <fgColor theme="2" tint="0.79998168889431442"/>
        <bgColor indexed="64"/>
      </patternFill>
    </fill>
    <fill>
      <patternFill patternType="solid">
        <fgColor theme="6"/>
        <bgColor indexed="64"/>
      </patternFill>
    </fill>
    <fill>
      <patternFill patternType="solid">
        <fgColor theme="7" tint="0.79998168889431442"/>
        <bgColor indexed="64"/>
      </patternFill>
    </fill>
    <fill>
      <patternFill patternType="solid">
        <fgColor theme="4"/>
        <bgColor indexed="64"/>
      </patternFill>
    </fill>
    <fill>
      <patternFill patternType="solid">
        <fgColor rgb="FF1E22AA"/>
        <bgColor indexed="64"/>
      </patternFill>
    </fill>
    <fill>
      <patternFill patternType="solid">
        <fgColor rgb="FF00ACE9"/>
        <bgColor indexed="64"/>
      </patternFill>
    </fill>
    <fill>
      <patternFill patternType="solid">
        <fgColor rgb="FF1E22AA"/>
        <bgColor rgb="FF000000"/>
      </patternFill>
    </fill>
    <fill>
      <patternFill patternType="solid">
        <fgColor rgb="FFE3E3E3"/>
        <bgColor rgb="FF000000"/>
      </patternFill>
    </fill>
    <fill>
      <patternFill patternType="solid">
        <fgColor theme="0" tint="-0.249977111117893"/>
        <bgColor indexed="64"/>
      </patternFill>
    </fill>
    <fill>
      <patternFill patternType="solid">
        <fgColor rgb="FFFF0000"/>
        <bgColor indexed="64"/>
      </patternFill>
    </fill>
    <fill>
      <patternFill patternType="solid">
        <fgColor rgb="FFF2F2F2"/>
        <bgColor rgb="FF000000"/>
      </patternFill>
    </fill>
    <fill>
      <patternFill patternType="darkUp">
        <fgColor theme="0" tint="-0.34998626667073579"/>
        <bgColor theme="0" tint="-4.9989318521683403E-2"/>
      </patternFill>
    </fill>
    <fill>
      <patternFill patternType="solid">
        <fgColor rgb="FFCCCCCC"/>
        <bgColor rgb="FF000000"/>
      </patternFill>
    </fill>
    <fill>
      <patternFill patternType="darkUp">
        <fgColor theme="0" tint="-0.34998626667073579"/>
        <bgColor theme="9"/>
      </patternFill>
    </fill>
  </fills>
  <borders count="81">
    <border>
      <left/>
      <right/>
      <top/>
      <bottom/>
      <diagonal/>
    </border>
    <border>
      <left/>
      <right/>
      <top style="hair">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bottom style="hair">
        <color auto="1"/>
      </bottom>
      <diagonal/>
    </border>
    <border>
      <left style="thin">
        <color theme="0" tint="-0.14999847407452621"/>
      </left>
      <right style="thin">
        <color theme="0" tint="-0.14999847407452621"/>
      </right>
      <top style="thin">
        <color theme="0" tint="-0.14999847407452621"/>
      </top>
      <bottom/>
      <diagonal/>
    </border>
    <border>
      <left style="thin">
        <color theme="2"/>
      </left>
      <right style="thin">
        <color theme="2"/>
      </right>
      <top style="thin">
        <color theme="2"/>
      </top>
      <bottom style="thin">
        <color theme="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thin">
        <color theme="9" tint="-0.499984740745262"/>
      </right>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diagonal/>
    </border>
    <border>
      <left style="thin">
        <color theme="1" tint="0.14999847407452621"/>
      </left>
      <right style="thin">
        <color theme="1" tint="0.14999847407452621"/>
      </right>
      <top/>
      <bottom style="thin">
        <color theme="1" tint="0.14999847407452621"/>
      </bottom>
      <diagonal/>
    </border>
    <border>
      <left style="thin">
        <color theme="9" tint="-0.499984740745262"/>
      </left>
      <right/>
      <top/>
      <bottom/>
      <diagonal/>
    </border>
    <border>
      <left/>
      <right style="thin">
        <color theme="9" tint="-0.499984740745262"/>
      </right>
      <top/>
      <bottom/>
      <diagonal/>
    </border>
    <border>
      <left style="thin">
        <color theme="9" tint="-0.499984740745262"/>
      </left>
      <right/>
      <top style="thin">
        <color theme="9" tint="-0.499984740745262"/>
      </top>
      <bottom/>
      <diagonal/>
    </border>
    <border>
      <left style="thin">
        <color indexed="64"/>
      </left>
      <right style="thin">
        <color indexed="64"/>
      </right>
      <top/>
      <bottom style="thin">
        <color indexed="64"/>
      </bottom>
      <diagonal/>
    </border>
    <border>
      <left style="thin">
        <color theme="1" tint="0.14999847407452621"/>
      </left>
      <right/>
      <top style="thin">
        <color theme="1" tint="0.14999847407452621"/>
      </top>
      <bottom style="thin">
        <color theme="1" tint="0.14999847407452621"/>
      </bottom>
      <diagonal/>
    </border>
    <border>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thin">
        <color indexed="64"/>
      </left>
      <right style="thin">
        <color indexed="64"/>
      </right>
      <top style="thin">
        <color indexed="64"/>
      </top>
      <bottom/>
      <diagonal/>
    </border>
    <border>
      <left/>
      <right/>
      <top style="thin">
        <color theme="9" tint="-0.499984740745262"/>
      </top>
      <bottom/>
      <diagonal/>
    </border>
    <border>
      <left/>
      <right/>
      <top/>
      <bottom style="thin">
        <color indexed="64"/>
      </bottom>
      <diagonal/>
    </border>
    <border>
      <left style="thin">
        <color indexed="64"/>
      </left>
      <right style="thin">
        <color indexed="64"/>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bottom style="thin">
        <color theme="9" tint="-0.249977111117893"/>
      </bottom>
      <diagonal/>
    </border>
    <border>
      <left style="thin">
        <color theme="9" tint="-0.249977111117893"/>
      </left>
      <right style="thin">
        <color theme="9" tint="-0.249977111117893"/>
      </right>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diagonal/>
    </border>
    <border>
      <left style="thin">
        <color theme="9" tint="-0.499984740745262"/>
      </left>
      <right style="thin">
        <color theme="9" tint="-0.499984740745262"/>
      </right>
      <top style="thin">
        <color indexed="64"/>
      </top>
      <bottom style="thin">
        <color indexed="64"/>
      </bottom>
      <diagonal/>
    </border>
    <border>
      <left style="thin">
        <color theme="9" tint="-0.499984740745262"/>
      </left>
      <right style="thin">
        <color theme="9" tint="-0.499984740745262"/>
      </right>
      <top style="thin">
        <color indexed="64"/>
      </top>
      <bottom style="thin">
        <color theme="9" tint="-0.499984740745262"/>
      </bottom>
      <diagonal/>
    </border>
    <border>
      <left style="thin">
        <color theme="9" tint="-0.499984740745262"/>
      </left>
      <right style="thin">
        <color theme="9" tint="-0.499984740745262"/>
      </right>
      <top style="thin">
        <color theme="9" tint="-0.499984740745262"/>
      </top>
      <bottom style="thin">
        <color indexed="64"/>
      </bottom>
      <diagonal/>
    </border>
    <border>
      <left style="thin">
        <color theme="9" tint="-0.249977111117893"/>
      </left>
      <right style="thin">
        <color theme="9" tint="-0.249977111117893"/>
      </right>
      <top style="thin">
        <color indexed="64"/>
      </top>
      <bottom style="thin">
        <color theme="9" tint="-0.249977111117893"/>
      </bottom>
      <diagonal/>
    </border>
    <border>
      <left style="thin">
        <color theme="2"/>
      </left>
      <right style="thin">
        <color theme="2"/>
      </right>
      <top style="thin">
        <color indexed="64"/>
      </top>
      <bottom style="thin">
        <color indexed="64"/>
      </bottom>
      <diagonal/>
    </border>
    <border>
      <left style="thin">
        <color theme="9" tint="-0.249977111117893"/>
      </left>
      <right style="thin">
        <color theme="9" tint="-0.249977111117893"/>
      </right>
      <top style="thin">
        <color indexed="64"/>
      </top>
      <bottom/>
      <diagonal/>
    </border>
    <border>
      <left style="thin">
        <color theme="9" tint="-0.249977111117893"/>
      </left>
      <right/>
      <top style="thin">
        <color indexed="64"/>
      </top>
      <bottom style="thin">
        <color theme="9" tint="-0.249977111117893"/>
      </bottom>
      <diagonal/>
    </border>
    <border>
      <left style="thin">
        <color theme="9" tint="-0.249977111117893"/>
      </left>
      <right/>
      <top style="thin">
        <color indexed="64"/>
      </top>
      <bottom/>
      <diagonal/>
    </border>
    <border>
      <left/>
      <right/>
      <top style="thin">
        <color theme="2" tint="0.79998168889431442"/>
      </top>
      <bottom/>
      <diagonal/>
    </border>
    <border>
      <left/>
      <right style="thin">
        <color theme="2" tint="0.79998168889431442"/>
      </right>
      <top style="thin">
        <color theme="2" tint="0.79998168889431442"/>
      </top>
      <bottom/>
      <diagonal/>
    </border>
    <border>
      <left/>
      <right style="thin">
        <color theme="2" tint="0.79998168889431442"/>
      </right>
      <top/>
      <bottom/>
      <diagonal/>
    </border>
    <border>
      <left/>
      <right/>
      <top/>
      <bottom style="thin">
        <color theme="2" tint="0.79998168889431442"/>
      </bottom>
      <diagonal/>
    </border>
    <border>
      <left/>
      <right style="thin">
        <color theme="2" tint="0.79998168889431442"/>
      </right>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diagonal/>
    </border>
    <border>
      <left style="thin">
        <color theme="2" tint="0.79998168889431442"/>
      </left>
      <right/>
      <top/>
      <bottom/>
      <diagonal/>
    </border>
    <border>
      <left style="thin">
        <color theme="2" tint="0.79998168889431442"/>
      </left>
      <right/>
      <top/>
      <bottom style="thin">
        <color theme="2" tint="0.79998168889431442"/>
      </bottom>
      <diagonal/>
    </border>
    <border>
      <left style="thin">
        <color theme="9" tint="-9.9978637043366805E-2"/>
      </left>
      <right style="thin">
        <color theme="9" tint="-9.9978637043366805E-2"/>
      </right>
      <top style="thin">
        <color theme="9" tint="-9.9978637043366805E-2"/>
      </top>
      <bottom style="thin">
        <color theme="9" tint="-9.9978637043366805E-2"/>
      </bottom>
      <diagonal/>
    </border>
    <border>
      <left style="thin">
        <color theme="9" tint="-0.249977111117893"/>
      </left>
      <right/>
      <top/>
      <bottom style="thin">
        <color theme="9" tint="-0.249977111117893"/>
      </bottom>
      <diagonal/>
    </border>
    <border>
      <left style="thin">
        <color rgb="FFAAAAAA"/>
      </left>
      <right style="thin">
        <color rgb="FFAAAAAA"/>
      </right>
      <top style="thin">
        <color rgb="FFAAAAAA"/>
      </top>
      <bottom style="thin">
        <color rgb="FFAAAAAA"/>
      </bottom>
      <diagonal/>
    </border>
    <border>
      <left style="thin">
        <color rgb="FFAAAAAA"/>
      </left>
      <right style="thin">
        <color rgb="FFAAAAAA"/>
      </right>
      <top/>
      <bottom style="thin">
        <color rgb="FFAAAAAA"/>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77111117893"/>
      </left>
      <right style="thin">
        <color theme="0" tint="-0.249977111117893"/>
      </right>
      <top/>
      <bottom style="thin">
        <color theme="9" tint="-0.249977111117893"/>
      </bottom>
      <diagonal/>
    </border>
    <border>
      <left/>
      <right/>
      <top/>
      <bottom style="thin">
        <color theme="9"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bottom style="thin">
        <color theme="2"/>
      </bottom>
      <diagonal/>
    </border>
  </borders>
  <cellStyleXfs count="7">
    <xf numFmtId="0" fontId="0" fillId="0" borderId="0"/>
    <xf numFmtId="0" fontId="1"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4" fillId="0" borderId="4" applyNumberFormat="0" applyFill="0" applyProtection="0">
      <alignment horizontal="left" vertical="center" wrapText="1"/>
    </xf>
    <xf numFmtId="0" fontId="5" fillId="9" borderId="0" applyNumberFormat="0" applyProtection="0">
      <alignment horizontal="right" wrapText="1"/>
    </xf>
  </cellStyleXfs>
  <cellXfs count="2003">
    <xf numFmtId="0" fontId="0" fillId="0" borderId="0" xfId="0"/>
    <xf numFmtId="0" fontId="0" fillId="2" borderId="0" xfId="0" applyFill="1"/>
    <xf numFmtId="0" fontId="8" fillId="2" borderId="0" xfId="0" applyFont="1" applyFill="1"/>
    <xf numFmtId="0" fontId="13" fillId="2" borderId="0" xfId="0" applyFont="1" applyFill="1"/>
    <xf numFmtId="0" fontId="15" fillId="5" borderId="0" xfId="0" applyFont="1" applyFill="1" applyAlignment="1">
      <alignment vertical="center"/>
    </xf>
    <xf numFmtId="0" fontId="18" fillId="2" borderId="0" xfId="0" applyFont="1" applyFill="1" applyAlignment="1">
      <alignment horizontal="left" vertical="center"/>
    </xf>
    <xf numFmtId="0" fontId="6" fillId="2" borderId="0" xfId="0" applyFont="1" applyFill="1"/>
    <xf numFmtId="0" fontId="8" fillId="0" borderId="0" xfId="0" applyFont="1"/>
    <xf numFmtId="0" fontId="16" fillId="2" borderId="0" xfId="0" applyFont="1" applyFill="1" applyAlignment="1">
      <alignment horizontal="left" vertical="center"/>
    </xf>
    <xf numFmtId="0" fontId="8" fillId="2" borderId="0" xfId="0" applyFont="1" applyFill="1" applyAlignment="1">
      <alignment wrapText="1"/>
    </xf>
    <xf numFmtId="0" fontId="23" fillId="3" borderId="0" xfId="0" applyFont="1" applyFill="1" applyAlignment="1">
      <alignment wrapText="1"/>
    </xf>
    <xf numFmtId="0" fontId="30" fillId="5" borderId="0" xfId="0" applyFont="1" applyFill="1"/>
    <xf numFmtId="0" fontId="33" fillId="2" borderId="0" xfId="0" applyFont="1" applyFill="1" applyAlignment="1">
      <alignment horizontal="left" vertical="center" indent="1"/>
    </xf>
    <xf numFmtId="0" fontId="34" fillId="5" borderId="0" xfId="0" applyFont="1" applyFill="1" applyAlignment="1">
      <alignment vertical="top" wrapText="1"/>
    </xf>
    <xf numFmtId="0" fontId="35" fillId="5" borderId="0" xfId="0" applyFont="1" applyFill="1" applyAlignment="1">
      <alignment vertical="top" wrapText="1"/>
    </xf>
    <xf numFmtId="0" fontId="36" fillId="5" borderId="0" xfId="0" applyFont="1" applyFill="1" applyAlignment="1">
      <alignment vertical="top"/>
    </xf>
    <xf numFmtId="0" fontId="34" fillId="5" borderId="0" xfId="0" applyFont="1" applyFill="1" applyAlignment="1">
      <alignment horizontal="left" vertical="top" wrapText="1"/>
    </xf>
    <xf numFmtId="0" fontId="39" fillId="5" borderId="0" xfId="0" applyFont="1" applyFill="1" applyAlignment="1">
      <alignment vertical="center"/>
    </xf>
    <xf numFmtId="0" fontId="12" fillId="5" borderId="0" xfId="0" applyFont="1" applyFill="1" applyAlignment="1">
      <alignment vertical="center"/>
    </xf>
    <xf numFmtId="0" fontId="22" fillId="0" borderId="0" xfId="0" applyFont="1"/>
    <xf numFmtId="0" fontId="40" fillId="6" borderId="0" xfId="0" applyFont="1" applyFill="1" applyAlignment="1">
      <alignment horizontal="left"/>
    </xf>
    <xf numFmtId="0" fontId="41" fillId="6" borderId="0" xfId="0" applyFont="1" applyFill="1" applyAlignment="1">
      <alignment horizontal="left"/>
    </xf>
    <xf numFmtId="0" fontId="42" fillId="6" borderId="0" xfId="0" applyFont="1" applyFill="1" applyAlignment="1">
      <alignment horizontal="right"/>
    </xf>
    <xf numFmtId="0" fontId="43" fillId="6" borderId="0" xfId="0" applyFont="1" applyFill="1"/>
    <xf numFmtId="0" fontId="44" fillId="7" borderId="0" xfId="0" applyFont="1" applyFill="1"/>
    <xf numFmtId="0" fontId="45" fillId="7" borderId="0" xfId="0" applyFont="1" applyFill="1" applyAlignment="1">
      <alignment horizontal="right"/>
    </xf>
    <xf numFmtId="0" fontId="35" fillId="7" borderId="0" xfId="0" applyFont="1" applyFill="1" applyAlignment="1">
      <alignment horizontal="right"/>
    </xf>
    <xf numFmtId="0" fontId="35" fillId="7" borderId="0" xfId="0" applyFont="1" applyFill="1" applyAlignment="1">
      <alignment vertical="top" wrapText="1"/>
    </xf>
    <xf numFmtId="0" fontId="47" fillId="5" borderId="0" xfId="0" applyFont="1" applyFill="1" applyAlignment="1">
      <alignment horizontal="center" wrapText="1"/>
    </xf>
    <xf numFmtId="164" fontId="47" fillId="5" borderId="0" xfId="3" applyNumberFormat="1" applyFont="1" applyFill="1" applyAlignment="1">
      <alignment horizontal="center" vertical="center" wrapText="1"/>
    </xf>
    <xf numFmtId="0" fontId="35" fillId="2" borderId="0" xfId="0" applyFont="1" applyFill="1"/>
    <xf numFmtId="0" fontId="45" fillId="2" borderId="0" xfId="0" applyFont="1" applyFill="1" applyAlignment="1">
      <alignment horizontal="right"/>
    </xf>
    <xf numFmtId="0" fontId="35" fillId="2" borderId="0" xfId="0" applyFont="1" applyFill="1" applyAlignment="1">
      <alignment horizontal="right"/>
    </xf>
    <xf numFmtId="0" fontId="35" fillId="5" borderId="0" xfId="0" applyFont="1" applyFill="1" applyAlignment="1">
      <alignment horizontal="right"/>
    </xf>
    <xf numFmtId="164" fontId="35" fillId="5" borderId="0" xfId="3" applyNumberFormat="1" applyFont="1" applyFill="1" applyAlignment="1">
      <alignment horizontal="center" vertical="center" wrapText="1"/>
    </xf>
    <xf numFmtId="0" fontId="38" fillId="5" borderId="0" xfId="0" applyFont="1" applyFill="1" applyAlignment="1">
      <alignment horizontal="center" wrapText="1"/>
    </xf>
    <xf numFmtId="0" fontId="35" fillId="5" borderId="0" xfId="0" applyFont="1" applyFill="1" applyAlignment="1">
      <alignment horizontal="left"/>
    </xf>
    <xf numFmtId="0" fontId="38" fillId="5" borderId="0" xfId="0" applyFont="1" applyFill="1" applyAlignment="1">
      <alignment horizontal="right"/>
    </xf>
    <xf numFmtId="0" fontId="49" fillId="5" borderId="0" xfId="0" applyFont="1" applyFill="1" applyAlignment="1">
      <alignment horizontal="right"/>
    </xf>
    <xf numFmtId="0" fontId="27" fillId="2" borderId="0" xfId="0" applyFont="1" applyFill="1" applyAlignment="1">
      <alignment horizontal="left" vertical="center" indent="1"/>
    </xf>
    <xf numFmtId="0" fontId="45" fillId="5" borderId="0" xfId="0" applyFont="1" applyFill="1" applyAlignment="1">
      <alignment horizontal="right"/>
    </xf>
    <xf numFmtId="0" fontId="50" fillId="6" borderId="0" xfId="0" applyFont="1" applyFill="1" applyAlignment="1">
      <alignment horizontal="left"/>
    </xf>
    <xf numFmtId="0" fontId="8" fillId="2" borderId="1" xfId="0" applyFont="1" applyFill="1" applyBorder="1"/>
    <xf numFmtId="0" fontId="7" fillId="2" borderId="1" xfId="0" applyFont="1" applyFill="1" applyBorder="1"/>
    <xf numFmtId="0" fontId="10" fillId="2" borderId="1" xfId="2" applyNumberFormat="1" applyFont="1" applyFill="1" applyBorder="1" applyAlignment="1">
      <alignment horizontal="right"/>
    </xf>
    <xf numFmtId="0" fontId="10" fillId="2" borderId="1" xfId="0" applyFont="1" applyFill="1" applyBorder="1" applyAlignment="1">
      <alignment horizontal="right"/>
    </xf>
    <xf numFmtId="164" fontId="8" fillId="2" borderId="0" xfId="3" applyNumberFormat="1" applyFont="1" applyFill="1"/>
    <xf numFmtId="0" fontId="52" fillId="2" borderId="0" xfId="0" applyFont="1" applyFill="1"/>
    <xf numFmtId="0" fontId="10" fillId="2" borderId="0" xfId="0" applyFont="1" applyFill="1"/>
    <xf numFmtId="171" fontId="8" fillId="2" borderId="0" xfId="0" applyNumberFormat="1" applyFont="1" applyFill="1"/>
    <xf numFmtId="0" fontId="54" fillId="2" borderId="0" xfId="0" applyFont="1" applyFill="1"/>
    <xf numFmtId="168" fontId="10" fillId="2" borderId="0" xfId="2" applyNumberFormat="1" applyFont="1" applyFill="1" applyAlignment="1">
      <alignment horizontal="right"/>
    </xf>
    <xf numFmtId="0" fontId="7" fillId="2" borderId="0" xfId="0" applyFont="1" applyFill="1"/>
    <xf numFmtId="164" fontId="47" fillId="5" borderId="0" xfId="0" applyNumberFormat="1" applyFont="1" applyFill="1" applyAlignment="1">
      <alignment horizontal="center" vertical="center" wrapText="1"/>
    </xf>
    <xf numFmtId="166" fontId="10" fillId="2" borderId="0" xfId="2" applyNumberFormat="1" applyFont="1" applyFill="1" applyBorder="1" applyAlignment="1">
      <alignment horizontal="right"/>
    </xf>
    <xf numFmtId="166" fontId="7" fillId="2" borderId="0" xfId="2" applyNumberFormat="1" applyFont="1" applyFill="1" applyBorder="1" applyAlignment="1">
      <alignment horizontal="right"/>
    </xf>
    <xf numFmtId="164" fontId="8" fillId="2" borderId="0" xfId="3" applyNumberFormat="1" applyFont="1" applyFill="1" applyBorder="1"/>
    <xf numFmtId="168" fontId="10" fillId="2" borderId="0" xfId="2" applyNumberFormat="1" applyFont="1" applyFill="1" applyBorder="1" applyAlignment="1">
      <alignment horizontal="right"/>
    </xf>
    <xf numFmtId="0" fontId="8" fillId="2" borderId="0" xfId="0" applyFont="1" applyFill="1" applyAlignment="1">
      <alignment vertical="center"/>
    </xf>
    <xf numFmtId="0" fontId="7" fillId="2" borderId="0" xfId="0" applyFont="1" applyFill="1" applyAlignment="1">
      <alignment vertical="center"/>
    </xf>
    <xf numFmtId="0" fontId="60" fillId="2" borderId="0" xfId="0" applyFont="1" applyFill="1"/>
    <xf numFmtId="0" fontId="8" fillId="2" borderId="0" xfId="0" applyFont="1" applyFill="1" applyAlignment="1">
      <alignment horizontal="left" vertical="center" wrapText="1"/>
    </xf>
    <xf numFmtId="0" fontId="61" fillId="5" borderId="0" xfId="0" applyFont="1" applyFill="1"/>
    <xf numFmtId="0" fontId="6" fillId="2" borderId="0" xfId="0" applyFont="1" applyFill="1" applyAlignment="1">
      <alignment wrapText="1"/>
    </xf>
    <xf numFmtId="0" fontId="13" fillId="2" borderId="0" xfId="0" applyFont="1" applyFill="1" applyAlignment="1">
      <alignment vertical="center" wrapText="1"/>
    </xf>
    <xf numFmtId="0" fontId="32" fillId="2" borderId="0" xfId="0" applyFont="1" applyFill="1" applyAlignment="1">
      <alignment vertical="center" wrapText="1"/>
    </xf>
    <xf numFmtId="1" fontId="47" fillId="5" borderId="0" xfId="3" applyNumberFormat="1" applyFont="1" applyFill="1" applyAlignment="1">
      <alignment horizontal="center" vertical="center" wrapText="1"/>
    </xf>
    <xf numFmtId="9" fontId="47" fillId="5" borderId="0" xfId="3" applyFont="1" applyFill="1" applyAlignment="1">
      <alignment horizontal="center" vertical="center" wrapText="1"/>
    </xf>
    <xf numFmtId="9" fontId="35" fillId="5" borderId="0" xfId="3" applyFont="1" applyFill="1" applyAlignment="1">
      <alignment horizontal="right"/>
    </xf>
    <xf numFmtId="9" fontId="49" fillId="5" borderId="0" xfId="3" applyFont="1" applyFill="1" applyAlignment="1">
      <alignment horizontal="right"/>
    </xf>
    <xf numFmtId="9" fontId="8" fillId="2" borderId="0" xfId="3" applyFont="1" applyFill="1" applyAlignment="1">
      <alignment horizontal="left" vertical="center" wrapText="1"/>
    </xf>
    <xf numFmtId="0" fontId="21" fillId="2" borderId="0" xfId="0" applyFont="1" applyFill="1"/>
    <xf numFmtId="0" fontId="21" fillId="2" borderId="0" xfId="0" applyFont="1" applyFill="1" applyAlignment="1">
      <alignment horizontal="left" vertical="center" wrapText="1"/>
    </xf>
    <xf numFmtId="0" fontId="8" fillId="17" borderId="0" xfId="0" applyFont="1" applyFill="1"/>
    <xf numFmtId="0" fontId="58" fillId="18" borderId="2" xfId="0" applyFont="1" applyFill="1" applyBorder="1" applyAlignment="1">
      <alignment vertical="center"/>
    </xf>
    <xf numFmtId="0" fontId="58" fillId="18" borderId="2" xfId="0" applyFont="1" applyFill="1" applyBorder="1" applyAlignment="1">
      <alignment horizontal="center" vertical="center"/>
    </xf>
    <xf numFmtId="0" fontId="62" fillId="18" borderId="2" xfId="0" applyFont="1" applyFill="1" applyBorder="1" applyAlignment="1">
      <alignment horizontal="center" vertical="center" wrapText="1"/>
    </xf>
    <xf numFmtId="0" fontId="8" fillId="18" borderId="0" xfId="0" applyFont="1" applyFill="1" applyAlignment="1">
      <alignment wrapText="1"/>
    </xf>
    <xf numFmtId="0" fontId="58" fillId="18" borderId="0" xfId="0" applyFont="1" applyFill="1" applyAlignment="1">
      <alignment vertical="center" wrapText="1"/>
    </xf>
    <xf numFmtId="0" fontId="8" fillId="18" borderId="0" xfId="0" applyFont="1" applyFill="1" applyAlignment="1">
      <alignment horizontal="left" vertical="center" wrapText="1"/>
    </xf>
    <xf numFmtId="0" fontId="8" fillId="18" borderId="0" xfId="0" applyFont="1" applyFill="1"/>
    <xf numFmtId="0" fontId="10" fillId="18" borderId="5" xfId="0" applyFont="1" applyFill="1" applyBorder="1" applyAlignment="1">
      <alignment vertical="center"/>
    </xf>
    <xf numFmtId="0" fontId="58" fillId="18" borderId="2" xfId="0" applyFont="1" applyFill="1" applyBorder="1" applyAlignment="1">
      <alignment horizontal="center" vertical="center" wrapText="1"/>
    </xf>
    <xf numFmtId="0" fontId="8" fillId="18" borderId="2" xfId="0" applyFont="1" applyFill="1" applyBorder="1" applyAlignment="1">
      <alignment horizontal="left" indent="2"/>
    </xf>
    <xf numFmtId="0" fontId="8" fillId="18" borderId="2" xfId="0" applyFont="1" applyFill="1" applyBorder="1" applyAlignment="1">
      <alignment horizontal="center" vertical="center" wrapText="1"/>
    </xf>
    <xf numFmtId="0" fontId="8" fillId="18" borderId="2" xfId="0" applyFont="1" applyFill="1" applyBorder="1" applyAlignment="1">
      <alignment horizontal="left" wrapText="1" indent="2"/>
    </xf>
    <xf numFmtId="0" fontId="10" fillId="18" borderId="2" xfId="0" applyFont="1" applyFill="1" applyBorder="1" applyAlignment="1">
      <alignment vertical="center"/>
    </xf>
    <xf numFmtId="0" fontId="21" fillId="18" borderId="2" xfId="0" applyFont="1" applyFill="1" applyBorder="1" applyAlignment="1">
      <alignment wrapText="1"/>
    </xf>
    <xf numFmtId="166" fontId="8" fillId="2" borderId="0" xfId="0" applyNumberFormat="1" applyFont="1" applyFill="1"/>
    <xf numFmtId="9" fontId="8" fillId="2" borderId="0" xfId="3" applyFont="1" applyFill="1" applyAlignment="1">
      <alignment vertical="center"/>
    </xf>
    <xf numFmtId="0" fontId="8" fillId="2" borderId="0" xfId="0" applyFont="1" applyFill="1" applyAlignment="1">
      <alignment vertical="center" wrapText="1"/>
    </xf>
    <xf numFmtId="0" fontId="25" fillId="2" borderId="0" xfId="0" applyFont="1" applyFill="1" applyAlignment="1">
      <alignment horizontal="left" vertical="center" wrapText="1"/>
    </xf>
    <xf numFmtId="9" fontId="25" fillId="2" borderId="0" xfId="0" applyNumberFormat="1" applyFont="1" applyFill="1" applyAlignment="1">
      <alignment horizontal="left" vertical="center" wrapText="1"/>
    </xf>
    <xf numFmtId="9" fontId="25" fillId="2" borderId="0" xfId="0" applyNumberFormat="1" applyFont="1" applyFill="1" applyAlignment="1">
      <alignment vertical="center" wrapText="1"/>
    </xf>
    <xf numFmtId="0" fontId="25" fillId="2" borderId="0" xfId="0" applyFont="1" applyFill="1" applyAlignment="1">
      <alignment vertical="center" wrapText="1"/>
    </xf>
    <xf numFmtId="0" fontId="6" fillId="2" borderId="0" xfId="0" applyFont="1" applyFill="1" applyAlignment="1">
      <alignment vertical="center" wrapText="1"/>
    </xf>
    <xf numFmtId="0" fontId="39" fillId="5" borderId="0" xfId="0" applyFont="1" applyFill="1" applyAlignment="1">
      <alignment vertical="center" wrapText="1"/>
    </xf>
    <xf numFmtId="0" fontId="27" fillId="2" borderId="0" xfId="0" applyFont="1" applyFill="1" applyAlignment="1">
      <alignment horizontal="left" vertical="center" wrapText="1"/>
    </xf>
    <xf numFmtId="0" fontId="34" fillId="5" borderId="0" xfId="0" applyFont="1" applyFill="1" applyAlignment="1">
      <alignment vertical="center" wrapText="1"/>
    </xf>
    <xf numFmtId="0" fontId="35" fillId="5" borderId="0" xfId="0" applyFont="1" applyFill="1" applyAlignment="1">
      <alignment vertical="center" wrapText="1"/>
    </xf>
    <xf numFmtId="0" fontId="36" fillId="5" borderId="0" xfId="0" applyFont="1" applyFill="1" applyAlignment="1">
      <alignment vertical="center"/>
    </xf>
    <xf numFmtId="0" fontId="36" fillId="5" borderId="0" xfId="0" applyFont="1" applyFill="1" applyAlignment="1">
      <alignment vertical="center" wrapText="1"/>
    </xf>
    <xf numFmtId="0" fontId="34" fillId="5" borderId="0" xfId="0" applyFont="1" applyFill="1" applyAlignment="1">
      <alignment horizontal="left" vertical="center" wrapText="1"/>
    </xf>
    <xf numFmtId="0" fontId="22" fillId="0" borderId="0" xfId="0" applyFont="1" applyAlignment="1">
      <alignment vertical="center"/>
    </xf>
    <xf numFmtId="0" fontId="40" fillId="6" borderId="0" xfId="0" applyFont="1" applyFill="1" applyAlignment="1">
      <alignment horizontal="left" vertical="center"/>
    </xf>
    <xf numFmtId="0" fontId="41" fillId="6" borderId="0" xfId="0" applyFont="1" applyFill="1" applyAlignment="1">
      <alignment horizontal="left" vertical="center" wrapText="1"/>
    </xf>
    <xf numFmtId="0" fontId="42" fillId="6" borderId="0" xfId="0" applyFont="1" applyFill="1" applyAlignment="1">
      <alignment horizontal="right" vertical="center"/>
    </xf>
    <xf numFmtId="0" fontId="43" fillId="6" borderId="0" xfId="0" applyFont="1" applyFill="1" applyAlignment="1">
      <alignment vertical="center"/>
    </xf>
    <xf numFmtId="0" fontId="44" fillId="7" borderId="0" xfId="0" applyFont="1" applyFill="1" applyAlignment="1">
      <alignment vertical="center" wrapText="1"/>
    </xf>
    <xf numFmtId="0" fontId="45" fillId="7" borderId="0" xfId="0" applyFont="1" applyFill="1" applyAlignment="1">
      <alignment horizontal="right" vertical="center"/>
    </xf>
    <xf numFmtId="0" fontId="35" fillId="7" borderId="0" xfId="0" applyFont="1" applyFill="1" applyAlignment="1">
      <alignment horizontal="right" vertical="center"/>
    </xf>
    <xf numFmtId="0" fontId="35" fillId="7" borderId="0" xfId="0" applyFont="1" applyFill="1" applyAlignment="1">
      <alignment vertical="center" wrapText="1"/>
    </xf>
    <xf numFmtId="0" fontId="35" fillId="2" borderId="0" xfId="0" applyFont="1" applyFill="1" applyAlignment="1">
      <alignment vertical="center"/>
    </xf>
    <xf numFmtId="0" fontId="35" fillId="2" borderId="0" xfId="0" applyFont="1" applyFill="1" applyAlignment="1">
      <alignment vertical="center" wrapText="1"/>
    </xf>
    <xf numFmtId="0" fontId="45" fillId="2" borderId="0" xfId="0" applyFont="1" applyFill="1" applyAlignment="1">
      <alignment horizontal="right" vertical="center"/>
    </xf>
    <xf numFmtId="0" fontId="35" fillId="5" borderId="0" xfId="0" applyFont="1" applyFill="1" applyAlignment="1">
      <alignment horizontal="right" vertical="center"/>
    </xf>
    <xf numFmtId="0" fontId="74" fillId="5" borderId="0" xfId="0" applyFont="1" applyFill="1" applyAlignment="1">
      <alignment vertical="center"/>
    </xf>
    <xf numFmtId="0" fontId="30" fillId="5" borderId="0" xfId="0" applyFont="1" applyFill="1" applyAlignment="1">
      <alignment vertical="center" wrapText="1"/>
    </xf>
    <xf numFmtId="0" fontId="30" fillId="5" borderId="0" xfId="0" applyFont="1" applyFill="1" applyAlignment="1">
      <alignment vertical="center"/>
    </xf>
    <xf numFmtId="0" fontId="49" fillId="5" borderId="0" xfId="0" applyFont="1" applyFill="1" applyAlignment="1">
      <alignment horizontal="right" vertical="center"/>
    </xf>
    <xf numFmtId="0" fontId="45" fillId="5" borderId="0" xfId="0" applyFont="1" applyFill="1" applyAlignment="1">
      <alignment horizontal="right" vertical="center"/>
    </xf>
    <xf numFmtId="0" fontId="50" fillId="6" borderId="0" xfId="0" applyFont="1" applyFill="1" applyAlignment="1">
      <alignment horizontal="left" vertical="center"/>
    </xf>
    <xf numFmtId="0" fontId="43" fillId="7" borderId="0" xfId="0" applyFont="1" applyFill="1" applyAlignment="1">
      <alignment vertical="center"/>
    </xf>
    <xf numFmtId="0" fontId="8" fillId="2" borderId="1" xfId="0" applyFont="1" applyFill="1" applyBorder="1" applyAlignment="1">
      <alignment vertical="center"/>
    </xf>
    <xf numFmtId="0" fontId="7" fillId="2" borderId="1" xfId="0" applyFont="1" applyFill="1" applyBorder="1" applyAlignment="1">
      <alignment vertical="center" wrapText="1"/>
    </xf>
    <xf numFmtId="0" fontId="10" fillId="2" borderId="1" xfId="2" applyNumberFormat="1" applyFont="1" applyFill="1" applyBorder="1" applyAlignment="1">
      <alignment horizontal="right" vertical="center"/>
    </xf>
    <xf numFmtId="0" fontId="10" fillId="2" borderId="1" xfId="0" applyFont="1" applyFill="1" applyBorder="1" applyAlignment="1">
      <alignment horizontal="right" vertical="center"/>
    </xf>
    <xf numFmtId="166" fontId="8" fillId="2" borderId="0" xfId="0" applyNumberFormat="1" applyFont="1" applyFill="1" applyAlignment="1">
      <alignment vertical="center"/>
    </xf>
    <xf numFmtId="0" fontId="21" fillId="2" borderId="0" xfId="0" applyFont="1" applyFill="1" applyAlignment="1">
      <alignment vertical="center"/>
    </xf>
    <xf numFmtId="0" fontId="21" fillId="2" borderId="0" xfId="0" applyFont="1" applyFill="1" applyAlignment="1">
      <alignment vertical="center" wrapText="1"/>
    </xf>
    <xf numFmtId="166" fontId="21" fillId="2" borderId="0" xfId="2" applyNumberFormat="1" applyFont="1" applyFill="1" applyBorder="1" applyAlignment="1">
      <alignment horizontal="right" vertical="center"/>
    </xf>
    <xf numFmtId="166" fontId="8" fillId="2" borderId="0" xfId="2" applyNumberFormat="1" applyFont="1" applyFill="1" applyBorder="1" applyAlignment="1">
      <alignment horizontal="right" vertical="center"/>
    </xf>
    <xf numFmtId="164" fontId="8" fillId="2" borderId="0" xfId="3" applyNumberFormat="1" applyFont="1" applyFill="1" applyBorder="1" applyAlignment="1">
      <alignment vertical="center"/>
    </xf>
    <xf numFmtId="164" fontId="8" fillId="2" borderId="0" xfId="3" applyNumberFormat="1" applyFont="1" applyFill="1" applyAlignment="1">
      <alignment vertical="center"/>
    </xf>
    <xf numFmtId="0" fontId="52" fillId="2" borderId="0" xfId="0" applyFont="1" applyFill="1" applyAlignment="1">
      <alignment vertical="center"/>
    </xf>
    <xf numFmtId="0" fontId="10" fillId="2" borderId="0" xfId="0" applyFont="1" applyFill="1" applyAlignment="1">
      <alignment vertical="center" wrapText="1"/>
    </xf>
    <xf numFmtId="166" fontId="10" fillId="2" borderId="0" xfId="2" applyNumberFormat="1" applyFont="1" applyFill="1" applyAlignment="1">
      <alignment horizontal="right" vertical="center"/>
    </xf>
    <xf numFmtId="166" fontId="7" fillId="2" borderId="0" xfId="2" applyNumberFormat="1" applyFont="1" applyFill="1" applyAlignment="1">
      <alignment horizontal="right" vertical="center"/>
    </xf>
    <xf numFmtId="0" fontId="54" fillId="2" borderId="0" xfId="0" applyFont="1" applyFill="1" applyAlignment="1">
      <alignment vertical="center" wrapText="1"/>
    </xf>
    <xf numFmtId="0" fontId="54" fillId="2" borderId="0" xfId="0" applyFont="1" applyFill="1" applyAlignment="1">
      <alignment vertical="center"/>
    </xf>
    <xf numFmtId="168" fontId="10" fillId="2" borderId="0" xfId="2" applyNumberFormat="1" applyFont="1" applyFill="1" applyAlignment="1">
      <alignment horizontal="right" vertical="center"/>
    </xf>
    <xf numFmtId="0" fontId="7" fillId="2" borderId="0" xfId="0" applyFont="1" applyFill="1" applyAlignment="1">
      <alignment vertical="center" wrapText="1"/>
    </xf>
    <xf numFmtId="9" fontId="10" fillId="2" borderId="0" xfId="3" applyFont="1" applyFill="1" applyAlignment="1">
      <alignment horizontal="left" vertical="center"/>
    </xf>
    <xf numFmtId="9" fontId="7" fillId="2" borderId="0" xfId="3" applyFont="1" applyFill="1" applyAlignment="1">
      <alignment vertical="center"/>
    </xf>
    <xf numFmtId="0" fontId="67" fillId="5" borderId="0" xfId="0" applyFont="1" applyFill="1" applyAlignment="1">
      <alignment vertical="center"/>
    </xf>
    <xf numFmtId="0" fontId="76" fillId="5" borderId="0" xfId="0" applyFont="1" applyFill="1" applyAlignment="1">
      <alignment vertical="center"/>
    </xf>
    <xf numFmtId="0" fontId="0" fillId="0" borderId="7" xfId="0" applyBorder="1" applyAlignment="1">
      <alignment vertical="center"/>
    </xf>
    <xf numFmtId="0" fontId="7" fillId="5" borderId="7" xfId="0" applyFont="1" applyFill="1" applyBorder="1" applyAlignment="1">
      <alignment vertical="center" wrapText="1"/>
    </xf>
    <xf numFmtId="3" fontId="7" fillId="5" borderId="7" xfId="0" applyNumberFormat="1" applyFont="1" applyFill="1" applyBorder="1" applyAlignment="1">
      <alignment horizontal="right" vertical="center"/>
    </xf>
    <xf numFmtId="0" fontId="75" fillId="0" borderId="7" xfId="0" applyFont="1" applyBorder="1" applyAlignment="1">
      <alignment vertical="center"/>
    </xf>
    <xf numFmtId="0" fontId="10" fillId="5" borderId="7" xfId="0" applyFont="1" applyFill="1" applyBorder="1" applyAlignment="1">
      <alignment vertical="center" wrapText="1"/>
    </xf>
    <xf numFmtId="0" fontId="46" fillId="22" borderId="7" xfId="0" applyFont="1" applyFill="1" applyBorder="1" applyAlignment="1">
      <alignment horizontal="left" vertical="center" wrapText="1"/>
    </xf>
    <xf numFmtId="0" fontId="22" fillId="0" borderId="7" xfId="0" applyFont="1" applyBorder="1" applyAlignment="1">
      <alignment horizontal="left" vertical="center" wrapText="1"/>
    </xf>
    <xf numFmtId="0" fontId="22" fillId="0" borderId="7" xfId="0" applyFont="1" applyBorder="1" applyAlignment="1">
      <alignment vertical="center" wrapText="1"/>
    </xf>
    <xf numFmtId="3" fontId="22" fillId="2" borderId="7" xfId="0" applyNumberFormat="1" applyFont="1" applyFill="1" applyBorder="1" applyAlignment="1">
      <alignment horizontal="right" vertical="center" wrapText="1"/>
    </xf>
    <xf numFmtId="0" fontId="29" fillId="0" borderId="7" xfId="0" applyFont="1" applyBorder="1" applyAlignment="1">
      <alignment vertical="center" wrapText="1"/>
    </xf>
    <xf numFmtId="3" fontId="29" fillId="2" borderId="7" xfId="0" applyNumberFormat="1" applyFont="1" applyFill="1" applyBorder="1" applyAlignment="1">
      <alignment horizontal="right" vertical="center" wrapText="1"/>
    </xf>
    <xf numFmtId="0" fontId="7" fillId="21" borderId="7" xfId="0" applyFont="1" applyFill="1" applyBorder="1" applyAlignment="1">
      <alignment vertical="center" wrapText="1"/>
    </xf>
    <xf numFmtId="0" fontId="7" fillId="0" borderId="7" xfId="0" applyFont="1" applyBorder="1" applyAlignment="1">
      <alignment horizontal="left" vertical="center" wrapText="1"/>
    </xf>
    <xf numFmtId="0" fontId="7" fillId="0" borderId="7" xfId="0" applyFont="1" applyBorder="1" applyAlignment="1">
      <alignment vertical="center" wrapText="1"/>
    </xf>
    <xf numFmtId="3" fontId="7" fillId="0" borderId="7" xfId="0" applyNumberFormat="1" applyFont="1" applyBorder="1" applyAlignment="1">
      <alignment vertical="center" wrapText="1"/>
    </xf>
    <xf numFmtId="0" fontId="21" fillId="4" borderId="7" xfId="0" applyFont="1" applyFill="1" applyBorder="1" applyAlignment="1">
      <alignment vertical="center"/>
    </xf>
    <xf numFmtId="0" fontId="21" fillId="4" borderId="7" xfId="0" applyFont="1" applyFill="1" applyBorder="1" applyAlignment="1">
      <alignment vertical="center" wrapText="1"/>
    </xf>
    <xf numFmtId="166" fontId="21" fillId="4" borderId="7" xfId="2" applyNumberFormat="1" applyFont="1" applyFill="1" applyBorder="1" applyAlignment="1">
      <alignment horizontal="right" vertical="center"/>
    </xf>
    <xf numFmtId="0" fontId="8" fillId="0" borderId="7" xfId="0" applyFont="1" applyBorder="1" applyAlignment="1">
      <alignment horizontal="left" vertical="center"/>
    </xf>
    <xf numFmtId="0" fontId="8" fillId="0" borderId="7" xfId="0" applyFont="1" applyBorder="1" applyAlignment="1">
      <alignment horizontal="left" vertical="center" wrapText="1"/>
    </xf>
    <xf numFmtId="0" fontId="8" fillId="2" borderId="7" xfId="0" applyFont="1" applyFill="1" applyBorder="1" applyAlignment="1">
      <alignment vertical="center"/>
    </xf>
    <xf numFmtId="3" fontId="10" fillId="0" borderId="7" xfId="0" applyNumberFormat="1" applyFont="1" applyBorder="1" applyAlignment="1">
      <alignment vertical="center"/>
    </xf>
    <xf numFmtId="166" fontId="10" fillId="2" borderId="7" xfId="2" applyNumberFormat="1" applyFont="1" applyFill="1" applyBorder="1" applyAlignment="1">
      <alignment horizontal="right" vertical="center"/>
    </xf>
    <xf numFmtId="3" fontId="21" fillId="0" borderId="7" xfId="0" applyNumberFormat="1" applyFont="1" applyBorder="1" applyAlignment="1">
      <alignment vertical="center"/>
    </xf>
    <xf numFmtId="167" fontId="8" fillId="2" borderId="7" xfId="2" applyNumberFormat="1" applyFont="1" applyFill="1" applyBorder="1" applyAlignment="1">
      <alignment horizontal="right" vertical="center"/>
    </xf>
    <xf numFmtId="166" fontId="8" fillId="2" borderId="7" xfId="2" applyNumberFormat="1" applyFont="1" applyFill="1" applyBorder="1" applyAlignment="1">
      <alignment horizontal="right" vertical="center"/>
    </xf>
    <xf numFmtId="0" fontId="21" fillId="0" borderId="7" xfId="0" applyFont="1" applyBorder="1" applyAlignment="1">
      <alignment vertical="center"/>
    </xf>
    <xf numFmtId="0" fontId="21" fillId="0" borderId="7" xfId="0" applyFont="1" applyBorder="1" applyAlignment="1">
      <alignment horizontal="left" vertical="center" wrapText="1"/>
    </xf>
    <xf numFmtId="0" fontId="21" fillId="2" borderId="7" xfId="0" applyFont="1" applyFill="1" applyBorder="1" applyAlignment="1">
      <alignment vertical="center"/>
    </xf>
    <xf numFmtId="166" fontId="21" fillId="2" borderId="7" xfId="2" applyNumberFormat="1" applyFont="1" applyFill="1" applyBorder="1" applyAlignment="1">
      <alignment horizontal="right" vertical="center"/>
    </xf>
    <xf numFmtId="166" fontId="10" fillId="0" borderId="7" xfId="2" applyNumberFormat="1" applyFont="1" applyBorder="1" applyAlignment="1">
      <alignment horizontal="right" vertical="center"/>
    </xf>
    <xf numFmtId="166" fontId="21" fillId="0" borderId="7" xfId="2" applyNumberFormat="1" applyFont="1" applyBorder="1" applyAlignment="1">
      <alignment horizontal="right" vertical="center"/>
    </xf>
    <xf numFmtId="0" fontId="21" fillId="0" borderId="7" xfId="0" applyFont="1" applyBorder="1" applyAlignment="1">
      <alignment vertical="center" wrapText="1"/>
    </xf>
    <xf numFmtId="9" fontId="21" fillId="4" borderId="7" xfId="3" applyFont="1" applyFill="1" applyBorder="1" applyAlignment="1">
      <alignment horizontal="right" vertical="center"/>
    </xf>
    <xf numFmtId="0" fontId="29" fillId="2" borderId="7" xfId="0" applyFont="1" applyFill="1" applyBorder="1" applyAlignment="1">
      <alignment vertical="center"/>
    </xf>
    <xf numFmtId="0" fontId="29" fillId="2" borderId="7" xfId="0" applyFont="1" applyFill="1" applyBorder="1" applyAlignment="1">
      <alignment vertical="center" wrapText="1"/>
    </xf>
    <xf numFmtId="0" fontId="29" fillId="0" borderId="7" xfId="0" applyFont="1" applyBorder="1" applyAlignment="1">
      <alignment vertical="center"/>
    </xf>
    <xf numFmtId="9" fontId="21" fillId="0" borderId="7" xfId="3" applyFont="1" applyBorder="1" applyAlignment="1">
      <alignment vertical="center"/>
    </xf>
    <xf numFmtId="0" fontId="71" fillId="4" borderId="7" xfId="0" applyFont="1" applyFill="1" applyBorder="1" applyAlignment="1">
      <alignment vertical="center"/>
    </xf>
    <xf numFmtId="0" fontId="8" fillId="0" borderId="7" xfId="0" applyFont="1" applyBorder="1" applyAlignment="1">
      <alignment vertical="center" wrapText="1"/>
    </xf>
    <xf numFmtId="0" fontId="7" fillId="0" borderId="7" xfId="0" applyFont="1" applyBorder="1" applyAlignment="1">
      <alignment vertical="center"/>
    </xf>
    <xf numFmtId="3" fontId="8" fillId="0" borderId="7" xfId="0" applyNumberFormat="1" applyFont="1" applyBorder="1" applyAlignment="1">
      <alignment horizontal="right" vertical="center" wrapText="1"/>
    </xf>
    <xf numFmtId="166" fontId="7" fillId="0" borderId="7" xfId="2" applyNumberFormat="1" applyFont="1" applyBorder="1" applyAlignment="1">
      <alignment horizontal="right" vertical="center"/>
    </xf>
    <xf numFmtId="3" fontId="7" fillId="0" borderId="7" xfId="0" applyNumberFormat="1" applyFont="1" applyBorder="1" applyAlignment="1">
      <alignment horizontal="right" vertical="center" wrapText="1"/>
    </xf>
    <xf numFmtId="0" fontId="52" fillId="0" borderId="7" xfId="0" applyFont="1" applyBorder="1" applyAlignment="1">
      <alignment vertical="center"/>
    </xf>
    <xf numFmtId="0" fontId="10" fillId="0" borderId="7" xfId="0" applyFont="1" applyBorder="1" applyAlignment="1">
      <alignment vertical="center"/>
    </xf>
    <xf numFmtId="3" fontId="21" fillId="0" borderId="7" xfId="0" applyNumberFormat="1" applyFont="1" applyBorder="1" applyAlignment="1">
      <alignment horizontal="right" vertical="center" wrapText="1"/>
    </xf>
    <xf numFmtId="0" fontId="52" fillId="0" borderId="7" xfId="0" applyFont="1" applyBorder="1" applyAlignment="1">
      <alignment vertical="center" wrapText="1"/>
    </xf>
    <xf numFmtId="0" fontId="8" fillId="0" borderId="7" xfId="0" applyFont="1" applyBorder="1" applyAlignment="1">
      <alignment vertical="center"/>
    </xf>
    <xf numFmtId="166" fontId="22" fillId="0" borderId="7" xfId="2" applyNumberFormat="1" applyFont="1" applyBorder="1" applyAlignment="1">
      <alignment horizontal="right" vertical="center"/>
    </xf>
    <xf numFmtId="164" fontId="7" fillId="0" borderId="7" xfId="2" applyNumberFormat="1" applyFont="1" applyBorder="1" applyAlignment="1">
      <alignment horizontal="right" vertical="center"/>
    </xf>
    <xf numFmtId="0" fontId="7" fillId="2" borderId="7" xfId="0" applyFont="1" applyFill="1" applyBorder="1" applyAlignment="1">
      <alignment vertical="center"/>
    </xf>
    <xf numFmtId="0" fontId="70" fillId="0" borderId="7" xfId="0" applyFont="1" applyBorder="1" applyAlignment="1">
      <alignment vertical="center"/>
    </xf>
    <xf numFmtId="0" fontId="8" fillId="2" borderId="7" xfId="0" applyFont="1" applyFill="1" applyBorder="1" applyAlignment="1">
      <alignment vertical="center" wrapText="1"/>
    </xf>
    <xf numFmtId="166" fontId="7" fillId="0" borderId="7" xfId="2" applyNumberFormat="1" applyFont="1" applyFill="1" applyBorder="1" applyAlignment="1">
      <alignment horizontal="right" vertical="center"/>
    </xf>
    <xf numFmtId="1" fontId="22" fillId="0" borderId="7" xfId="2" applyNumberFormat="1" applyFont="1" applyFill="1" applyBorder="1" applyAlignment="1">
      <alignment horizontal="right" vertical="center"/>
    </xf>
    <xf numFmtId="0" fontId="77" fillId="0" borderId="7" xfId="0" applyFont="1" applyBorder="1" applyAlignment="1">
      <alignment vertical="center"/>
    </xf>
    <xf numFmtId="166" fontId="10" fillId="0" borderId="7" xfId="2" applyNumberFormat="1" applyFont="1" applyFill="1" applyBorder="1" applyAlignment="1">
      <alignment horizontal="right" vertical="center"/>
    </xf>
    <xf numFmtId="170" fontId="7" fillId="0" borderId="7" xfId="0" applyNumberFormat="1" applyFont="1" applyBorder="1" applyAlignment="1">
      <alignment vertical="center"/>
    </xf>
    <xf numFmtId="1" fontId="7" fillId="0" borderId="7" xfId="2" applyNumberFormat="1" applyFont="1" applyFill="1" applyBorder="1" applyAlignment="1">
      <alignment horizontal="right" vertical="center"/>
    </xf>
    <xf numFmtId="0" fontId="7" fillId="5" borderId="7" xfId="0" applyFont="1" applyFill="1" applyBorder="1" applyAlignment="1">
      <alignment horizontal="center" vertical="center"/>
    </xf>
    <xf numFmtId="0" fontId="6" fillId="2" borderId="7" xfId="0" applyFont="1" applyFill="1" applyBorder="1" applyAlignment="1">
      <alignment vertical="center" wrapText="1"/>
    </xf>
    <xf numFmtId="0" fontId="7" fillId="5" borderId="7" xfId="0" applyFont="1" applyFill="1" applyBorder="1" applyAlignment="1">
      <alignment vertical="center"/>
    </xf>
    <xf numFmtId="0" fontId="7" fillId="5" borderId="7" xfId="0" applyFont="1" applyFill="1" applyBorder="1" applyAlignment="1">
      <alignment horizontal="center" vertical="center" wrapText="1"/>
    </xf>
    <xf numFmtId="0" fontId="22" fillId="5" borderId="7" xfId="0" applyFont="1" applyFill="1" applyBorder="1" applyAlignment="1">
      <alignment vertical="center" wrapText="1"/>
    </xf>
    <xf numFmtId="0" fontId="22" fillId="5" borderId="7" xfId="0" applyFont="1" applyFill="1" applyBorder="1" applyAlignment="1">
      <alignment vertical="center"/>
    </xf>
    <xf numFmtId="166" fontId="7" fillId="7" borderId="7" xfId="2" applyNumberFormat="1" applyFont="1" applyFill="1" applyBorder="1" applyAlignment="1">
      <alignment horizontal="right" vertical="center"/>
    </xf>
    <xf numFmtId="0" fontId="22" fillId="0" borderId="7" xfId="0" applyFont="1" applyBorder="1" applyAlignment="1">
      <alignment vertical="center"/>
    </xf>
    <xf numFmtId="165" fontId="22" fillId="0" borderId="7" xfId="0" applyNumberFormat="1" applyFont="1" applyBorder="1" applyAlignment="1">
      <alignment horizontal="right" vertical="center"/>
    </xf>
    <xf numFmtId="169" fontId="20" fillId="0" borderId="7" xfId="0" applyNumberFormat="1"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3" fontId="7" fillId="0" borderId="7" xfId="0" applyNumberFormat="1" applyFont="1" applyBorder="1" applyAlignment="1">
      <alignment vertical="center"/>
    </xf>
    <xf numFmtId="0" fontId="7" fillId="0" borderId="7" xfId="0" applyFont="1" applyBorder="1" applyAlignment="1">
      <alignment horizontal="left" vertical="center"/>
    </xf>
    <xf numFmtId="10" fontId="7" fillId="0" borderId="7" xfId="0" applyNumberFormat="1" applyFont="1" applyBorder="1" applyAlignment="1">
      <alignment vertical="center"/>
    </xf>
    <xf numFmtId="0" fontId="10" fillId="4" borderId="7" xfId="0" applyFont="1" applyFill="1" applyBorder="1" applyAlignment="1">
      <alignment vertical="center"/>
    </xf>
    <xf numFmtId="0" fontId="10" fillId="4" borderId="7" xfId="0" applyFont="1" applyFill="1" applyBorder="1" applyAlignment="1">
      <alignment vertical="center" wrapText="1"/>
    </xf>
    <xf numFmtId="0" fontId="52" fillId="10" borderId="7" xfId="0" applyFont="1" applyFill="1" applyBorder="1" applyAlignment="1">
      <alignment horizontal="center" vertical="center" wrapText="1"/>
    </xf>
    <xf numFmtId="0" fontId="80" fillId="10" borderId="7" xfId="0" applyFont="1" applyFill="1" applyBorder="1" applyAlignment="1">
      <alignment horizontal="center" vertical="center"/>
    </xf>
    <xf numFmtId="0" fontId="80" fillId="10" borderId="7" xfId="0" applyFont="1" applyFill="1" applyBorder="1" applyAlignment="1">
      <alignment horizontal="center" vertical="center" wrapText="1"/>
    </xf>
    <xf numFmtId="0" fontId="83" fillId="22" borderId="7" xfId="0" applyFont="1" applyFill="1" applyBorder="1" applyAlignment="1">
      <alignment horizontal="left" vertical="center" wrapText="1"/>
    </xf>
    <xf numFmtId="0" fontId="52" fillId="22" borderId="7" xfId="0" applyFont="1" applyFill="1" applyBorder="1" applyAlignment="1">
      <alignment horizontal="center" vertical="center" wrapText="1"/>
    </xf>
    <xf numFmtId="0" fontId="52" fillId="22" borderId="7" xfId="0" applyFont="1" applyFill="1" applyBorder="1" applyAlignment="1">
      <alignment horizontal="right" vertical="center" wrapText="1"/>
    </xf>
    <xf numFmtId="0" fontId="80" fillId="22" borderId="7" xfId="0" applyFont="1" applyFill="1" applyBorder="1" applyAlignment="1">
      <alignment horizontal="right" vertical="center"/>
    </xf>
    <xf numFmtId="0" fontId="10" fillId="0" borderId="7" xfId="0" applyFont="1" applyBorder="1" applyAlignment="1">
      <alignment vertical="center" wrapText="1"/>
    </xf>
    <xf numFmtId="3" fontId="10" fillId="0" borderId="7" xfId="0" applyNumberFormat="1" applyFont="1" applyBorder="1" applyAlignment="1">
      <alignment vertical="center" wrapText="1"/>
    </xf>
    <xf numFmtId="3" fontId="10" fillId="5" borderId="7" xfId="0" applyNumberFormat="1" applyFont="1" applyFill="1" applyBorder="1" applyAlignment="1">
      <alignment horizontal="right" vertical="center"/>
    </xf>
    <xf numFmtId="0" fontId="10" fillId="5" borderId="7" xfId="0" applyFont="1" applyFill="1" applyBorder="1" applyAlignment="1">
      <alignment horizontal="right" vertical="center"/>
    </xf>
    <xf numFmtId="171" fontId="10" fillId="5" borderId="7" xfId="0" applyNumberFormat="1" applyFont="1" applyFill="1" applyBorder="1" applyAlignment="1">
      <alignment horizontal="right" vertical="center"/>
    </xf>
    <xf numFmtId="3" fontId="10" fillId="4" borderId="7" xfId="0" applyNumberFormat="1" applyFont="1" applyFill="1" applyBorder="1" applyAlignment="1">
      <alignment horizontal="right" vertical="center"/>
    </xf>
    <xf numFmtId="0" fontId="10" fillId="4" borderId="7" xfId="0" applyFont="1" applyFill="1" applyBorder="1" applyAlignment="1">
      <alignment horizontal="right" vertical="center"/>
    </xf>
    <xf numFmtId="3" fontId="29" fillId="4" borderId="7" xfId="0" applyNumberFormat="1" applyFont="1" applyFill="1" applyBorder="1" applyAlignment="1">
      <alignment horizontal="right" vertical="center" wrapText="1"/>
    </xf>
    <xf numFmtId="3" fontId="10" fillId="4" borderId="7" xfId="0" applyNumberFormat="1" applyFont="1" applyFill="1" applyBorder="1" applyAlignment="1">
      <alignment vertical="center" wrapText="1"/>
    </xf>
    <xf numFmtId="166" fontId="10" fillId="4" borderId="7" xfId="2" applyNumberFormat="1" applyFont="1" applyFill="1" applyBorder="1" applyAlignment="1">
      <alignment horizontal="right" vertical="center"/>
    </xf>
    <xf numFmtId="166" fontId="8" fillId="4" borderId="7" xfId="2" applyNumberFormat="1" applyFont="1" applyFill="1" applyBorder="1" applyAlignment="1">
      <alignment horizontal="right" vertical="center"/>
    </xf>
    <xf numFmtId="0" fontId="84" fillId="21" borderId="7" xfId="0" applyFont="1" applyFill="1" applyBorder="1" applyAlignment="1">
      <alignment vertical="center"/>
    </xf>
    <xf numFmtId="0" fontId="52" fillId="22" borderId="7" xfId="0" applyFont="1" applyFill="1" applyBorder="1" applyAlignment="1">
      <alignment horizontal="left" vertical="center" wrapText="1"/>
    </xf>
    <xf numFmtId="0" fontId="52" fillId="21" borderId="7" xfId="2" applyNumberFormat="1" applyFont="1" applyFill="1" applyBorder="1" applyAlignment="1">
      <alignment horizontal="right" vertical="center"/>
    </xf>
    <xf numFmtId="0" fontId="79" fillId="4" borderId="7" xfId="0" applyFont="1" applyFill="1" applyBorder="1" applyAlignment="1">
      <alignment vertical="center"/>
    </xf>
    <xf numFmtId="0" fontId="52" fillId="21" borderId="7" xfId="0" applyFont="1" applyFill="1" applyBorder="1" applyAlignment="1">
      <alignment horizontal="left" vertical="center" wrapText="1"/>
    </xf>
    <xf numFmtId="0" fontId="46" fillId="23" borderId="7" xfId="0" applyFont="1" applyFill="1" applyBorder="1" applyAlignment="1">
      <alignment horizontal="left" vertical="center" wrapText="1"/>
    </xf>
    <xf numFmtId="0" fontId="84" fillId="22" borderId="7" xfId="0" applyFont="1" applyFill="1" applyBorder="1" applyAlignment="1">
      <alignment vertical="center"/>
    </xf>
    <xf numFmtId="169" fontId="84" fillId="8" borderId="7" xfId="0" applyNumberFormat="1" applyFont="1" applyFill="1" applyBorder="1" applyAlignment="1">
      <alignment vertical="center" wrapText="1"/>
    </xf>
    <xf numFmtId="0" fontId="80" fillId="22" borderId="7" xfId="0" applyFont="1" applyFill="1" applyBorder="1" applyAlignment="1">
      <alignment horizontal="center" vertical="center"/>
    </xf>
    <xf numFmtId="0" fontId="10" fillId="4" borderId="7" xfId="0" applyFont="1" applyFill="1" applyBorder="1" applyAlignment="1">
      <alignment horizontal="center" vertical="center" wrapText="1"/>
    </xf>
    <xf numFmtId="3" fontId="10" fillId="4" borderId="7" xfId="0" applyNumberFormat="1" applyFont="1" applyFill="1" applyBorder="1" applyAlignment="1">
      <alignment vertical="center"/>
    </xf>
    <xf numFmtId="0" fontId="10" fillId="23" borderId="7" xfId="0" applyFont="1" applyFill="1" applyBorder="1" applyAlignment="1">
      <alignment horizontal="center" vertical="center" wrapText="1"/>
    </xf>
    <xf numFmtId="166" fontId="10" fillId="23" borderId="7" xfId="2" applyNumberFormat="1" applyFont="1" applyFill="1" applyBorder="1" applyAlignment="1">
      <alignment horizontal="right" vertical="center"/>
    </xf>
    <xf numFmtId="171" fontId="29" fillId="4" borderId="7" xfId="0" applyNumberFormat="1" applyFont="1" applyFill="1" applyBorder="1" applyAlignment="1">
      <alignment horizontal="right" vertical="center"/>
    </xf>
    <xf numFmtId="0" fontId="29" fillId="4" borderId="7" xfId="0" applyFont="1" applyFill="1" applyBorder="1" applyAlignment="1">
      <alignment horizontal="right" vertical="center"/>
    </xf>
    <xf numFmtId="10" fontId="10" fillId="4" borderId="7" xfId="0" applyNumberFormat="1" applyFont="1" applyFill="1" applyBorder="1" applyAlignment="1">
      <alignment vertical="center"/>
    </xf>
    <xf numFmtId="167" fontId="10" fillId="4" borderId="7" xfId="2" applyNumberFormat="1" applyFont="1" applyFill="1" applyBorder="1" applyAlignment="1">
      <alignment horizontal="right" vertical="center"/>
    </xf>
    <xf numFmtId="0" fontId="52" fillId="21" borderId="7" xfId="0" applyFont="1" applyFill="1" applyBorder="1" applyAlignment="1">
      <alignment horizontal="center" vertical="center"/>
    </xf>
    <xf numFmtId="0" fontId="7" fillId="4" borderId="7" xfId="0" applyFont="1" applyFill="1" applyBorder="1" applyAlignment="1">
      <alignment vertical="center"/>
    </xf>
    <xf numFmtId="9" fontId="10" fillId="4" borderId="7" xfId="0" applyNumberFormat="1" applyFont="1" applyFill="1" applyBorder="1" applyAlignment="1">
      <alignment vertical="center"/>
    </xf>
    <xf numFmtId="166" fontId="7" fillId="4" borderId="7" xfId="2" applyNumberFormat="1" applyFont="1" applyFill="1" applyBorder="1" applyAlignment="1">
      <alignment horizontal="right" vertical="center"/>
    </xf>
    <xf numFmtId="166" fontId="22" fillId="4" borderId="7" xfId="2" applyNumberFormat="1" applyFont="1" applyFill="1" applyBorder="1" applyAlignment="1">
      <alignment horizontal="right" vertical="center"/>
    </xf>
    <xf numFmtId="164" fontId="7" fillId="4" borderId="7" xfId="2" applyNumberFormat="1" applyFont="1" applyFill="1" applyBorder="1" applyAlignment="1">
      <alignment horizontal="right" vertical="center"/>
    </xf>
    <xf numFmtId="1" fontId="22" fillId="4" borderId="7" xfId="2" applyNumberFormat="1" applyFont="1" applyFill="1" applyBorder="1" applyAlignment="1">
      <alignment horizontal="right" vertical="center"/>
    </xf>
    <xf numFmtId="0" fontId="52" fillId="21" borderId="7" xfId="0" applyFont="1" applyFill="1" applyBorder="1" applyAlignment="1">
      <alignment horizontal="right" vertical="center" wrapText="1"/>
    </xf>
    <xf numFmtId="0" fontId="80" fillId="21" borderId="7" xfId="0" applyFont="1" applyFill="1" applyBorder="1" applyAlignment="1">
      <alignment horizontal="right" vertical="center" wrapText="1"/>
    </xf>
    <xf numFmtId="0" fontId="80" fillId="21" borderId="7" xfId="0" applyFont="1" applyFill="1" applyBorder="1" applyAlignment="1">
      <alignment horizontal="right" vertical="center"/>
    </xf>
    <xf numFmtId="0" fontId="80" fillId="21" borderId="7" xfId="2" applyNumberFormat="1" applyFont="1" applyFill="1" applyBorder="1" applyAlignment="1">
      <alignment horizontal="right" vertical="center"/>
    </xf>
    <xf numFmtId="0" fontId="8" fillId="2" borderId="7" xfId="0" applyFont="1" applyFill="1" applyBorder="1" applyAlignment="1">
      <alignment wrapText="1"/>
    </xf>
    <xf numFmtId="0" fontId="7" fillId="2" borderId="7" xfId="0" applyFont="1" applyFill="1" applyBorder="1" applyAlignment="1">
      <alignment horizontal="left" vertical="center" wrapText="1"/>
    </xf>
    <xf numFmtId="0" fontId="81" fillId="24" borderId="7" xfId="0" applyFont="1" applyFill="1" applyBorder="1" applyAlignment="1">
      <alignment vertical="center" wrapText="1"/>
    </xf>
    <xf numFmtId="0" fontId="7" fillId="24" borderId="7" xfId="0" applyFont="1" applyFill="1" applyBorder="1" applyAlignment="1">
      <alignment horizontal="center" vertical="center"/>
    </xf>
    <xf numFmtId="164" fontId="8" fillId="25" borderId="7" xfId="3" applyNumberFormat="1" applyFont="1" applyFill="1" applyBorder="1" applyAlignment="1">
      <alignment vertical="center"/>
    </xf>
    <xf numFmtId="0" fontId="8" fillId="25" borderId="7" xfId="0" applyFont="1" applyFill="1" applyBorder="1" applyAlignment="1">
      <alignment vertical="center"/>
    </xf>
    <xf numFmtId="9" fontId="8" fillId="25" borderId="7" xfId="3" applyFont="1" applyFill="1" applyBorder="1" applyAlignment="1">
      <alignment vertical="center"/>
    </xf>
    <xf numFmtId="0" fontId="81" fillId="24" borderId="7" xfId="0" applyFont="1" applyFill="1" applyBorder="1" applyAlignment="1">
      <alignment horizontal="right" vertical="center" wrapText="1"/>
    </xf>
    <xf numFmtId="0" fontId="81" fillId="24" borderId="7" xfId="0" applyFont="1" applyFill="1" applyBorder="1" applyAlignment="1">
      <alignment horizontal="center" vertical="center" wrapText="1"/>
    </xf>
    <xf numFmtId="0" fontId="80" fillId="24" borderId="7" xfId="0" applyFont="1" applyFill="1" applyBorder="1" applyAlignment="1">
      <alignment horizontal="center" vertical="center"/>
    </xf>
    <xf numFmtId="9" fontId="21" fillId="25" borderId="7" xfId="3" applyFont="1" applyFill="1" applyBorder="1" applyAlignment="1">
      <alignment vertical="center"/>
    </xf>
    <xf numFmtId="0" fontId="25" fillId="26" borderId="7" xfId="0" applyFont="1" applyFill="1" applyBorder="1" applyAlignment="1">
      <alignment horizontal="right" vertical="center" wrapText="1"/>
    </xf>
    <xf numFmtId="0" fontId="8" fillId="0" borderId="7" xfId="0" applyFont="1" applyBorder="1" applyAlignment="1">
      <alignment horizontal="right" wrapText="1"/>
    </xf>
    <xf numFmtId="0" fontId="58" fillId="11" borderId="7" xfId="0" applyFont="1" applyFill="1" applyBorder="1" applyAlignment="1">
      <alignment vertical="center"/>
    </xf>
    <xf numFmtId="0" fontId="10" fillId="21" borderId="7" xfId="0" applyFont="1" applyFill="1" applyBorder="1" applyAlignment="1">
      <alignment horizontal="left" vertical="center"/>
    </xf>
    <xf numFmtId="0" fontId="12" fillId="21" borderId="7" xfId="0" applyFont="1" applyFill="1" applyBorder="1" applyAlignment="1">
      <alignment vertical="center" wrapText="1"/>
    </xf>
    <xf numFmtId="0" fontId="7" fillId="21" borderId="7" xfId="0" applyFont="1" applyFill="1" applyBorder="1" applyAlignment="1">
      <alignment horizontal="center" vertical="center" wrapText="1"/>
    </xf>
    <xf numFmtId="0" fontId="8" fillId="2" borderId="7" xfId="0" applyFont="1" applyFill="1" applyBorder="1" applyAlignment="1">
      <alignment horizontal="left" indent="2"/>
    </xf>
    <xf numFmtId="0" fontId="8" fillId="2" borderId="7" xfId="0" applyFont="1" applyFill="1" applyBorder="1" applyAlignment="1">
      <alignment horizontal="left" wrapText="1" indent="2"/>
    </xf>
    <xf numFmtId="0" fontId="11" fillId="2" borderId="7" xfId="0" applyFont="1" applyFill="1" applyBorder="1" applyAlignment="1">
      <alignment vertical="center" wrapText="1"/>
    </xf>
    <xf numFmtId="166" fontId="7" fillId="0" borderId="7" xfId="2" applyNumberFormat="1" applyFont="1" applyBorder="1" applyAlignment="1">
      <alignment horizontal="center" vertical="center" wrapText="1"/>
    </xf>
    <xf numFmtId="0" fontId="63" fillId="0" borderId="7" xfId="0" applyFont="1" applyBorder="1" applyAlignment="1">
      <alignment vertical="center" wrapText="1"/>
    </xf>
    <xf numFmtId="166" fontId="10" fillId="0" borderId="7" xfId="2" applyNumberFormat="1" applyFont="1" applyBorder="1" applyAlignment="1">
      <alignment horizontal="center" vertical="center" wrapText="1"/>
    </xf>
    <xf numFmtId="166" fontId="8" fillId="17" borderId="7" xfId="2" applyNumberFormat="1" applyFont="1" applyFill="1" applyBorder="1" applyAlignment="1">
      <alignment horizontal="center" vertical="center" wrapText="1"/>
    </xf>
    <xf numFmtId="166" fontId="7" fillId="17" borderId="7" xfId="2" applyNumberFormat="1" applyFont="1" applyFill="1" applyBorder="1" applyAlignment="1">
      <alignment horizontal="center" vertical="center" wrapText="1"/>
    </xf>
    <xf numFmtId="0" fontId="13" fillId="2" borderId="7" xfId="0" applyFont="1" applyFill="1" applyBorder="1" applyAlignment="1">
      <alignment vertical="center"/>
    </xf>
    <xf numFmtId="166" fontId="10" fillId="2" borderId="7" xfId="2" applyNumberFormat="1" applyFont="1" applyFill="1" applyBorder="1" applyAlignment="1">
      <alignment horizontal="center" vertical="center" wrapText="1"/>
    </xf>
    <xf numFmtId="0" fontId="8" fillId="2" borderId="7" xfId="0" applyFont="1" applyFill="1" applyBorder="1"/>
    <xf numFmtId="166" fontId="7" fillId="16" borderId="7" xfId="2" applyNumberFormat="1" applyFont="1" applyFill="1" applyBorder="1" applyAlignment="1">
      <alignment horizontal="center" vertical="center" wrapText="1"/>
    </xf>
    <xf numFmtId="166" fontId="7" fillId="0" borderId="7" xfId="2" applyNumberFormat="1" applyFont="1" applyBorder="1" applyAlignment="1">
      <alignment horizontal="center" vertical="top" wrapText="1"/>
    </xf>
    <xf numFmtId="166" fontId="7" fillId="2" borderId="7" xfId="2" applyNumberFormat="1" applyFont="1" applyFill="1" applyBorder="1" applyAlignment="1">
      <alignment horizontal="center" vertical="center" wrapText="1"/>
    </xf>
    <xf numFmtId="164" fontId="7" fillId="2" borderId="7" xfId="2" applyNumberFormat="1" applyFont="1" applyFill="1" applyBorder="1" applyAlignment="1">
      <alignment horizontal="right" vertical="center" wrapText="1"/>
    </xf>
    <xf numFmtId="0" fontId="8" fillId="2" borderId="7"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65" fillId="2" borderId="7" xfId="0" applyFont="1" applyFill="1" applyBorder="1" applyAlignment="1">
      <alignment vertical="center" wrapText="1"/>
    </xf>
    <xf numFmtId="9" fontId="8" fillId="2" borderId="7" xfId="3" applyFont="1" applyFill="1" applyBorder="1"/>
    <xf numFmtId="0" fontId="64" fillId="0" borderId="7" xfId="0" applyFont="1" applyBorder="1" applyAlignment="1">
      <alignment vertical="center" wrapText="1"/>
    </xf>
    <xf numFmtId="0" fontId="58" fillId="26" borderId="7" xfId="0" applyFont="1" applyFill="1" applyBorder="1" applyAlignment="1">
      <alignment vertical="center"/>
    </xf>
    <xf numFmtId="0" fontId="25" fillId="26" borderId="7" xfId="0" applyFont="1" applyFill="1" applyBorder="1" applyAlignment="1">
      <alignment horizontal="right" vertical="center"/>
    </xf>
    <xf numFmtId="0" fontId="25" fillId="26" borderId="7" xfId="0" applyFont="1" applyFill="1" applyBorder="1" applyAlignment="1">
      <alignment horizontal="center" vertical="center"/>
    </xf>
    <xf numFmtId="0" fontId="11" fillId="2" borderId="0" xfId="0" applyFont="1" applyFill="1" applyAlignment="1">
      <alignment vertical="center" wrapText="1"/>
    </xf>
    <xf numFmtId="0" fontId="11" fillId="3" borderId="3" xfId="0" applyFont="1" applyFill="1" applyBorder="1"/>
    <xf numFmtId="0" fontId="7" fillId="2" borderId="7" xfId="0" applyFont="1" applyFill="1" applyBorder="1" applyAlignment="1">
      <alignment horizontal="left" wrapText="1" indent="1"/>
    </xf>
    <xf numFmtId="0" fontId="10" fillId="2" borderId="7" xfId="0" applyFont="1" applyFill="1" applyBorder="1" applyAlignment="1">
      <alignment wrapText="1"/>
    </xf>
    <xf numFmtId="0" fontId="65" fillId="2" borderId="7" xfId="0" applyFont="1" applyFill="1" applyBorder="1" applyAlignment="1">
      <alignment vertical="center"/>
    </xf>
    <xf numFmtId="166" fontId="8" fillId="2" borderId="7" xfId="2" applyNumberFormat="1" applyFont="1" applyFill="1" applyBorder="1" applyAlignment="1">
      <alignment horizontal="center" vertical="center"/>
    </xf>
    <xf numFmtId="10" fontId="8" fillId="2" borderId="0" xfId="0" applyNumberFormat="1" applyFont="1" applyFill="1" applyAlignment="1">
      <alignment vertical="center"/>
    </xf>
    <xf numFmtId="2" fontId="8" fillId="2" borderId="0" xfId="0" applyNumberFormat="1" applyFont="1" applyFill="1" applyAlignment="1">
      <alignment vertical="center"/>
    </xf>
    <xf numFmtId="2" fontId="8" fillId="2" borderId="0" xfId="3" applyNumberFormat="1" applyFont="1" applyFill="1" applyBorder="1" applyAlignment="1">
      <alignment vertical="center"/>
    </xf>
    <xf numFmtId="2" fontId="8" fillId="2" borderId="0" xfId="3" applyNumberFormat="1" applyFont="1" applyFill="1" applyAlignment="1">
      <alignment vertical="center"/>
    </xf>
    <xf numFmtId="0" fontId="7" fillId="21" borderId="10" xfId="0" applyFont="1" applyFill="1" applyBorder="1" applyAlignment="1">
      <alignment horizontal="center" vertical="center" wrapText="1"/>
    </xf>
    <xf numFmtId="0" fontId="7" fillId="0" borderId="7" xfId="0" applyFont="1" applyBorder="1" applyAlignment="1">
      <alignment horizontal="left" vertical="center" indent="1"/>
    </xf>
    <xf numFmtId="0" fontId="7" fillId="0" borderId="7" xfId="0" applyFont="1" applyBorder="1" applyAlignment="1">
      <alignment horizontal="left" vertical="center" wrapText="1" indent="1"/>
    </xf>
    <xf numFmtId="170" fontId="7" fillId="0" borderId="7" xfId="0" applyNumberFormat="1" applyFont="1" applyBorder="1" applyAlignment="1">
      <alignment horizontal="center" vertical="center"/>
    </xf>
    <xf numFmtId="0" fontId="21" fillId="2" borderId="7" xfId="0" applyFont="1" applyFill="1" applyBorder="1" applyAlignment="1">
      <alignment vertical="center" wrapText="1"/>
    </xf>
    <xf numFmtId="0" fontId="10" fillId="0" borderId="8" xfId="0" applyFont="1" applyBorder="1" applyAlignment="1">
      <alignment vertical="center"/>
    </xf>
    <xf numFmtId="0" fontId="8" fillId="0" borderId="6" xfId="0" applyFont="1" applyBorder="1" applyAlignment="1">
      <alignment vertical="center" wrapText="1"/>
    </xf>
    <xf numFmtId="0" fontId="13" fillId="0" borderId="6" xfId="0" applyFont="1" applyBorder="1" applyAlignment="1">
      <alignment vertical="center" wrapText="1"/>
    </xf>
    <xf numFmtId="166" fontId="7" fillId="0" borderId="6" xfId="2" applyNumberFormat="1" applyFont="1" applyBorder="1" applyAlignment="1">
      <alignment horizontal="center" vertical="center" wrapText="1"/>
    </xf>
    <xf numFmtId="0" fontId="7" fillId="0" borderId="6" xfId="0" applyFont="1" applyBorder="1" applyAlignment="1">
      <alignment vertical="center" wrapText="1"/>
    </xf>
    <xf numFmtId="0" fontId="12" fillId="0" borderId="6" xfId="0" applyFont="1" applyBorder="1" applyAlignment="1">
      <alignment vertical="center" wrapText="1"/>
    </xf>
    <xf numFmtId="0" fontId="11" fillId="2" borderId="8" xfId="0" applyFont="1" applyFill="1" applyBorder="1" applyAlignment="1">
      <alignment vertical="center" wrapText="1"/>
    </xf>
    <xf numFmtId="166" fontId="7" fillId="0" borderId="8" xfId="2" applyNumberFormat="1" applyFont="1" applyBorder="1" applyAlignment="1">
      <alignment horizontal="center" vertical="center" wrapText="1"/>
    </xf>
    <xf numFmtId="0" fontId="8" fillId="2" borderId="6" xfId="0" applyFont="1" applyFill="1" applyBorder="1" applyAlignment="1">
      <alignment horizontal="left" indent="2"/>
    </xf>
    <xf numFmtId="166" fontId="10" fillId="0" borderId="6" xfId="2" applyNumberFormat="1" applyFont="1" applyBorder="1" applyAlignment="1">
      <alignment horizontal="center" vertical="center" wrapText="1"/>
    </xf>
    <xf numFmtId="9" fontId="35" fillId="5" borderId="0" xfId="3" applyFont="1" applyFill="1" applyAlignment="1">
      <alignment vertical="center" wrapText="1"/>
    </xf>
    <xf numFmtId="0" fontId="8" fillId="2" borderId="6" xfId="0" applyFont="1" applyFill="1" applyBorder="1" applyAlignment="1">
      <alignment horizontal="left" vertical="center" wrapText="1"/>
    </xf>
    <xf numFmtId="0" fontId="8" fillId="2" borderId="0" xfId="0" applyFont="1" applyFill="1" applyAlignment="1">
      <alignment horizontal="left" wrapText="1" indent="2"/>
    </xf>
    <xf numFmtId="0" fontId="12" fillId="2" borderId="0" xfId="0" applyFont="1" applyFill="1" applyAlignment="1">
      <alignment horizontal="left" vertical="center" wrapText="1"/>
    </xf>
    <xf numFmtId="9" fontId="8" fillId="2" borderId="0" xfId="0" applyNumberFormat="1" applyFont="1" applyFill="1"/>
    <xf numFmtId="9" fontId="81" fillId="24" borderId="6" xfId="3" applyFont="1" applyFill="1" applyBorder="1" applyAlignment="1">
      <alignment vertical="center" wrapText="1"/>
    </xf>
    <xf numFmtId="0" fontId="8" fillId="0" borderId="0" xfId="0" applyFont="1" applyAlignment="1">
      <alignment horizontal="right" wrapText="1"/>
    </xf>
    <xf numFmtId="0" fontId="10" fillId="0" borderId="6" xfId="0" applyFont="1" applyBorder="1" applyAlignment="1">
      <alignment vertical="center" wrapText="1"/>
    </xf>
    <xf numFmtId="0" fontId="14" fillId="0" borderId="6" xfId="0" applyFont="1" applyBorder="1" applyAlignment="1">
      <alignment vertical="center" wrapText="1"/>
    </xf>
    <xf numFmtId="166" fontId="23" fillId="27" borderId="6" xfId="2" applyNumberFormat="1" applyFont="1" applyFill="1" applyBorder="1" applyAlignment="1">
      <alignment horizontal="center" vertical="center" wrapText="1"/>
    </xf>
    <xf numFmtId="166" fontId="10" fillId="27" borderId="6" xfId="2" applyNumberFormat="1" applyFont="1" applyFill="1" applyBorder="1" applyAlignment="1">
      <alignment horizontal="center" vertical="center" wrapText="1"/>
    </xf>
    <xf numFmtId="166" fontId="8" fillId="27" borderId="7" xfId="2" applyNumberFormat="1" applyFont="1" applyFill="1" applyBorder="1" applyAlignment="1">
      <alignment horizontal="right" vertical="center"/>
    </xf>
    <xf numFmtId="168" fontId="8" fillId="2" borderId="6" xfId="2" applyNumberFormat="1" applyFont="1" applyFill="1" applyBorder="1" applyAlignment="1">
      <alignment horizontal="center" vertical="center" wrapText="1"/>
    </xf>
    <xf numFmtId="9" fontId="6" fillId="2" borderId="0" xfId="3" applyFont="1" applyFill="1" applyAlignment="1">
      <alignment wrapText="1"/>
    </xf>
    <xf numFmtId="166" fontId="7" fillId="18" borderId="7" xfId="2" applyNumberFormat="1" applyFont="1" applyFill="1" applyBorder="1" applyAlignment="1">
      <alignment horizontal="center" vertical="center" wrapText="1"/>
    </xf>
    <xf numFmtId="166" fontId="10" fillId="18" borderId="7" xfId="2" applyNumberFormat="1" applyFont="1" applyFill="1" applyBorder="1" applyAlignment="1">
      <alignment horizontal="center" vertical="center" wrapText="1"/>
    </xf>
    <xf numFmtId="3" fontId="21" fillId="2" borderId="7" xfId="0" applyNumberFormat="1" applyFont="1" applyFill="1" applyBorder="1" applyAlignment="1">
      <alignment horizontal="right" vertical="center" wrapText="1"/>
    </xf>
    <xf numFmtId="166" fontId="21" fillId="2" borderId="7" xfId="0" applyNumberFormat="1" applyFont="1" applyFill="1" applyBorder="1" applyAlignment="1">
      <alignment horizontal="right" vertical="center" wrapText="1"/>
    </xf>
    <xf numFmtId="0" fontId="38" fillId="0" borderId="0" xfId="0" applyFont="1" applyAlignment="1">
      <alignment vertical="center" wrapText="1"/>
    </xf>
    <xf numFmtId="0" fontId="23" fillId="0" borderId="0" xfId="0" applyFont="1" applyAlignment="1">
      <alignment vertical="center" wrapText="1"/>
    </xf>
    <xf numFmtId="166" fontId="23" fillId="3" borderId="7" xfId="2" applyNumberFormat="1" applyFont="1" applyFill="1" applyBorder="1" applyAlignment="1">
      <alignment horizontal="right" vertical="center"/>
    </xf>
    <xf numFmtId="166" fontId="7" fillId="27" borderId="7" xfId="2" applyNumberFormat="1" applyFont="1" applyFill="1" applyBorder="1" applyAlignment="1">
      <alignment horizontal="center" vertical="center" wrapText="1"/>
    </xf>
    <xf numFmtId="164" fontId="7" fillId="27" borderId="7" xfId="2" applyNumberFormat="1" applyFont="1" applyFill="1" applyBorder="1" applyAlignment="1">
      <alignment horizontal="right" vertical="center" wrapText="1"/>
    </xf>
    <xf numFmtId="0" fontId="58" fillId="26" borderId="13" xfId="0" applyFont="1" applyFill="1" applyBorder="1" applyAlignment="1">
      <alignment vertical="center"/>
    </xf>
    <xf numFmtId="0" fontId="92" fillId="0" borderId="13" xfId="0" applyFont="1" applyBorder="1" applyAlignment="1">
      <alignment vertical="center"/>
    </xf>
    <xf numFmtId="0" fontId="92" fillId="0" borderId="13" xfId="0" applyFont="1" applyBorder="1" applyAlignment="1">
      <alignment horizontal="center" vertical="center" wrapText="1"/>
    </xf>
    <xf numFmtId="9" fontId="93" fillId="0" borderId="13" xfId="3" applyFont="1" applyBorder="1" applyAlignment="1">
      <alignment vertical="center"/>
    </xf>
    <xf numFmtId="166" fontId="6" fillId="0" borderId="13" xfId="2" applyNumberFormat="1" applyFont="1" applyBorder="1" applyAlignment="1">
      <alignment vertical="center"/>
    </xf>
    <xf numFmtId="9" fontId="6" fillId="0" borderId="13" xfId="3" applyFont="1" applyBorder="1" applyAlignment="1">
      <alignment vertical="center"/>
    </xf>
    <xf numFmtId="0" fontId="6" fillId="0" borderId="13" xfId="0" applyFont="1" applyBorder="1" applyAlignment="1">
      <alignment vertical="center"/>
    </xf>
    <xf numFmtId="9" fontId="6" fillId="0" borderId="13" xfId="3" applyFont="1" applyBorder="1" applyAlignment="1">
      <alignment horizontal="center" vertical="center"/>
    </xf>
    <xf numFmtId="9" fontId="6" fillId="0" borderId="13" xfId="3" applyFont="1" applyBorder="1" applyAlignment="1">
      <alignment horizontal="right" vertical="center"/>
    </xf>
    <xf numFmtId="0" fontId="6" fillId="2" borderId="0" xfId="0" applyFont="1" applyFill="1" applyAlignment="1">
      <alignment horizontal="center"/>
    </xf>
    <xf numFmtId="166" fontId="21" fillId="2" borderId="0" xfId="0" applyNumberFormat="1" applyFont="1" applyFill="1" applyAlignment="1">
      <alignment horizontal="center"/>
    </xf>
    <xf numFmtId="0" fontId="6" fillId="3" borderId="7" xfId="0" applyFont="1" applyFill="1" applyBorder="1" applyAlignment="1">
      <alignment vertical="center"/>
    </xf>
    <xf numFmtId="0" fontId="6" fillId="2" borderId="13" xfId="0" applyFont="1" applyFill="1" applyBorder="1" applyAlignment="1">
      <alignment vertical="center" wrapText="1"/>
    </xf>
    <xf numFmtId="0" fontId="6" fillId="2" borderId="13" xfId="0" applyFont="1" applyFill="1" applyBorder="1" applyAlignment="1">
      <alignment vertical="center"/>
    </xf>
    <xf numFmtId="9" fontId="6" fillId="2" borderId="13" xfId="3" applyFont="1" applyFill="1" applyBorder="1" applyAlignment="1">
      <alignment vertical="center" wrapText="1"/>
    </xf>
    <xf numFmtId="0" fontId="10" fillId="21" borderId="13" xfId="0" applyFont="1" applyFill="1" applyBorder="1" applyAlignment="1">
      <alignment horizontal="left" vertical="center"/>
    </xf>
    <xf numFmtId="0" fontId="12" fillId="21" borderId="13" xfId="0" applyFont="1" applyFill="1" applyBorder="1" applyAlignment="1">
      <alignment vertical="center" wrapText="1"/>
    </xf>
    <xf numFmtId="164" fontId="8" fillId="2" borderId="0" xfId="0" applyNumberFormat="1" applyFont="1" applyFill="1"/>
    <xf numFmtId="9" fontId="8" fillId="2" borderId="0" xfId="3" applyFont="1" applyFill="1"/>
    <xf numFmtId="164" fontId="21" fillId="25" borderId="7" xfId="3" applyNumberFormat="1" applyFont="1" applyFill="1" applyBorder="1" applyAlignment="1">
      <alignment vertical="center"/>
    </xf>
    <xf numFmtId="164" fontId="49" fillId="5" borderId="0" xfId="3" applyNumberFormat="1" applyFont="1" applyFill="1" applyAlignment="1">
      <alignment horizontal="right" vertical="center"/>
    </xf>
    <xf numFmtId="0" fontId="8" fillId="28" borderId="0" xfId="0" applyFont="1" applyFill="1" applyAlignment="1">
      <alignment vertical="center"/>
    </xf>
    <xf numFmtId="0" fontId="10" fillId="28" borderId="0" xfId="2" applyNumberFormat="1" applyFont="1" applyFill="1" applyAlignment="1">
      <alignment horizontal="right" vertical="center"/>
    </xf>
    <xf numFmtId="0" fontId="10" fillId="28" borderId="0" xfId="0" applyFont="1" applyFill="1" applyAlignment="1">
      <alignment horizontal="right" vertical="center"/>
    </xf>
    <xf numFmtId="166" fontId="8" fillId="28" borderId="0" xfId="0" applyNumberFormat="1" applyFont="1" applyFill="1" applyAlignment="1">
      <alignment vertical="center"/>
    </xf>
    <xf numFmtId="166" fontId="21" fillId="4" borderId="7" xfId="2" applyNumberFormat="1" applyFont="1" applyFill="1" applyBorder="1" applyAlignment="1">
      <alignment vertical="center"/>
    </xf>
    <xf numFmtId="164" fontId="8" fillId="25" borderId="7" xfId="0" applyNumberFormat="1" applyFont="1" applyFill="1" applyBorder="1" applyAlignment="1">
      <alignment vertical="center"/>
    </xf>
    <xf numFmtId="9" fontId="10" fillId="0" borderId="7" xfId="0" applyNumberFormat="1" applyFont="1" applyBorder="1" applyAlignment="1">
      <alignment vertical="center"/>
    </xf>
    <xf numFmtId="9" fontId="10" fillId="0" borderId="7" xfId="3" applyFont="1" applyFill="1" applyBorder="1" applyAlignment="1">
      <alignment vertical="center"/>
    </xf>
    <xf numFmtId="3" fontId="30" fillId="5" borderId="0" xfId="0" applyNumberFormat="1" applyFont="1" applyFill="1"/>
    <xf numFmtId="0" fontId="46" fillId="5" borderId="13" xfId="0" applyFont="1" applyFill="1" applyBorder="1" applyAlignment="1">
      <alignment horizontal="left" vertical="center" wrapText="1"/>
    </xf>
    <xf numFmtId="0" fontId="52" fillId="22" borderId="13" xfId="0" applyFont="1" applyFill="1" applyBorder="1" applyAlignment="1">
      <alignment horizontal="center" vertical="center" wrapText="1"/>
    </xf>
    <xf numFmtId="0" fontId="52" fillId="22" borderId="13" xfId="0" applyFont="1" applyFill="1" applyBorder="1" applyAlignment="1">
      <alignment horizontal="right" vertical="center" wrapText="1"/>
    </xf>
    <xf numFmtId="0" fontId="80" fillId="22" borderId="13" xfId="0" applyFont="1" applyFill="1" applyBorder="1" applyAlignment="1">
      <alignment horizontal="right" vertical="center"/>
    </xf>
    <xf numFmtId="0" fontId="22" fillId="0" borderId="13" xfId="0" applyFont="1" applyBorder="1" applyAlignment="1">
      <alignment horizontal="left" vertical="center" wrapText="1"/>
    </xf>
    <xf numFmtId="0" fontId="22" fillId="0" borderId="13" xfId="0" applyFont="1" applyBorder="1" applyAlignment="1">
      <alignment vertical="center" wrapText="1"/>
    </xf>
    <xf numFmtId="3" fontId="29" fillId="4" borderId="13" xfId="0" applyNumberFormat="1" applyFont="1" applyFill="1" applyBorder="1" applyAlignment="1">
      <alignment horizontal="right" vertical="center" wrapText="1"/>
    </xf>
    <xf numFmtId="3" fontId="22" fillId="2" borderId="13" xfId="0" applyNumberFormat="1" applyFont="1" applyFill="1" applyBorder="1" applyAlignment="1">
      <alignment horizontal="right" vertical="center" wrapText="1"/>
    </xf>
    <xf numFmtId="0" fontId="29" fillId="0" borderId="13" xfId="0" applyFont="1" applyBorder="1" applyAlignment="1">
      <alignment vertical="center" wrapText="1"/>
    </xf>
    <xf numFmtId="3" fontId="29" fillId="2" borderId="13" xfId="0" applyNumberFormat="1" applyFont="1" applyFill="1" applyBorder="1" applyAlignment="1">
      <alignment horizontal="right" vertical="center" wrapText="1"/>
    </xf>
    <xf numFmtId="166" fontId="8" fillId="2" borderId="0" xfId="2" applyNumberFormat="1" applyFont="1" applyFill="1" applyBorder="1" applyAlignment="1">
      <alignment horizontal="right"/>
    </xf>
    <xf numFmtId="166" fontId="21" fillId="2" borderId="0" xfId="2" applyNumberFormat="1" applyFont="1" applyFill="1" applyBorder="1" applyAlignment="1">
      <alignment horizontal="right"/>
    </xf>
    <xf numFmtId="166" fontId="10" fillId="0" borderId="13" xfId="2" applyNumberFormat="1" applyFont="1" applyFill="1" applyBorder="1" applyAlignment="1">
      <alignment horizontal="right" vertical="center"/>
    </xf>
    <xf numFmtId="0" fontId="10" fillId="0" borderId="13" xfId="0" applyFont="1" applyBorder="1" applyAlignment="1">
      <alignment vertical="center" wrapText="1"/>
    </xf>
    <xf numFmtId="0" fontId="10" fillId="0" borderId="13" xfId="0" applyFont="1" applyBorder="1" applyAlignment="1">
      <alignment vertical="center"/>
    </xf>
    <xf numFmtId="170" fontId="6" fillId="3" borderId="7" xfId="0" applyNumberFormat="1" applyFont="1" applyFill="1" applyBorder="1" applyAlignment="1">
      <alignment vertical="center"/>
    </xf>
    <xf numFmtId="9" fontId="23" fillId="3" borderId="7" xfId="0" applyNumberFormat="1" applyFont="1" applyFill="1" applyBorder="1" applyAlignment="1">
      <alignment vertical="center"/>
    </xf>
    <xf numFmtId="9" fontId="23" fillId="3" borderId="7" xfId="3" applyFont="1" applyFill="1" applyBorder="1" applyAlignment="1">
      <alignment vertical="center"/>
    </xf>
    <xf numFmtId="164" fontId="89" fillId="24" borderId="6" xfId="3" applyNumberFormat="1" applyFont="1" applyFill="1" applyBorder="1" applyAlignment="1">
      <alignment vertical="center" wrapText="1"/>
    </xf>
    <xf numFmtId="164" fontId="81" fillId="24" borderId="6" xfId="3" applyNumberFormat="1" applyFont="1" applyFill="1" applyBorder="1" applyAlignment="1">
      <alignment vertical="center" wrapText="1"/>
    </xf>
    <xf numFmtId="3" fontId="6" fillId="2" borderId="13" xfId="0" applyNumberFormat="1" applyFont="1" applyFill="1" applyBorder="1" applyAlignment="1">
      <alignment horizontal="right" vertical="center" wrapText="1"/>
    </xf>
    <xf numFmtId="166" fontId="95" fillId="7" borderId="7" xfId="2" applyNumberFormat="1" applyFont="1" applyFill="1" applyBorder="1" applyAlignment="1">
      <alignment horizontal="right" vertical="center"/>
    </xf>
    <xf numFmtId="166" fontId="8" fillId="0" borderId="14" xfId="2" applyNumberFormat="1" applyFont="1" applyBorder="1" applyAlignment="1">
      <alignment horizontal="center" vertical="center" wrapText="1"/>
    </xf>
    <xf numFmtId="9" fontId="81" fillId="24" borderId="14" xfId="3" applyFont="1" applyFill="1" applyBorder="1" applyAlignment="1">
      <alignment vertical="center" wrapText="1"/>
    </xf>
    <xf numFmtId="9" fontId="81" fillId="24" borderId="15" xfId="3" applyFont="1" applyFill="1" applyBorder="1" applyAlignment="1">
      <alignment vertical="center" wrapText="1"/>
    </xf>
    <xf numFmtId="0" fontId="10" fillId="0" borderId="16" xfId="0" applyFont="1" applyBorder="1" applyAlignment="1">
      <alignment vertical="center"/>
    </xf>
    <xf numFmtId="0" fontId="63" fillId="0" borderId="16" xfId="0" applyFont="1" applyBorder="1" applyAlignment="1">
      <alignment vertical="center" wrapText="1"/>
    </xf>
    <xf numFmtId="0" fontId="8" fillId="2" borderId="16" xfId="0" applyFont="1" applyFill="1" applyBorder="1"/>
    <xf numFmtId="0" fontId="8" fillId="2" borderId="16" xfId="0" applyFont="1" applyFill="1" applyBorder="1" applyAlignment="1">
      <alignment horizontal="left" indent="2"/>
    </xf>
    <xf numFmtId="166" fontId="10" fillId="0" borderId="16" xfId="2" applyNumberFormat="1" applyFont="1" applyBorder="1" applyAlignment="1">
      <alignment horizontal="center" vertical="center" wrapText="1"/>
    </xf>
    <xf numFmtId="9" fontId="81" fillId="24" borderId="16" xfId="3" applyFont="1" applyFill="1" applyBorder="1" applyAlignment="1">
      <alignment vertical="center" wrapText="1"/>
    </xf>
    <xf numFmtId="0" fontId="10" fillId="2" borderId="16" xfId="0" applyFont="1" applyFill="1" applyBorder="1" applyAlignment="1">
      <alignment horizontal="left" wrapText="1" indent="2"/>
    </xf>
    <xf numFmtId="0" fontId="21" fillId="2" borderId="14" xfId="0" applyFont="1" applyFill="1" applyBorder="1" applyAlignment="1">
      <alignment horizontal="left" wrapText="1" indent="2"/>
    </xf>
    <xf numFmtId="0" fontId="21" fillId="2" borderId="7" xfId="0" applyFont="1" applyFill="1" applyBorder="1" applyAlignment="1">
      <alignment horizontal="left" wrapText="1" indent="2"/>
    </xf>
    <xf numFmtId="166" fontId="7" fillId="0" borderId="15" xfId="2" applyNumberFormat="1" applyFont="1" applyBorder="1" applyAlignment="1">
      <alignment horizontal="center" vertical="center" wrapText="1"/>
    </xf>
    <xf numFmtId="0" fontId="7" fillId="0" borderId="15" xfId="0" applyFont="1" applyBorder="1" applyAlignment="1">
      <alignment vertical="center" wrapText="1"/>
    </xf>
    <xf numFmtId="0" fontId="12" fillId="0" borderId="15" xfId="0" applyFont="1" applyBorder="1" applyAlignment="1">
      <alignment vertical="center" wrapText="1"/>
    </xf>
    <xf numFmtId="0" fontId="8" fillId="0" borderId="16" xfId="0" applyFont="1" applyBorder="1" applyAlignment="1">
      <alignment vertical="center" wrapText="1"/>
    </xf>
    <xf numFmtId="0" fontId="13" fillId="0" borderId="16" xfId="0" applyFont="1" applyBorder="1" applyAlignment="1">
      <alignment vertical="center" wrapText="1"/>
    </xf>
    <xf numFmtId="166" fontId="7" fillId="0" borderId="16" xfId="2" applyNumberFormat="1" applyFont="1" applyBorder="1" applyAlignment="1">
      <alignment horizontal="center" vertical="center" wrapText="1"/>
    </xf>
    <xf numFmtId="166" fontId="8" fillId="2" borderId="16" xfId="2" applyNumberFormat="1" applyFont="1" applyFill="1" applyBorder="1" applyAlignment="1">
      <alignment horizontal="center" vertical="center"/>
    </xf>
    <xf numFmtId="0" fontId="8" fillId="2" borderId="16" xfId="0" applyFont="1" applyFill="1" applyBorder="1" applyAlignment="1">
      <alignment wrapText="1"/>
    </xf>
    <xf numFmtId="0" fontId="96" fillId="26" borderId="8" xfId="0" applyFont="1" applyFill="1" applyBorder="1" applyAlignment="1">
      <alignment horizontal="center" vertical="center" wrapText="1"/>
    </xf>
    <xf numFmtId="166" fontId="8" fillId="2" borderId="16" xfId="0" applyNumberFormat="1" applyFont="1" applyFill="1" applyBorder="1" applyAlignment="1">
      <alignment wrapText="1"/>
    </xf>
    <xf numFmtId="9" fontId="7" fillId="2" borderId="16" xfId="3" applyFont="1" applyFill="1" applyBorder="1" applyAlignment="1">
      <alignment wrapText="1"/>
    </xf>
    <xf numFmtId="166" fontId="22" fillId="0" borderId="16" xfId="2" applyNumberFormat="1" applyFont="1" applyBorder="1" applyAlignment="1">
      <alignment horizontal="center" vertical="center" wrapText="1"/>
    </xf>
    <xf numFmtId="166" fontId="22" fillId="0" borderId="16" xfId="2" applyNumberFormat="1" applyFont="1" applyBorder="1" applyAlignment="1">
      <alignment horizontal="center" wrapText="1"/>
    </xf>
    <xf numFmtId="166" fontId="22" fillId="0" borderId="16" xfId="2" applyNumberFormat="1" applyFont="1" applyBorder="1" applyAlignment="1">
      <alignment horizontal="center" vertical="top" wrapText="1"/>
    </xf>
    <xf numFmtId="0" fontId="25" fillId="26" borderId="21" xfId="0" applyFont="1" applyFill="1" applyBorder="1" applyAlignment="1">
      <alignment horizontal="center" vertical="center"/>
    </xf>
    <xf numFmtId="0" fontId="7" fillId="21" borderId="22" xfId="0" applyFont="1" applyFill="1" applyBorder="1" applyAlignment="1">
      <alignment horizontal="center" vertical="center" wrapText="1"/>
    </xf>
    <xf numFmtId="9" fontId="22" fillId="0" borderId="16" xfId="3" applyFont="1" applyBorder="1" applyAlignment="1">
      <alignment horizontal="center" vertical="center" wrapText="1"/>
    </xf>
    <xf numFmtId="0" fontId="6" fillId="19" borderId="13" xfId="0" applyFont="1" applyFill="1" applyBorder="1" applyAlignment="1">
      <alignment vertical="center" wrapText="1"/>
    </xf>
    <xf numFmtId="166" fontId="6" fillId="19" borderId="13" xfId="2" applyNumberFormat="1" applyFont="1" applyFill="1" applyBorder="1" applyAlignment="1">
      <alignment vertical="center"/>
    </xf>
    <xf numFmtId="9" fontId="6" fillId="19" borderId="13" xfId="3" applyFont="1" applyFill="1" applyBorder="1" applyAlignment="1">
      <alignment vertical="center"/>
    </xf>
    <xf numFmtId="166" fontId="6" fillId="19" borderId="13" xfId="2" applyNumberFormat="1" applyFont="1" applyFill="1" applyBorder="1" applyAlignment="1">
      <alignment vertical="center" wrapText="1"/>
    </xf>
    <xf numFmtId="9" fontId="6" fillId="19" borderId="13" xfId="3" applyFont="1" applyFill="1" applyBorder="1" applyAlignment="1">
      <alignment vertical="center" wrapText="1"/>
    </xf>
    <xf numFmtId="0" fontId="6" fillId="19" borderId="13" xfId="0" applyFont="1" applyFill="1" applyBorder="1" applyAlignment="1">
      <alignment vertical="center"/>
    </xf>
    <xf numFmtId="9" fontId="6" fillId="19" borderId="16" xfId="3" applyFont="1" applyFill="1" applyBorder="1" applyAlignment="1">
      <alignment horizontal="center" vertical="center"/>
    </xf>
    <xf numFmtId="9" fontId="6" fillId="19" borderId="16" xfId="3" applyFont="1" applyFill="1" applyBorder="1" applyAlignment="1">
      <alignment horizontal="center" wrapText="1"/>
    </xf>
    <xf numFmtId="166" fontId="6" fillId="19" borderId="16" xfId="2" applyNumberFormat="1" applyFont="1" applyFill="1" applyBorder="1" applyAlignment="1">
      <alignment horizontal="center" wrapText="1"/>
    </xf>
    <xf numFmtId="0" fontId="79" fillId="19" borderId="8" xfId="0" applyFont="1" applyFill="1" applyBorder="1" applyAlignment="1">
      <alignment horizontal="left" vertical="center" wrapText="1"/>
    </xf>
    <xf numFmtId="0" fontId="13" fillId="2" borderId="0" xfId="0" applyFont="1" applyFill="1" applyAlignment="1">
      <alignment vertical="center"/>
    </xf>
    <xf numFmtId="0" fontId="102" fillId="2" borderId="0" xfId="0" applyFont="1" applyFill="1" applyAlignment="1">
      <alignment horizontal="left" vertical="center"/>
    </xf>
    <xf numFmtId="3" fontId="8" fillId="19" borderId="13" xfId="0" applyNumberFormat="1" applyFont="1" applyFill="1" applyBorder="1" applyAlignment="1">
      <alignment vertical="center"/>
    </xf>
    <xf numFmtId="164" fontId="8" fillId="19" borderId="13" xfId="3" applyNumberFormat="1" applyFont="1" applyFill="1" applyBorder="1" applyAlignment="1">
      <alignment vertical="center"/>
    </xf>
    <xf numFmtId="0" fontId="35" fillId="29" borderId="13" xfId="0" applyFont="1" applyFill="1" applyBorder="1" applyAlignment="1">
      <alignment vertical="center" wrapText="1"/>
    </xf>
    <xf numFmtId="9" fontId="8" fillId="19" borderId="13" xfId="0" applyNumberFormat="1" applyFont="1" applyFill="1" applyBorder="1" applyAlignment="1">
      <alignment vertical="center"/>
    </xf>
    <xf numFmtId="0" fontId="25" fillId="19" borderId="8" xfId="0" applyFont="1" applyFill="1" applyBorder="1" applyAlignment="1">
      <alignment horizontal="center" vertical="center"/>
    </xf>
    <xf numFmtId="0" fontId="10" fillId="19" borderId="13" xfId="0" applyFont="1" applyFill="1" applyBorder="1" applyAlignment="1">
      <alignment horizontal="left" vertical="center"/>
    </xf>
    <xf numFmtId="0" fontId="12" fillId="19" borderId="13" xfId="0" applyFont="1" applyFill="1" applyBorder="1" applyAlignment="1">
      <alignment vertical="center" wrapText="1"/>
    </xf>
    <xf numFmtId="0" fontId="7" fillId="19" borderId="13" xfId="0" applyFont="1" applyFill="1" applyBorder="1" applyAlignment="1">
      <alignment horizontal="center" vertical="center" wrapText="1"/>
    </xf>
    <xf numFmtId="0" fontId="6" fillId="19" borderId="13" xfId="0" applyFont="1" applyFill="1" applyBorder="1" applyAlignment="1">
      <alignment horizontal="left" vertical="center" wrapText="1"/>
    </xf>
    <xf numFmtId="0" fontId="11" fillId="19" borderId="13" xfId="0" applyFont="1" applyFill="1" applyBorder="1" applyAlignment="1">
      <alignment horizontal="center" vertical="center" wrapText="1"/>
    </xf>
    <xf numFmtId="166" fontId="6" fillId="19" borderId="13" xfId="2" applyNumberFormat="1" applyFont="1" applyFill="1" applyBorder="1" applyAlignment="1">
      <alignment horizontal="center" vertical="center" wrapText="1"/>
    </xf>
    <xf numFmtId="0" fontId="12" fillId="19" borderId="13" xfId="0" applyFont="1" applyFill="1" applyBorder="1" applyAlignment="1">
      <alignment horizontal="left" vertical="center" wrapText="1"/>
    </xf>
    <xf numFmtId="1" fontId="8" fillId="2" borderId="0" xfId="0" applyNumberFormat="1" applyFont="1" applyFill="1" applyAlignment="1">
      <alignment wrapText="1"/>
    </xf>
    <xf numFmtId="164" fontId="8" fillId="2" borderId="0" xfId="3" applyNumberFormat="1" applyFont="1" applyFill="1" applyAlignment="1">
      <alignment wrapText="1"/>
    </xf>
    <xf numFmtId="3" fontId="52" fillId="21" borderId="7" xfId="0" applyNumberFormat="1" applyFont="1" applyFill="1" applyBorder="1" applyAlignment="1">
      <alignment horizontal="right" vertical="center" wrapText="1"/>
    </xf>
    <xf numFmtId="0" fontId="16" fillId="11" borderId="7" xfId="0" applyFont="1" applyFill="1" applyBorder="1" applyAlignment="1">
      <alignment vertical="center"/>
    </xf>
    <xf numFmtId="166" fontId="8" fillId="0" borderId="6" xfId="2" applyNumberFormat="1" applyFont="1" applyBorder="1" applyAlignment="1">
      <alignment horizontal="center" vertical="center" wrapText="1"/>
    </xf>
    <xf numFmtId="0" fontId="25" fillId="26" borderId="13" xfId="0" applyFont="1" applyFill="1" applyBorder="1" applyAlignment="1">
      <alignment horizontal="center" vertical="center"/>
    </xf>
    <xf numFmtId="166" fontId="8" fillId="0" borderId="7" xfId="2" applyNumberFormat="1" applyFont="1" applyBorder="1" applyAlignment="1">
      <alignment horizontal="center" vertical="center" wrapText="1"/>
    </xf>
    <xf numFmtId="0" fontId="13" fillId="2" borderId="7" xfId="0" applyFont="1" applyFill="1" applyBorder="1" applyAlignment="1">
      <alignment vertical="center" wrapText="1"/>
    </xf>
    <xf numFmtId="0" fontId="8" fillId="2" borderId="0" xfId="0" applyFont="1" applyFill="1" applyAlignment="1">
      <alignment horizontal="center" vertical="center" wrapText="1"/>
    </xf>
    <xf numFmtId="0" fontId="13" fillId="18" borderId="2" xfId="0" applyFont="1" applyFill="1" applyBorder="1" applyAlignment="1">
      <alignment vertical="center" wrapText="1"/>
    </xf>
    <xf numFmtId="166" fontId="6" fillId="19" borderId="16" xfId="2" applyNumberFormat="1" applyFont="1" applyFill="1" applyBorder="1" applyAlignment="1">
      <alignment horizontal="center" vertical="center"/>
    </xf>
    <xf numFmtId="0" fontId="58" fillId="26" borderId="7" xfId="0" applyFont="1" applyFill="1" applyBorder="1" applyAlignment="1">
      <alignment horizontal="left" vertical="center" wrapText="1"/>
    </xf>
    <xf numFmtId="0" fontId="58" fillId="26" borderId="8" xfId="0" applyFont="1" applyFill="1" applyBorder="1" applyAlignment="1">
      <alignment horizontal="left" vertical="center" wrapText="1"/>
    </xf>
    <xf numFmtId="0" fontId="25" fillId="26" borderId="7" xfId="0" applyFont="1" applyFill="1" applyBorder="1" applyAlignment="1">
      <alignment horizontal="center" vertical="center" wrapText="1"/>
    </xf>
    <xf numFmtId="0" fontId="25" fillId="26" borderId="8" xfId="0" applyFont="1" applyFill="1" applyBorder="1" applyAlignment="1">
      <alignment horizontal="center" vertical="center" wrapText="1"/>
    </xf>
    <xf numFmtId="1" fontId="45" fillId="2" borderId="0" xfId="0" applyNumberFormat="1" applyFont="1" applyFill="1" applyAlignment="1">
      <alignment horizontal="right" vertical="center"/>
    </xf>
    <xf numFmtId="0" fontId="13" fillId="2" borderId="0" xfId="0" applyFont="1" applyFill="1" applyAlignment="1">
      <alignment horizontal="center"/>
    </xf>
    <xf numFmtId="0" fontId="101" fillId="5" borderId="0" xfId="0" applyFont="1" applyFill="1" applyAlignment="1">
      <alignment vertical="center"/>
    </xf>
    <xf numFmtId="0" fontId="110" fillId="2" borderId="0" xfId="0" applyFont="1" applyFill="1" applyAlignment="1">
      <alignment horizontal="right" vertical="center"/>
    </xf>
    <xf numFmtId="0" fontId="12" fillId="2" borderId="0" xfId="1" applyFont="1" applyFill="1" applyAlignment="1">
      <alignment horizontal="center" vertical="center"/>
    </xf>
    <xf numFmtId="9" fontId="13" fillId="2" borderId="0" xfId="3" applyFont="1" applyFill="1"/>
    <xf numFmtId="0" fontId="65" fillId="2" borderId="0" xfId="0" applyFont="1" applyFill="1"/>
    <xf numFmtId="0" fontId="108" fillId="5" borderId="0" xfId="0" applyFont="1" applyFill="1"/>
    <xf numFmtId="49" fontId="13" fillId="0" borderId="0" xfId="0" applyNumberFormat="1" applyFont="1" applyAlignment="1">
      <alignment horizontal="center"/>
    </xf>
    <xf numFmtId="49" fontId="12" fillId="2" borderId="0" xfId="0" applyNumberFormat="1" applyFont="1" applyFill="1" applyAlignment="1">
      <alignment horizontal="center"/>
    </xf>
    <xf numFmtId="0" fontId="63" fillId="2" borderId="0" xfId="0" applyFont="1" applyFill="1" applyAlignment="1">
      <alignment horizontal="right" vertical="top" indent="2"/>
    </xf>
    <xf numFmtId="0" fontId="64" fillId="2" borderId="0" xfId="0" applyFont="1" applyFill="1" applyAlignment="1">
      <alignment horizontal="left" vertical="top"/>
    </xf>
    <xf numFmtId="0" fontId="63" fillId="2" borderId="0" xfId="0" applyFont="1" applyFill="1" applyAlignment="1">
      <alignment horizontal="right" indent="2"/>
    </xf>
    <xf numFmtId="0" fontId="103" fillId="2" borderId="0" xfId="0" applyFont="1" applyFill="1" applyAlignment="1">
      <alignment horizontal="left" vertical="center"/>
    </xf>
    <xf numFmtId="0" fontId="112" fillId="2" borderId="0" xfId="0" applyFont="1" applyFill="1" applyAlignment="1">
      <alignment horizontal="left" vertical="center"/>
    </xf>
    <xf numFmtId="0" fontId="22" fillId="29" borderId="7" xfId="0" applyFont="1" applyFill="1" applyBorder="1" applyAlignment="1">
      <alignment vertical="center" wrapText="1"/>
    </xf>
    <xf numFmtId="168" fontId="109" fillId="5" borderId="0" xfId="0" applyNumberFormat="1" applyFont="1" applyFill="1" applyAlignment="1">
      <alignment vertical="center"/>
    </xf>
    <xf numFmtId="10" fontId="21" fillId="2" borderId="0" xfId="3" applyNumberFormat="1" applyFont="1" applyFill="1" applyBorder="1" applyAlignment="1">
      <alignment horizontal="right" vertical="center"/>
    </xf>
    <xf numFmtId="0" fontId="8" fillId="0" borderId="0" xfId="0" applyFont="1" applyAlignment="1">
      <alignment vertical="center"/>
    </xf>
    <xf numFmtId="0" fontId="8" fillId="19" borderId="13" xfId="0" applyFont="1" applyFill="1" applyBorder="1"/>
    <xf numFmtId="3" fontId="8" fillId="19" borderId="13" xfId="0" applyNumberFormat="1" applyFont="1" applyFill="1" applyBorder="1"/>
    <xf numFmtId="0" fontId="113" fillId="2" borderId="0" xfId="0" applyFont="1" applyFill="1" applyAlignment="1">
      <alignment vertical="center"/>
    </xf>
    <xf numFmtId="0" fontId="104" fillId="2" borderId="0" xfId="0" applyFont="1" applyFill="1"/>
    <xf numFmtId="0" fontId="6" fillId="2" borderId="0" xfId="0" applyFont="1" applyFill="1" applyAlignment="1">
      <alignment vertical="center"/>
    </xf>
    <xf numFmtId="0" fontId="11" fillId="2" borderId="0" xfId="0" applyFont="1" applyFill="1" applyAlignment="1">
      <alignment vertical="center"/>
    </xf>
    <xf numFmtId="0" fontId="13" fillId="2" borderId="30" xfId="0" applyFont="1" applyFill="1" applyBorder="1" applyAlignment="1">
      <alignment vertical="center"/>
    </xf>
    <xf numFmtId="0" fontId="12" fillId="0" borderId="30" xfId="0" applyFont="1" applyBorder="1" applyAlignment="1">
      <alignment horizontal="left" vertical="center" wrapText="1"/>
    </xf>
    <xf numFmtId="164" fontId="6" fillId="19" borderId="13" xfId="3" applyNumberFormat="1" applyFont="1" applyFill="1" applyBorder="1" applyAlignment="1">
      <alignment horizontal="right" vertical="center" wrapText="1"/>
    </xf>
    <xf numFmtId="166" fontId="6" fillId="19" borderId="13" xfId="2" applyNumberFormat="1" applyFont="1" applyFill="1" applyBorder="1" applyAlignment="1">
      <alignment horizontal="right" vertical="center" wrapText="1"/>
    </xf>
    <xf numFmtId="49" fontId="6" fillId="19" borderId="13" xfId="2" applyNumberFormat="1" applyFont="1" applyFill="1" applyBorder="1" applyAlignment="1">
      <alignment horizontal="right" vertical="center" wrapText="1"/>
    </xf>
    <xf numFmtId="0" fontId="7" fillId="19" borderId="8" xfId="0" applyFont="1" applyFill="1" applyBorder="1" applyAlignment="1">
      <alignment horizontal="center" vertical="center"/>
    </xf>
    <xf numFmtId="166" fontId="6" fillId="19" borderId="16" xfId="2" applyNumberFormat="1" applyFont="1" applyFill="1" applyBorder="1" applyAlignment="1">
      <alignment horizontal="center" vertical="center" wrapText="1"/>
    </xf>
    <xf numFmtId="164" fontId="6" fillId="19" borderId="7" xfId="3" applyNumberFormat="1" applyFont="1" applyFill="1" applyBorder="1" applyAlignment="1">
      <alignment horizontal="center" vertical="center"/>
    </xf>
    <xf numFmtId="0" fontId="7" fillId="19" borderId="13" xfId="0" applyFont="1" applyFill="1" applyBorder="1" applyAlignment="1">
      <alignment horizontal="left" vertical="center" wrapText="1"/>
    </xf>
    <xf numFmtId="0" fontId="92" fillId="19" borderId="13" xfId="0" applyFont="1" applyFill="1" applyBorder="1" applyAlignment="1">
      <alignment horizontal="center" vertical="center" wrapText="1"/>
    </xf>
    <xf numFmtId="0" fontId="92" fillId="19" borderId="13" xfId="0" applyFont="1" applyFill="1" applyBorder="1" applyAlignment="1">
      <alignment vertical="center"/>
    </xf>
    <xf numFmtId="166" fontId="6" fillId="19" borderId="13" xfId="2" applyNumberFormat="1" applyFont="1" applyFill="1" applyBorder="1" applyAlignment="1">
      <alignment horizontal="right" vertical="center"/>
    </xf>
    <xf numFmtId="166" fontId="8" fillId="2" borderId="0" xfId="2" applyNumberFormat="1" applyFont="1" applyFill="1" applyAlignment="1">
      <alignment horizontal="center" vertical="center" wrapText="1"/>
    </xf>
    <xf numFmtId="166" fontId="6" fillId="0" borderId="0" xfId="2" applyNumberFormat="1" applyFont="1" applyAlignment="1">
      <alignment wrapText="1"/>
    </xf>
    <xf numFmtId="166" fontId="6" fillId="2" borderId="0" xfId="2" applyNumberFormat="1" applyFont="1" applyFill="1" applyAlignment="1">
      <alignment horizontal="center" vertical="center" wrapText="1"/>
    </xf>
    <xf numFmtId="166" fontId="6" fillId="2" borderId="0" xfId="2" applyNumberFormat="1" applyFont="1" applyFill="1" applyAlignment="1">
      <alignment wrapText="1"/>
    </xf>
    <xf numFmtId="166" fontId="6" fillId="0" borderId="0" xfId="2" applyNumberFormat="1" applyFont="1" applyAlignment="1">
      <alignment horizontal="center" vertical="center" wrapText="1"/>
    </xf>
    <xf numFmtId="166" fontId="7" fillId="0" borderId="16" xfId="2" applyNumberFormat="1" applyFont="1" applyBorder="1" applyAlignment="1">
      <alignment horizontal="center" vertical="center"/>
    </xf>
    <xf numFmtId="9" fontId="8" fillId="0" borderId="7" xfId="3" applyFont="1" applyBorder="1"/>
    <xf numFmtId="0" fontId="8" fillId="0" borderId="7" xfId="0" applyFont="1" applyBorder="1"/>
    <xf numFmtId="0" fontId="113" fillId="2" borderId="30" xfId="0" applyFont="1" applyFill="1" applyBorder="1" applyAlignment="1">
      <alignment vertical="center"/>
    </xf>
    <xf numFmtId="0" fontId="114" fillId="0" borderId="30" xfId="0" applyFont="1" applyBorder="1" applyAlignment="1">
      <alignment vertical="center" wrapText="1"/>
    </xf>
    <xf numFmtId="0" fontId="114" fillId="5" borderId="30" xfId="0" applyFont="1" applyFill="1" applyBorder="1" applyAlignment="1">
      <alignment vertical="center"/>
    </xf>
    <xf numFmtId="0" fontId="114" fillId="0" borderId="30" xfId="0" applyFont="1" applyBorder="1" applyAlignment="1">
      <alignment horizontal="left" vertical="center"/>
    </xf>
    <xf numFmtId="0" fontId="114" fillId="0" borderId="30" xfId="0" applyFont="1" applyBorder="1" applyAlignment="1">
      <alignment vertical="center"/>
    </xf>
    <xf numFmtId="0" fontId="113" fillId="0" borderId="30" xfId="0" applyFont="1" applyBorder="1" applyAlignment="1">
      <alignment vertical="center"/>
    </xf>
    <xf numFmtId="3" fontId="114" fillId="5" borderId="30" xfId="0" applyNumberFormat="1" applyFont="1" applyFill="1" applyBorder="1" applyAlignment="1">
      <alignment horizontal="right" vertical="center"/>
    </xf>
    <xf numFmtId="0" fontId="116" fillId="0" borderId="30" xfId="0" applyFont="1" applyBorder="1" applyAlignment="1">
      <alignment vertical="center"/>
    </xf>
    <xf numFmtId="0" fontId="52" fillId="2" borderId="0" xfId="0" applyFont="1" applyFill="1" applyAlignment="1">
      <alignment horizontal="left" vertical="top" wrapText="1"/>
    </xf>
    <xf numFmtId="0" fontId="80" fillId="2" borderId="0" xfId="0" applyFont="1" applyFill="1" applyAlignment="1">
      <alignment vertical="top" wrapText="1"/>
    </xf>
    <xf numFmtId="171" fontId="86" fillId="4" borderId="30" xfId="0" applyNumberFormat="1" applyFont="1" applyFill="1" applyBorder="1" applyAlignment="1">
      <alignment horizontal="right" vertical="center"/>
    </xf>
    <xf numFmtId="0" fontId="113" fillId="0" borderId="30" xfId="0" applyFont="1" applyBorder="1" applyAlignment="1">
      <alignment horizontal="left" vertical="center"/>
    </xf>
    <xf numFmtId="0" fontId="113" fillId="0" borderId="30" xfId="0" applyFont="1" applyBorder="1" applyAlignment="1">
      <alignment horizontal="left" vertical="center" wrapText="1"/>
    </xf>
    <xf numFmtId="0" fontId="114" fillId="0" borderId="30" xfId="0" applyFont="1" applyBorder="1" applyAlignment="1">
      <alignment horizontal="left" vertical="center" wrapText="1"/>
    </xf>
    <xf numFmtId="0" fontId="114" fillId="2" borderId="30" xfId="0" applyFont="1" applyFill="1" applyBorder="1" applyAlignment="1">
      <alignment vertical="center"/>
    </xf>
    <xf numFmtId="0" fontId="114" fillId="0" borderId="30" xfId="0" applyFont="1" applyBorder="1" applyAlignment="1">
      <alignment horizontal="right" vertical="center" wrapText="1"/>
    </xf>
    <xf numFmtId="2" fontId="114" fillId="0" borderId="30" xfId="0" applyNumberFormat="1" applyFont="1" applyBorder="1" applyAlignment="1">
      <alignment horizontal="right" vertical="center" wrapText="1"/>
    </xf>
    <xf numFmtId="1" fontId="114" fillId="0" borderId="30" xfId="0" applyNumberFormat="1" applyFont="1" applyBorder="1" applyAlignment="1">
      <alignment vertical="center"/>
    </xf>
    <xf numFmtId="2" fontId="114" fillId="0" borderId="30" xfId="0" applyNumberFormat="1" applyFont="1" applyBorder="1" applyAlignment="1">
      <alignment vertical="center"/>
    </xf>
    <xf numFmtId="165" fontId="114" fillId="0" borderId="30" xfId="0" applyNumberFormat="1" applyFont="1" applyBorder="1" applyAlignment="1">
      <alignment horizontal="right" vertical="center"/>
    </xf>
    <xf numFmtId="0" fontId="114" fillId="0" borderId="30" xfId="0" applyFont="1" applyBorder="1" applyAlignment="1">
      <alignment horizontal="right" vertical="center"/>
    </xf>
    <xf numFmtId="0" fontId="114" fillId="2" borderId="30" xfId="0" applyFont="1" applyFill="1" applyBorder="1" applyAlignment="1">
      <alignment horizontal="right" vertical="center"/>
    </xf>
    <xf numFmtId="0" fontId="113" fillId="2" borderId="0" xfId="0" applyFont="1" applyFill="1"/>
    <xf numFmtId="0" fontId="113" fillId="0" borderId="30" xfId="0" applyFont="1" applyBorder="1" applyAlignment="1">
      <alignment horizontal="left" wrapText="1"/>
    </xf>
    <xf numFmtId="0" fontId="113" fillId="2" borderId="7" xfId="0" applyFont="1" applyFill="1" applyBorder="1" applyAlignment="1">
      <alignment vertical="center" wrapText="1"/>
    </xf>
    <xf numFmtId="0" fontId="113" fillId="2" borderId="42" xfId="0" applyFont="1" applyFill="1" applyBorder="1" applyAlignment="1">
      <alignment vertical="center" wrapText="1"/>
    </xf>
    <xf numFmtId="0" fontId="113" fillId="2" borderId="43" xfId="0" applyFont="1" applyFill="1" applyBorder="1" applyAlignment="1">
      <alignment vertical="center" wrapText="1"/>
    </xf>
    <xf numFmtId="0" fontId="111" fillId="2" borderId="0" xfId="0" applyFont="1" applyFill="1" applyAlignment="1">
      <alignment vertical="center"/>
    </xf>
    <xf numFmtId="0" fontId="114" fillId="0" borderId="30" xfId="0" applyFont="1" applyBorder="1"/>
    <xf numFmtId="0" fontId="65" fillId="0" borderId="45" xfId="0" applyFont="1" applyBorder="1" applyAlignment="1">
      <alignment vertical="center" wrapText="1"/>
    </xf>
    <xf numFmtId="0" fontId="13" fillId="0" borderId="45" xfId="0" applyFont="1" applyBorder="1" applyAlignment="1">
      <alignment vertical="center"/>
    </xf>
    <xf numFmtId="0" fontId="13" fillId="0" borderId="45" xfId="0" applyFont="1" applyBorder="1" applyAlignment="1">
      <alignment horizontal="center" vertical="center" wrapText="1"/>
    </xf>
    <xf numFmtId="0" fontId="134" fillId="0" borderId="45" xfId="0" applyFont="1" applyBorder="1" applyAlignment="1">
      <alignment vertical="center" wrapText="1"/>
    </xf>
    <xf numFmtId="0" fontId="114" fillId="5" borderId="30" xfId="0" applyFont="1" applyFill="1" applyBorder="1" applyAlignment="1">
      <alignment horizontal="left" vertical="center" wrapText="1"/>
    </xf>
    <xf numFmtId="0" fontId="119" fillId="5" borderId="30" xfId="0" applyFont="1" applyFill="1" applyBorder="1" applyAlignment="1">
      <alignment horizontal="left" vertical="center" wrapText="1"/>
    </xf>
    <xf numFmtId="0" fontId="117" fillId="5" borderId="30" xfId="0" applyFont="1" applyFill="1" applyBorder="1" applyAlignment="1">
      <alignment horizontal="left" vertical="center"/>
    </xf>
    <xf numFmtId="0" fontId="117" fillId="0" borderId="30" xfId="0" applyFont="1" applyBorder="1" applyAlignment="1">
      <alignment horizontal="left" vertical="center"/>
    </xf>
    <xf numFmtId="0" fontId="138" fillId="2" borderId="0" xfId="0" applyFont="1" applyFill="1"/>
    <xf numFmtId="0" fontId="141" fillId="2" borderId="0" xfId="0" applyFont="1" applyFill="1"/>
    <xf numFmtId="0" fontId="142" fillId="2" borderId="0" xfId="0" applyFont="1" applyFill="1" applyAlignment="1">
      <alignment horizontal="left" vertical="center"/>
    </xf>
    <xf numFmtId="0" fontId="145" fillId="2" borderId="0" xfId="0" applyFont="1" applyFill="1" applyAlignment="1">
      <alignment horizontal="left" vertical="center"/>
    </xf>
    <xf numFmtId="0" fontId="103" fillId="35" borderId="14" xfId="0" applyFont="1" applyFill="1" applyBorder="1" applyAlignment="1">
      <alignment vertical="center" wrapText="1"/>
    </xf>
    <xf numFmtId="0" fontId="103" fillId="35" borderId="14" xfId="0" applyFont="1" applyFill="1" applyBorder="1" applyAlignment="1">
      <alignment horizontal="center" vertical="center" wrapText="1"/>
    </xf>
    <xf numFmtId="3" fontId="143" fillId="4" borderId="30" xfId="0" applyNumberFormat="1" applyFont="1" applyFill="1" applyBorder="1" applyAlignment="1">
      <alignment horizontal="right" vertical="center"/>
    </xf>
    <xf numFmtId="169" fontId="103" fillId="35" borderId="30" xfId="0" applyNumberFormat="1" applyFont="1" applyFill="1" applyBorder="1" applyAlignment="1">
      <alignment horizontal="left" vertical="center"/>
    </xf>
    <xf numFmtId="0" fontId="103" fillId="35" borderId="30" xfId="0" applyFont="1" applyFill="1" applyBorder="1" applyAlignment="1">
      <alignment horizontal="right" vertical="center" wrapText="1"/>
    </xf>
    <xf numFmtId="0" fontId="103" fillId="35" borderId="30" xfId="0" applyFont="1" applyFill="1" applyBorder="1" applyAlignment="1">
      <alignment horizontal="left" vertical="center" wrapText="1"/>
    </xf>
    <xf numFmtId="0" fontId="103" fillId="37" borderId="30" xfId="0" applyFont="1" applyFill="1" applyBorder="1" applyAlignment="1">
      <alignment horizontal="right" vertical="center" wrapText="1"/>
    </xf>
    <xf numFmtId="0" fontId="16" fillId="35" borderId="30" xfId="0" applyFont="1" applyFill="1" applyBorder="1" applyAlignment="1">
      <alignment horizontal="left" vertical="center"/>
    </xf>
    <xf numFmtId="0" fontId="16" fillId="35" borderId="30" xfId="0" applyFont="1" applyFill="1" applyBorder="1" applyAlignment="1">
      <alignment horizontal="left" vertical="center" wrapText="1"/>
    </xf>
    <xf numFmtId="0" fontId="137" fillId="33" borderId="0" xfId="0" applyFont="1" applyFill="1" applyAlignment="1">
      <alignment horizontal="left" vertical="center"/>
    </xf>
    <xf numFmtId="0" fontId="113" fillId="33" borderId="0" xfId="0" applyFont="1" applyFill="1" applyAlignment="1">
      <alignment horizontal="left" vertical="center"/>
    </xf>
    <xf numFmtId="0" fontId="8" fillId="33" borderId="0" xfId="0" applyFont="1" applyFill="1" applyAlignment="1">
      <alignment vertical="center"/>
    </xf>
    <xf numFmtId="0" fontId="136" fillId="25" borderId="49" xfId="0" applyFont="1" applyFill="1" applyBorder="1" applyAlignment="1">
      <alignment horizontal="left" vertical="center"/>
    </xf>
    <xf numFmtId="0" fontId="113" fillId="25" borderId="49" xfId="0" applyFont="1" applyFill="1" applyBorder="1" applyAlignment="1">
      <alignment horizontal="left" vertical="center"/>
    </xf>
    <xf numFmtId="0" fontId="8" fillId="25" borderId="49" xfId="0" applyFont="1" applyFill="1" applyBorder="1" applyAlignment="1">
      <alignment vertical="center"/>
    </xf>
    <xf numFmtId="0" fontId="8" fillId="25" borderId="50" xfId="0" applyFont="1" applyFill="1" applyBorder="1" applyAlignment="1">
      <alignment vertical="center"/>
    </xf>
    <xf numFmtId="0" fontId="136" fillId="25" borderId="0" xfId="0" applyFont="1" applyFill="1" applyAlignment="1">
      <alignment horizontal="left" vertical="center"/>
    </xf>
    <xf numFmtId="0" fontId="113" fillId="25" borderId="0" xfId="0" applyFont="1" applyFill="1" applyAlignment="1">
      <alignment horizontal="left" vertical="center"/>
    </xf>
    <xf numFmtId="0" fontId="8" fillId="25" borderId="0" xfId="0" applyFont="1" applyFill="1" applyAlignment="1">
      <alignment vertical="center"/>
    </xf>
    <xf numFmtId="0" fontId="8" fillId="25" borderId="51" xfId="0" applyFont="1" applyFill="1" applyBorder="1" applyAlignment="1">
      <alignment vertical="center"/>
    </xf>
    <xf numFmtId="0" fontId="136" fillId="25" borderId="52" xfId="0" applyFont="1" applyFill="1" applyBorder="1" applyAlignment="1">
      <alignment horizontal="left" vertical="center"/>
    </xf>
    <xf numFmtId="0" fontId="113" fillId="25" borderId="52" xfId="0" applyFont="1" applyFill="1" applyBorder="1" applyAlignment="1">
      <alignment horizontal="left" vertical="center"/>
    </xf>
    <xf numFmtId="0" fontId="8" fillId="25" borderId="52" xfId="0" applyFont="1" applyFill="1" applyBorder="1" applyAlignment="1">
      <alignment vertical="center"/>
    </xf>
    <xf numFmtId="0" fontId="8" fillId="25" borderId="53" xfId="0" applyFont="1" applyFill="1" applyBorder="1" applyAlignment="1">
      <alignment vertical="center"/>
    </xf>
    <xf numFmtId="0" fontId="137" fillId="33" borderId="49" xfId="0" applyFont="1" applyFill="1" applyBorder="1" applyAlignment="1">
      <alignment horizontal="left" vertical="center"/>
    </xf>
    <xf numFmtId="0" fontId="113" fillId="33" borderId="49" xfId="0" applyFont="1" applyFill="1" applyBorder="1" applyAlignment="1">
      <alignment horizontal="left" vertical="center"/>
    </xf>
    <xf numFmtId="0" fontId="8" fillId="33" borderId="49" xfId="0" applyFont="1" applyFill="1" applyBorder="1" applyAlignment="1">
      <alignment vertical="center"/>
    </xf>
    <xf numFmtId="0" fontId="8" fillId="33" borderId="50" xfId="0" applyFont="1" applyFill="1" applyBorder="1" applyAlignment="1">
      <alignment vertical="center"/>
    </xf>
    <xf numFmtId="0" fontId="8" fillId="33" borderId="51" xfId="0" applyFont="1" applyFill="1" applyBorder="1" applyAlignment="1">
      <alignment vertical="center"/>
    </xf>
    <xf numFmtId="0" fontId="135" fillId="31" borderId="55" xfId="0" applyFont="1" applyFill="1" applyBorder="1" applyAlignment="1">
      <alignment vertical="center"/>
    </xf>
    <xf numFmtId="0" fontId="8" fillId="31" borderId="55" xfId="0" applyFont="1" applyFill="1" applyBorder="1"/>
    <xf numFmtId="0" fontId="8" fillId="31" borderId="56" xfId="0" applyFont="1" applyFill="1" applyBorder="1"/>
    <xf numFmtId="0" fontId="136" fillId="25" borderId="57" xfId="0" applyFont="1" applyFill="1" applyBorder="1" applyAlignment="1">
      <alignment horizontal="left" vertical="center"/>
    </xf>
    <xf numFmtId="0" fontId="136" fillId="25" borderId="58" xfId="0" applyFont="1" applyFill="1" applyBorder="1" applyAlignment="1">
      <alignment horizontal="left" vertical="center"/>
    </xf>
    <xf numFmtId="0" fontId="136" fillId="25" borderId="59" xfId="0" applyFont="1" applyFill="1" applyBorder="1" applyAlignment="1">
      <alignment horizontal="left" vertical="center"/>
    </xf>
    <xf numFmtId="0" fontId="137" fillId="33" borderId="57" xfId="0" applyFont="1" applyFill="1" applyBorder="1" applyAlignment="1">
      <alignment horizontal="left" vertical="center"/>
    </xf>
    <xf numFmtId="0" fontId="137" fillId="33" borderId="58" xfId="0" applyFont="1" applyFill="1" applyBorder="1" applyAlignment="1">
      <alignment horizontal="left" vertical="center"/>
    </xf>
    <xf numFmtId="0" fontId="16" fillId="35" borderId="30" xfId="0" applyFont="1" applyFill="1" applyBorder="1" applyAlignment="1">
      <alignment horizontal="center" vertical="center" wrapText="1"/>
    </xf>
    <xf numFmtId="0" fontId="103" fillId="35" borderId="30" xfId="0" applyFont="1" applyFill="1" applyBorder="1" applyAlignment="1">
      <alignment horizontal="center" vertical="center"/>
    </xf>
    <xf numFmtId="0" fontId="103" fillId="35" borderId="30" xfId="0" applyFont="1" applyFill="1" applyBorder="1" applyAlignment="1">
      <alignment horizontal="center" vertical="center" wrapText="1"/>
    </xf>
    <xf numFmtId="0" fontId="104" fillId="35" borderId="30" xfId="0" applyFont="1" applyFill="1" applyBorder="1" applyAlignment="1">
      <alignment horizontal="center" vertical="center"/>
    </xf>
    <xf numFmtId="0" fontId="104" fillId="35" borderId="30" xfId="0" applyFont="1" applyFill="1" applyBorder="1" applyAlignment="1">
      <alignment horizontal="center" vertical="center" wrapText="1"/>
    </xf>
    <xf numFmtId="0" fontId="143" fillId="20" borderId="30" xfId="0" applyFont="1" applyFill="1" applyBorder="1" applyAlignment="1">
      <alignment horizontal="center" vertical="center" wrapText="1"/>
    </xf>
    <xf numFmtId="0" fontId="114" fillId="2" borderId="30" xfId="0" applyFont="1" applyFill="1" applyBorder="1" applyAlignment="1">
      <alignment horizontal="center" vertical="center" wrapText="1"/>
    </xf>
    <xf numFmtId="2" fontId="114" fillId="0" borderId="30" xfId="0" applyNumberFormat="1" applyFont="1" applyBorder="1" applyAlignment="1">
      <alignment horizontal="center" vertical="center" wrapText="1"/>
    </xf>
    <xf numFmtId="0" fontId="114" fillId="0" borderId="30" xfId="0" applyFont="1" applyBorder="1" applyAlignment="1">
      <alignment horizontal="center" vertical="center" wrapText="1"/>
    </xf>
    <xf numFmtId="0" fontId="143" fillId="20" borderId="30" xfId="0" applyFont="1" applyFill="1" applyBorder="1" applyAlignment="1">
      <alignment horizontal="right" vertical="center" wrapText="1"/>
    </xf>
    <xf numFmtId="165" fontId="143" fillId="20" borderId="30" xfId="0" applyNumberFormat="1" applyFont="1" applyFill="1" applyBorder="1" applyAlignment="1">
      <alignment horizontal="right" vertical="center"/>
    </xf>
    <xf numFmtId="0" fontId="143" fillId="20" borderId="30" xfId="0" applyFont="1" applyFill="1" applyBorder="1" applyAlignment="1">
      <alignment horizontal="right" vertical="center"/>
    </xf>
    <xf numFmtId="0" fontId="86" fillId="20" borderId="30" xfId="0" applyFont="1" applyFill="1" applyBorder="1" applyAlignment="1">
      <alignment vertical="center"/>
    </xf>
    <xf numFmtId="0" fontId="143" fillId="20" borderId="30" xfId="0" applyFont="1" applyFill="1" applyBorder="1" applyAlignment="1">
      <alignment vertical="center"/>
    </xf>
    <xf numFmtId="9" fontId="143" fillId="20" borderId="30" xfId="3" applyFont="1" applyFill="1" applyBorder="1" applyAlignment="1">
      <alignment vertical="center"/>
    </xf>
    <xf numFmtId="0" fontId="64" fillId="2" borderId="0" xfId="0" applyFont="1" applyFill="1" applyAlignment="1">
      <alignment vertical="top"/>
    </xf>
    <xf numFmtId="0" fontId="139" fillId="0" borderId="0" xfId="0" applyFont="1" applyAlignment="1">
      <alignment vertical="center"/>
    </xf>
    <xf numFmtId="0" fontId="113" fillId="2" borderId="0" xfId="0" applyFont="1" applyFill="1" applyAlignment="1">
      <alignment wrapText="1"/>
    </xf>
    <xf numFmtId="171" fontId="143" fillId="4" borderId="30" xfId="0" applyNumberFormat="1" applyFont="1" applyFill="1" applyBorder="1" applyAlignment="1">
      <alignment horizontal="right" vertical="center"/>
    </xf>
    <xf numFmtId="171" fontId="114" fillId="5" borderId="30" xfId="0" applyNumberFormat="1" applyFont="1" applyFill="1" applyBorder="1" applyAlignment="1">
      <alignment horizontal="right" vertical="center"/>
    </xf>
    <xf numFmtId="0" fontId="25" fillId="2" borderId="0" xfId="0" applyFont="1" applyFill="1"/>
    <xf numFmtId="168" fontId="13" fillId="0" borderId="45" xfId="2" applyNumberFormat="1" applyFont="1" applyFill="1" applyBorder="1" applyAlignment="1">
      <alignment vertical="center"/>
    </xf>
    <xf numFmtId="43" fontId="13" fillId="0" borderId="45" xfId="2" applyFont="1" applyFill="1" applyBorder="1" applyAlignment="1">
      <alignment vertical="center"/>
    </xf>
    <xf numFmtId="9" fontId="13" fillId="0" borderId="45" xfId="3" applyFont="1" applyFill="1" applyBorder="1" applyAlignment="1">
      <alignment vertical="center"/>
    </xf>
    <xf numFmtId="166" fontId="113" fillId="2" borderId="0" xfId="0" applyNumberFormat="1" applyFont="1" applyFill="1" applyAlignment="1">
      <alignment vertical="center"/>
    </xf>
    <xf numFmtId="164" fontId="13" fillId="2" borderId="0" xfId="3" applyNumberFormat="1" applyFont="1" applyFill="1"/>
    <xf numFmtId="43" fontId="13" fillId="2" borderId="0" xfId="0" applyNumberFormat="1" applyFont="1" applyFill="1"/>
    <xf numFmtId="0" fontId="114" fillId="2" borderId="42" xfId="0" applyFont="1" applyFill="1" applyBorder="1" applyAlignment="1">
      <alignment horizontal="center" vertical="center"/>
    </xf>
    <xf numFmtId="0" fontId="114" fillId="2" borderId="43" xfId="0" applyFont="1" applyFill="1" applyBorder="1" applyAlignment="1">
      <alignment horizontal="center" vertical="center"/>
    </xf>
    <xf numFmtId="0" fontId="114" fillId="2" borderId="7" xfId="0" applyFont="1" applyFill="1" applyBorder="1" applyAlignment="1">
      <alignment horizontal="center" vertical="center"/>
    </xf>
    <xf numFmtId="2" fontId="114" fillId="2" borderId="30" xfId="0" applyNumberFormat="1" applyFont="1" applyFill="1" applyBorder="1" applyAlignment="1">
      <alignment horizontal="center" vertical="center" wrapText="1"/>
    </xf>
    <xf numFmtId="2" fontId="143" fillId="20" borderId="30" xfId="0" applyNumberFormat="1" applyFont="1" applyFill="1" applyBorder="1" applyAlignment="1">
      <alignment horizontal="center" vertical="center" wrapText="1"/>
    </xf>
    <xf numFmtId="1" fontId="143" fillId="20" borderId="30" xfId="0" applyNumberFormat="1" applyFont="1" applyFill="1" applyBorder="1" applyAlignment="1">
      <alignment horizontal="center" vertical="center" wrapText="1"/>
    </xf>
    <xf numFmtId="0" fontId="13" fillId="0" borderId="30" xfId="0" applyFont="1" applyBorder="1" applyAlignment="1">
      <alignment horizontal="left" vertical="center" wrapText="1"/>
    </xf>
    <xf numFmtId="166" fontId="13" fillId="25" borderId="45" xfId="2" applyNumberFormat="1" applyFont="1" applyFill="1" applyBorder="1" applyAlignment="1">
      <alignment horizontal="right" vertical="center"/>
    </xf>
    <xf numFmtId="9" fontId="111" fillId="25" borderId="45" xfId="3" applyFont="1" applyFill="1" applyBorder="1" applyAlignment="1">
      <alignment vertical="center"/>
    </xf>
    <xf numFmtId="9" fontId="13" fillId="25" borderId="45" xfId="3" applyFont="1" applyFill="1" applyBorder="1" applyAlignment="1">
      <alignment horizontal="right" vertical="center"/>
    </xf>
    <xf numFmtId="0" fontId="13" fillId="25" borderId="45" xfId="0" applyFont="1" applyFill="1" applyBorder="1" applyAlignment="1">
      <alignment horizontal="right" vertical="center"/>
    </xf>
    <xf numFmtId="2" fontId="13" fillId="25" borderId="45" xfId="0" applyNumberFormat="1" applyFont="1" applyFill="1" applyBorder="1" applyAlignment="1">
      <alignment horizontal="right" vertical="center"/>
    </xf>
    <xf numFmtId="2" fontId="143" fillId="20" borderId="30" xfId="0" applyNumberFormat="1" applyFont="1" applyFill="1" applyBorder="1" applyAlignment="1">
      <alignment horizontal="right" vertical="center" wrapText="1"/>
    </xf>
    <xf numFmtId="9" fontId="114" fillId="5" borderId="30" xfId="3" applyFont="1" applyFill="1" applyBorder="1" applyAlignment="1">
      <alignment horizontal="right" vertical="center"/>
    </xf>
    <xf numFmtId="9" fontId="65" fillId="2" borderId="0" xfId="3" applyFont="1" applyFill="1"/>
    <xf numFmtId="0" fontId="12" fillId="0" borderId="45" xfId="0" applyFont="1" applyBorder="1" applyAlignment="1">
      <alignment horizontal="center" vertical="center" wrapText="1"/>
    </xf>
    <xf numFmtId="2" fontId="113" fillId="2" borderId="0" xfId="0" applyNumberFormat="1" applyFont="1" applyFill="1"/>
    <xf numFmtId="0" fontId="25" fillId="35" borderId="30" xfId="0" applyFont="1" applyFill="1" applyBorder="1" applyAlignment="1">
      <alignment horizontal="center" vertical="center" wrapText="1"/>
    </xf>
    <xf numFmtId="174" fontId="13" fillId="2" borderId="0" xfId="0" applyNumberFormat="1" applyFont="1" applyFill="1"/>
    <xf numFmtId="171" fontId="150" fillId="4" borderId="30" xfId="0" applyNumberFormat="1" applyFont="1" applyFill="1" applyBorder="1" applyAlignment="1">
      <alignment horizontal="right" vertical="center"/>
    </xf>
    <xf numFmtId="9" fontId="111" fillId="42" borderId="45" xfId="3" applyFont="1" applyFill="1" applyBorder="1" applyAlignment="1">
      <alignment vertical="center"/>
    </xf>
    <xf numFmtId="9" fontId="13" fillId="2" borderId="0" xfId="0" applyNumberFormat="1" applyFont="1" applyFill="1"/>
    <xf numFmtId="0" fontId="113" fillId="2" borderId="30" xfId="0" applyFont="1" applyFill="1" applyBorder="1" applyAlignment="1">
      <alignment horizontal="left" vertical="center" wrapText="1"/>
    </xf>
    <xf numFmtId="0" fontId="113" fillId="2" borderId="30" xfId="0" applyFont="1" applyFill="1" applyBorder="1" applyAlignment="1">
      <alignment vertical="center" wrapText="1"/>
    </xf>
    <xf numFmtId="0" fontId="116" fillId="2" borderId="30" xfId="0" applyFont="1" applyFill="1" applyBorder="1" applyAlignment="1">
      <alignment vertical="center" wrapText="1"/>
    </xf>
    <xf numFmtId="171" fontId="13" fillId="25" borderId="45" xfId="0" applyNumberFormat="1" applyFont="1" applyFill="1" applyBorder="1" applyAlignment="1">
      <alignment horizontal="right" vertical="center"/>
    </xf>
    <xf numFmtId="176" fontId="8" fillId="2" borderId="0" xfId="0" applyNumberFormat="1" applyFont="1" applyFill="1" applyAlignment="1">
      <alignment vertical="center"/>
    </xf>
    <xf numFmtId="0" fontId="10" fillId="10" borderId="30" xfId="0" applyFont="1" applyFill="1" applyBorder="1" applyAlignment="1">
      <alignment horizontal="right" vertical="center"/>
    </xf>
    <xf numFmtId="1" fontId="114" fillId="0" borderId="30" xfId="0" applyNumberFormat="1" applyFont="1" applyBorder="1" applyAlignment="1">
      <alignment horizontal="center" wrapText="1"/>
    </xf>
    <xf numFmtId="1" fontId="113" fillId="20" borderId="30" xfId="0" applyNumberFormat="1" applyFont="1" applyFill="1" applyBorder="1" applyAlignment="1">
      <alignment horizontal="center" vertical="center" wrapText="1"/>
    </xf>
    <xf numFmtId="1" fontId="114" fillId="0" borderId="30" xfId="0" applyNumberFormat="1" applyFont="1" applyBorder="1" applyAlignment="1">
      <alignment horizontal="center" vertical="center" wrapText="1"/>
    </xf>
    <xf numFmtId="0" fontId="160" fillId="2" borderId="0" xfId="0" applyFont="1" applyFill="1"/>
    <xf numFmtId="3" fontId="114" fillId="5" borderId="34" xfId="0" applyNumberFormat="1" applyFont="1" applyFill="1" applyBorder="1" applyAlignment="1">
      <alignment horizontal="right" vertical="center"/>
    </xf>
    <xf numFmtId="171" fontId="8" fillId="2" borderId="0" xfId="0" applyNumberFormat="1" applyFont="1" applyFill="1" applyAlignment="1">
      <alignment vertical="center"/>
    </xf>
    <xf numFmtId="1" fontId="8" fillId="2" borderId="0" xfId="0" applyNumberFormat="1" applyFont="1" applyFill="1" applyAlignment="1">
      <alignment vertical="center"/>
    </xf>
    <xf numFmtId="171" fontId="114" fillId="7" borderId="30" xfId="0" applyNumberFormat="1" applyFont="1" applyFill="1" applyBorder="1" applyAlignment="1">
      <alignment horizontal="right" vertical="center"/>
    </xf>
    <xf numFmtId="171" fontId="114" fillId="7" borderId="34" xfId="0" applyNumberFormat="1" applyFont="1" applyFill="1" applyBorder="1" applyAlignment="1">
      <alignment horizontal="right" vertical="center"/>
    </xf>
    <xf numFmtId="0" fontId="37" fillId="5" borderId="0" xfId="0" applyFont="1" applyFill="1" applyAlignment="1">
      <alignment vertical="center" wrapText="1"/>
    </xf>
    <xf numFmtId="0" fontId="25" fillId="2" borderId="0" xfId="0" applyFont="1" applyFill="1" applyAlignment="1">
      <alignment horizontal="center" vertical="center" wrapText="1"/>
    </xf>
    <xf numFmtId="0" fontId="114" fillId="2" borderId="42" xfId="0" applyFont="1" applyFill="1" applyBorder="1" applyAlignment="1">
      <alignment horizontal="right" vertical="center"/>
    </xf>
    <xf numFmtId="0" fontId="10" fillId="10" borderId="30" xfId="0" applyFont="1" applyFill="1" applyBorder="1" applyAlignment="1">
      <alignment horizontal="right" vertical="center" wrapText="1"/>
    </xf>
    <xf numFmtId="9" fontId="114" fillId="4" borderId="30" xfId="3" applyFont="1" applyFill="1" applyBorder="1" applyAlignment="1">
      <alignment horizontal="right" vertical="center"/>
    </xf>
    <xf numFmtId="0" fontId="119" fillId="38" borderId="30" xfId="0" applyFont="1" applyFill="1" applyBorder="1" applyAlignment="1">
      <alignment vertical="center" wrapText="1"/>
    </xf>
    <xf numFmtId="0" fontId="119" fillId="38" borderId="30" xfId="0" applyFont="1" applyFill="1" applyBorder="1" applyAlignment="1">
      <alignment vertical="center"/>
    </xf>
    <xf numFmtId="0" fontId="117" fillId="0" borderId="30" xfId="0" applyFont="1" applyBorder="1"/>
    <xf numFmtId="0" fontId="117" fillId="0" borderId="30" xfId="0" applyFont="1" applyBorder="1" applyAlignment="1">
      <alignment horizontal="center"/>
    </xf>
    <xf numFmtId="0" fontId="119" fillId="20" borderId="30" xfId="0" applyFont="1" applyFill="1" applyBorder="1" applyAlignment="1">
      <alignment vertical="center" wrapText="1"/>
    </xf>
    <xf numFmtId="0" fontId="119" fillId="20" borderId="30" xfId="0" applyFont="1" applyFill="1" applyBorder="1" applyAlignment="1">
      <alignment horizontal="center" vertical="center"/>
    </xf>
    <xf numFmtId="0" fontId="114" fillId="2" borderId="30" xfId="0" applyFont="1" applyFill="1" applyBorder="1" applyAlignment="1">
      <alignment horizontal="center"/>
    </xf>
    <xf numFmtId="0" fontId="113" fillId="2" borderId="0" xfId="0" applyFont="1" applyFill="1" applyAlignment="1">
      <alignment horizontal="left" vertical="center" wrapText="1"/>
    </xf>
    <xf numFmtId="0" fontId="119" fillId="20" borderId="30" xfId="0" applyFont="1" applyFill="1" applyBorder="1" applyAlignment="1">
      <alignment horizontal="left" vertical="center" wrapText="1"/>
    </xf>
    <xf numFmtId="0" fontId="144" fillId="20" borderId="30" xfId="0" applyFont="1" applyFill="1" applyBorder="1" applyAlignment="1">
      <alignment horizontal="center" vertical="center" wrapText="1"/>
    </xf>
    <xf numFmtId="0" fontId="119" fillId="2" borderId="30" xfId="0" applyFont="1" applyFill="1" applyBorder="1" applyAlignment="1">
      <alignment horizontal="center" vertical="center" wrapText="1"/>
    </xf>
    <xf numFmtId="0" fontId="113" fillId="2" borderId="30" xfId="0" applyFont="1" applyFill="1" applyBorder="1" applyAlignment="1">
      <alignment horizontal="center" vertical="center" wrapText="1"/>
    </xf>
    <xf numFmtId="0" fontId="116" fillId="2" borderId="30" xfId="0" applyFont="1" applyFill="1" applyBorder="1" applyAlignment="1">
      <alignment horizontal="center" vertical="center" wrapText="1"/>
    </xf>
    <xf numFmtId="0" fontId="114" fillId="10" borderId="30" xfId="0" applyFont="1" applyFill="1" applyBorder="1" applyAlignment="1">
      <alignment horizontal="right" vertical="center"/>
    </xf>
    <xf numFmtId="0" fontId="114" fillId="10" borderId="34" xfId="0" applyFont="1" applyFill="1" applyBorder="1" applyAlignment="1">
      <alignment horizontal="right" vertical="center"/>
    </xf>
    <xf numFmtId="9" fontId="113" fillId="2" borderId="64" xfId="3" applyFont="1" applyFill="1" applyBorder="1" applyAlignment="1">
      <alignment horizontal="center" vertical="center"/>
    </xf>
    <xf numFmtId="9" fontId="113" fillId="2" borderId="0" xfId="3" applyFont="1" applyFill="1" applyAlignment="1">
      <alignment vertical="center"/>
    </xf>
    <xf numFmtId="9" fontId="114" fillId="2" borderId="64" xfId="3" applyFont="1" applyFill="1" applyBorder="1" applyAlignment="1">
      <alignment horizontal="center" vertical="center"/>
    </xf>
    <xf numFmtId="171" fontId="113" fillId="2" borderId="0" xfId="0" applyNumberFormat="1" applyFont="1" applyFill="1" applyAlignment="1">
      <alignment vertical="center"/>
    </xf>
    <xf numFmtId="164" fontId="113" fillId="2" borderId="0" xfId="3" applyNumberFormat="1" applyFont="1" applyFill="1" applyAlignment="1">
      <alignment vertical="center"/>
    </xf>
    <xf numFmtId="178" fontId="113" fillId="2" borderId="0" xfId="0" applyNumberFormat="1" applyFont="1" applyFill="1" applyAlignment="1">
      <alignment vertical="center"/>
    </xf>
    <xf numFmtId="43" fontId="113" fillId="2" borderId="0" xfId="0" applyNumberFormat="1" applyFont="1" applyFill="1" applyAlignment="1">
      <alignment vertical="center"/>
    </xf>
    <xf numFmtId="0" fontId="114" fillId="2" borderId="0" xfId="0" applyFont="1" applyFill="1" applyAlignment="1">
      <alignment vertical="center"/>
    </xf>
    <xf numFmtId="166" fontId="113" fillId="2" borderId="0" xfId="2" applyNumberFormat="1" applyFont="1" applyFill="1" applyAlignment="1">
      <alignment vertical="center"/>
    </xf>
    <xf numFmtId="2" fontId="113" fillId="2" borderId="0" xfId="0" applyNumberFormat="1" applyFont="1" applyFill="1" applyAlignment="1">
      <alignment vertical="center"/>
    </xf>
    <xf numFmtId="0" fontId="113" fillId="2" borderId="64" xfId="0" applyFont="1" applyFill="1" applyBorder="1" applyAlignment="1">
      <alignment vertical="center"/>
    </xf>
    <xf numFmtId="0" fontId="167" fillId="2" borderId="0" xfId="0" applyFont="1" applyFill="1" applyAlignment="1">
      <alignment horizontal="left" vertical="center"/>
    </xf>
    <xf numFmtId="0" fontId="168" fillId="2" borderId="0" xfId="0" applyFont="1" applyFill="1" applyAlignment="1">
      <alignment horizontal="left" vertical="center"/>
    </xf>
    <xf numFmtId="3" fontId="150" fillId="4" borderId="30" xfId="0" applyNumberFormat="1" applyFont="1" applyFill="1" applyBorder="1" applyAlignment="1">
      <alignment horizontal="right"/>
    </xf>
    <xf numFmtId="171" fontId="150" fillId="4" borderId="30" xfId="0" applyNumberFormat="1" applyFont="1" applyFill="1" applyBorder="1" applyAlignment="1">
      <alignment horizontal="right"/>
    </xf>
    <xf numFmtId="9" fontId="150" fillId="4" borderId="30" xfId="0" applyNumberFormat="1" applyFont="1" applyFill="1" applyBorder="1" applyAlignment="1">
      <alignment horizontal="right"/>
    </xf>
    <xf numFmtId="3" fontId="86" fillId="4" borderId="30" xfId="0" applyNumberFormat="1" applyFont="1" applyFill="1" applyBorder="1" applyAlignment="1">
      <alignment horizontal="right"/>
    </xf>
    <xf numFmtId="1" fontId="86" fillId="4" borderId="30" xfId="0" applyNumberFormat="1" applyFont="1" applyFill="1" applyBorder="1" applyAlignment="1">
      <alignment horizontal="right"/>
    </xf>
    <xf numFmtId="9" fontId="86" fillId="4" borderId="30" xfId="0" applyNumberFormat="1" applyFont="1" applyFill="1" applyBorder="1" applyAlignment="1">
      <alignment horizontal="right"/>
    </xf>
    <xf numFmtId="2" fontId="150" fillId="4" borderId="30" xfId="0" applyNumberFormat="1" applyFont="1" applyFill="1" applyBorder="1" applyAlignment="1">
      <alignment horizontal="right"/>
    </xf>
    <xf numFmtId="0" fontId="103" fillId="35" borderId="30" xfId="0" applyFont="1" applyFill="1" applyBorder="1" applyAlignment="1">
      <alignment vertical="center"/>
    </xf>
    <xf numFmtId="0" fontId="103" fillId="35" borderId="30" xfId="0" applyFont="1" applyFill="1" applyBorder="1" applyAlignment="1">
      <alignment horizontal="right" vertical="center"/>
    </xf>
    <xf numFmtId="0" fontId="13" fillId="19" borderId="30" xfId="0" applyFont="1" applyFill="1" applyBorder="1" applyAlignment="1">
      <alignment vertical="center"/>
    </xf>
    <xf numFmtId="0" fontId="13" fillId="19" borderId="30" xfId="0" applyFont="1" applyFill="1" applyBorder="1" applyAlignment="1">
      <alignment horizontal="left" vertical="center" wrapText="1"/>
    </xf>
    <xf numFmtId="0" fontId="12" fillId="2" borderId="30" xfId="0" applyFont="1" applyFill="1" applyBorder="1" applyAlignment="1">
      <alignment horizontal="right" vertical="center" wrapText="1"/>
    </xf>
    <xf numFmtId="0" fontId="11" fillId="19" borderId="30" xfId="0" applyFont="1" applyFill="1" applyBorder="1" applyAlignment="1">
      <alignment horizontal="right" vertical="center"/>
    </xf>
    <xf numFmtId="0" fontId="13" fillId="2" borderId="30" xfId="0" applyFont="1" applyFill="1" applyBorder="1" applyAlignment="1">
      <alignment vertical="center" wrapText="1"/>
    </xf>
    <xf numFmtId="0" fontId="12" fillId="2" borderId="30" xfId="0" applyFont="1" applyFill="1" applyBorder="1" applyAlignment="1">
      <alignment vertical="center" wrapText="1"/>
    </xf>
    <xf numFmtId="0" fontId="11" fillId="19" borderId="30" xfId="0" applyFont="1" applyFill="1" applyBorder="1" applyAlignment="1">
      <alignment vertical="center" wrapText="1"/>
    </xf>
    <xf numFmtId="0" fontId="11" fillId="19" borderId="30" xfId="0" applyFont="1" applyFill="1" applyBorder="1" applyAlignment="1">
      <alignment horizontal="left" vertical="center" wrapText="1"/>
    </xf>
    <xf numFmtId="0" fontId="13" fillId="19" borderId="30" xfId="0" applyFont="1" applyFill="1" applyBorder="1" applyAlignment="1">
      <alignment vertical="center" wrapText="1"/>
    </xf>
    <xf numFmtId="0" fontId="13" fillId="19" borderId="30" xfId="0" quotePrefix="1" applyFont="1" applyFill="1" applyBorder="1" applyAlignment="1">
      <alignment vertical="center" wrapText="1"/>
    </xf>
    <xf numFmtId="0" fontId="13" fillId="19" borderId="30" xfId="0" quotePrefix="1" applyFont="1" applyFill="1" applyBorder="1" applyAlignment="1">
      <alignment horizontal="left" vertical="center" wrapText="1"/>
    </xf>
    <xf numFmtId="0" fontId="65" fillId="4" borderId="30" xfId="0" applyFont="1" applyFill="1" applyBorder="1" applyAlignment="1">
      <alignment vertical="center"/>
    </xf>
    <xf numFmtId="0" fontId="12" fillId="19" borderId="30" xfId="0" applyFont="1" applyFill="1" applyBorder="1" applyAlignment="1">
      <alignment vertical="center" wrapText="1"/>
    </xf>
    <xf numFmtId="0" fontId="164" fillId="0" borderId="30" xfId="1" applyFont="1" applyBorder="1" applyAlignment="1" applyProtection="1">
      <alignment horizontal="right" vertical="center" wrapText="1"/>
    </xf>
    <xf numFmtId="0" fontId="13" fillId="0" borderId="30" xfId="0" applyFont="1" applyBorder="1" applyAlignment="1">
      <alignment vertical="center" wrapText="1"/>
    </xf>
    <xf numFmtId="0" fontId="12" fillId="19" borderId="30" xfId="0" applyFont="1" applyFill="1" applyBorder="1" applyAlignment="1">
      <alignment vertical="center"/>
    </xf>
    <xf numFmtId="0" fontId="11" fillId="2" borderId="30" xfId="0" applyFont="1" applyFill="1" applyBorder="1" applyAlignment="1">
      <alignment horizontal="right" vertical="center"/>
    </xf>
    <xf numFmtId="0" fontId="13" fillId="19" borderId="0" xfId="0" applyFont="1" applyFill="1" applyAlignment="1">
      <alignment vertical="center"/>
    </xf>
    <xf numFmtId="0" fontId="13" fillId="19" borderId="0" xfId="0" applyFont="1" applyFill="1" applyAlignment="1">
      <alignment horizontal="left" vertical="center"/>
    </xf>
    <xf numFmtId="0" fontId="17" fillId="2" borderId="0" xfId="0" applyFont="1" applyFill="1" applyAlignment="1">
      <alignment horizontal="left" vertical="center"/>
    </xf>
    <xf numFmtId="0" fontId="105" fillId="2" borderId="0" xfId="0" applyFont="1" applyFill="1" applyAlignment="1">
      <alignment vertical="center"/>
    </xf>
    <xf numFmtId="0" fontId="13" fillId="2" borderId="0" xfId="0" applyFont="1" applyFill="1" applyAlignment="1">
      <alignment horizontal="left" vertical="center"/>
    </xf>
    <xf numFmtId="171" fontId="13" fillId="0" borderId="0" xfId="0" applyNumberFormat="1" applyFont="1" applyAlignment="1">
      <alignment vertical="center"/>
    </xf>
    <xf numFmtId="164" fontId="13" fillId="2" borderId="0" xfId="3" applyNumberFormat="1" applyFont="1" applyFill="1" applyAlignment="1" applyProtection="1">
      <alignment vertical="center"/>
    </xf>
    <xf numFmtId="0" fontId="13" fillId="0" borderId="0" xfId="0" applyFont="1" applyAlignment="1">
      <alignment vertical="center"/>
    </xf>
    <xf numFmtId="172" fontId="13" fillId="2" borderId="0" xfId="0" applyNumberFormat="1" applyFont="1" applyFill="1" applyAlignment="1">
      <alignment vertical="center"/>
    </xf>
    <xf numFmtId="0" fontId="12" fillId="19" borderId="0" xfId="0" applyFont="1" applyFill="1" applyAlignment="1">
      <alignment vertical="center"/>
    </xf>
    <xf numFmtId="0" fontId="11" fillId="2" borderId="0" xfId="0" applyFont="1" applyFill="1" applyAlignment="1">
      <alignment horizontal="right" vertical="center"/>
    </xf>
    <xf numFmtId="0" fontId="8" fillId="26" borderId="0" xfId="0" applyFont="1" applyFill="1"/>
    <xf numFmtId="0" fontId="13" fillId="35" borderId="0" xfId="0" applyFont="1" applyFill="1"/>
    <xf numFmtId="0" fontId="12" fillId="4" borderId="0" xfId="0" applyFont="1" applyFill="1" applyAlignment="1">
      <alignment horizontal="left" vertical="center" wrapText="1"/>
    </xf>
    <xf numFmtId="0" fontId="13" fillId="35" borderId="0" xfId="0" applyFont="1" applyFill="1" applyAlignment="1">
      <alignment horizontal="left" indent="1"/>
    </xf>
    <xf numFmtId="0" fontId="101" fillId="4" borderId="0" xfId="0" applyFont="1" applyFill="1" applyAlignment="1">
      <alignment horizontal="left" vertical="top" indent="1"/>
    </xf>
    <xf numFmtId="0" fontId="12" fillId="4" borderId="0" xfId="0" applyFont="1" applyFill="1" applyAlignment="1">
      <alignment horizontal="left" vertical="top" wrapText="1" indent="1"/>
    </xf>
    <xf numFmtId="0" fontId="8" fillId="2" borderId="0" xfId="0" applyFont="1" applyFill="1" applyAlignment="1">
      <alignment horizontal="left" indent="1"/>
    </xf>
    <xf numFmtId="0" fontId="12" fillId="4" borderId="0" xfId="0" applyFont="1" applyFill="1" applyAlignment="1">
      <alignment horizontal="left" vertical="top" wrapText="1"/>
    </xf>
    <xf numFmtId="0" fontId="12" fillId="4" borderId="0" xfId="0" applyFont="1" applyFill="1" applyAlignment="1">
      <alignment vertical="top"/>
    </xf>
    <xf numFmtId="0" fontId="12" fillId="4" borderId="0" xfId="0" applyFont="1" applyFill="1" applyAlignment="1">
      <alignment horizontal="left" vertical="top" indent="1"/>
    </xf>
    <xf numFmtId="0" fontId="14" fillId="4" borderId="0" xfId="0" applyFont="1" applyFill="1" applyAlignment="1">
      <alignment vertical="top"/>
    </xf>
    <xf numFmtId="0" fontId="13" fillId="35" borderId="0" xfId="0" applyFont="1" applyFill="1" applyAlignment="1">
      <alignment wrapText="1"/>
    </xf>
    <xf numFmtId="0" fontId="8" fillId="35" borderId="0" xfId="0" applyFont="1" applyFill="1"/>
    <xf numFmtId="0" fontId="139" fillId="23" borderId="0" xfId="0" applyFont="1" applyFill="1" applyAlignment="1">
      <alignment horizontal="left" vertical="center" indent="1"/>
    </xf>
    <xf numFmtId="0" fontId="8" fillId="4" borderId="0" xfId="0" applyFont="1" applyFill="1"/>
    <xf numFmtId="0" fontId="15" fillId="23" borderId="0" xfId="0" applyFont="1" applyFill="1" applyAlignment="1">
      <alignment vertical="center"/>
    </xf>
    <xf numFmtId="0" fontId="8" fillId="4" borderId="0" xfId="0" applyFont="1" applyFill="1" applyAlignment="1">
      <alignment horizontal="left" indent="1"/>
    </xf>
    <xf numFmtId="0" fontId="7" fillId="4" borderId="0" xfId="1" applyFont="1" applyFill="1" applyAlignment="1" applyProtection="1">
      <alignment horizontal="center" vertical="center"/>
    </xf>
    <xf numFmtId="0" fontId="9" fillId="4" borderId="0" xfId="0" applyFont="1" applyFill="1" applyAlignment="1">
      <alignment horizontal="right" vertical="center"/>
    </xf>
    <xf numFmtId="0" fontId="9" fillId="2" borderId="0" xfId="0" applyFont="1" applyFill="1" applyAlignment="1">
      <alignment horizontal="right" vertical="center"/>
    </xf>
    <xf numFmtId="0" fontId="31" fillId="2" borderId="0" xfId="0" applyFont="1" applyFill="1" applyAlignment="1">
      <alignment horizontal="center"/>
    </xf>
    <xf numFmtId="0" fontId="140" fillId="4" borderId="0" xfId="1" applyFont="1" applyFill="1" applyAlignment="1" applyProtection="1">
      <alignment horizontal="left" indent="1"/>
    </xf>
    <xf numFmtId="0" fontId="141" fillId="4" borderId="0" xfId="0" applyFont="1" applyFill="1"/>
    <xf numFmtId="0" fontId="140" fillId="4" borderId="0" xfId="1" applyFont="1" applyFill="1" applyBorder="1" applyAlignment="1" applyProtection="1">
      <alignment horizontal="left" indent="1"/>
    </xf>
    <xf numFmtId="0" fontId="128" fillId="2" borderId="0" xfId="0" applyFont="1" applyFill="1" applyAlignment="1">
      <alignment vertical="center"/>
    </xf>
    <xf numFmtId="0" fontId="129" fillId="2" borderId="0" xfId="0" applyFont="1" applyFill="1" applyAlignment="1">
      <alignment horizontal="left" vertical="center"/>
    </xf>
    <xf numFmtId="0" fontId="14" fillId="2" borderId="0" xfId="0" applyFont="1" applyFill="1" applyAlignment="1">
      <alignment horizontal="left" vertical="center"/>
    </xf>
    <xf numFmtId="0" fontId="19" fillId="35" borderId="31" xfId="0" applyFont="1" applyFill="1" applyBorder="1" applyAlignment="1">
      <alignment vertical="center" wrapText="1"/>
    </xf>
    <xf numFmtId="0" fontId="130" fillId="13" borderId="37" xfId="0" applyFont="1" applyFill="1" applyBorder="1" applyAlignment="1">
      <alignment vertical="center"/>
    </xf>
    <xf numFmtId="0" fontId="12" fillId="0" borderId="30" xfId="0" applyFont="1" applyBorder="1" applyAlignment="1">
      <alignment horizontal="right" vertical="center" wrapText="1"/>
    </xf>
    <xf numFmtId="0" fontId="12" fillId="0" borderId="30" xfId="0" applyFont="1" applyBorder="1" applyAlignment="1">
      <alignment vertical="center"/>
    </xf>
    <xf numFmtId="0" fontId="64" fillId="0" borderId="30" xfId="0" applyFont="1" applyBorder="1" applyAlignment="1">
      <alignment vertical="center" wrapText="1"/>
    </xf>
    <xf numFmtId="0" fontId="164" fillId="0" borderId="30" xfId="1" applyFont="1" applyFill="1" applyBorder="1" applyAlignment="1" applyProtection="1">
      <alignment horizontal="right" vertical="center" wrapText="1"/>
    </xf>
    <xf numFmtId="0" fontId="12" fillId="0" borderId="30" xfId="0" applyFont="1" applyBorder="1" applyAlignment="1">
      <alignment vertical="center" wrapText="1"/>
    </xf>
    <xf numFmtId="0" fontId="115" fillId="2" borderId="0" xfId="0" applyFont="1" applyFill="1" applyAlignment="1">
      <alignment horizontal="left" vertical="center" wrapText="1"/>
    </xf>
    <xf numFmtId="0" fontId="79" fillId="31" borderId="61" xfId="0" applyFont="1" applyFill="1" applyBorder="1" applyAlignment="1">
      <alignment horizontal="center" vertical="center" wrapText="1"/>
    </xf>
    <xf numFmtId="0" fontId="130" fillId="13" borderId="34" xfId="0" applyFont="1" applyFill="1" applyBorder="1" applyAlignment="1">
      <alignment vertical="center"/>
    </xf>
    <xf numFmtId="0" fontId="131" fillId="13" borderId="36" xfId="0" applyFont="1" applyFill="1" applyBorder="1" applyAlignment="1">
      <alignment vertical="center"/>
    </xf>
    <xf numFmtId="0" fontId="19" fillId="13" borderId="36" xfId="0" applyFont="1" applyFill="1" applyBorder="1" applyAlignment="1">
      <alignment vertical="center"/>
    </xf>
    <xf numFmtId="0" fontId="14" fillId="13" borderId="36" xfId="0" applyFont="1" applyFill="1" applyBorder="1" applyAlignment="1">
      <alignment vertical="center"/>
    </xf>
    <xf numFmtId="0" fontId="19" fillId="13" borderId="35" xfId="0" applyFont="1" applyFill="1" applyBorder="1" applyAlignment="1">
      <alignment vertical="center"/>
    </xf>
    <xf numFmtId="0" fontId="64" fillId="0" borderId="30" xfId="0" applyFont="1" applyBorder="1" applyAlignment="1">
      <alignment vertical="center"/>
    </xf>
    <xf numFmtId="0" fontId="115" fillId="2" borderId="0" xfId="0" applyFont="1" applyFill="1" applyAlignment="1">
      <alignment horizontal="center" vertical="center" wrapText="1"/>
    </xf>
    <xf numFmtId="0" fontId="116" fillId="12" borderId="30" xfId="0" applyFont="1" applyFill="1" applyBorder="1" applyAlignment="1">
      <alignment vertical="center" wrapText="1"/>
    </xf>
    <xf numFmtId="0" fontId="116" fillId="12" borderId="30" xfId="0" applyFont="1" applyFill="1" applyBorder="1" applyAlignment="1">
      <alignment horizontal="left" vertical="center" wrapText="1"/>
    </xf>
    <xf numFmtId="0" fontId="12" fillId="0" borderId="30" xfId="0" applyFont="1" applyBorder="1" applyAlignment="1">
      <alignment horizontal="right" vertical="center"/>
    </xf>
    <xf numFmtId="0" fontId="116" fillId="12" borderId="35" xfId="0" applyFont="1" applyFill="1" applyBorder="1" applyAlignment="1">
      <alignment vertical="center" wrapText="1"/>
    </xf>
    <xf numFmtId="0" fontId="163" fillId="0" borderId="30" xfId="0" applyFont="1" applyBorder="1" applyAlignment="1">
      <alignment horizontal="right" vertical="center" wrapText="1"/>
    </xf>
    <xf numFmtId="0" fontId="116" fillId="12" borderId="39" xfId="0" applyFont="1" applyFill="1" applyBorder="1" applyAlignment="1">
      <alignment horizontal="left" vertical="center" wrapText="1"/>
    </xf>
    <xf numFmtId="0" fontId="116" fillId="12" borderId="35" xfId="0" applyFont="1" applyFill="1" applyBorder="1" applyAlignment="1">
      <alignment horizontal="left" vertical="center" wrapText="1"/>
    </xf>
    <xf numFmtId="0" fontId="13" fillId="0" borderId="0" xfId="0" applyFont="1" applyAlignment="1">
      <alignment horizontal="right" vertical="center" wrapText="1"/>
    </xf>
    <xf numFmtId="0" fontId="13" fillId="0" borderId="30" xfId="0" applyFont="1" applyBorder="1" applyAlignment="1">
      <alignment horizontal="right" vertical="center" wrapText="1"/>
    </xf>
    <xf numFmtId="0" fontId="13" fillId="0" borderId="70" xfId="0" applyFont="1" applyBorder="1" applyAlignment="1">
      <alignment horizontal="right" vertical="center" wrapText="1"/>
    </xf>
    <xf numFmtId="0" fontId="149" fillId="2" borderId="0" xfId="0" applyFont="1" applyFill="1" applyAlignment="1">
      <alignment vertical="center"/>
    </xf>
    <xf numFmtId="0" fontId="13" fillId="0" borderId="34" xfId="0" applyFont="1" applyBorder="1" applyAlignment="1">
      <alignment horizontal="left" vertical="center" wrapText="1"/>
    </xf>
    <xf numFmtId="0" fontId="164" fillId="0" borderId="34" xfId="1" applyFont="1" applyBorder="1" applyAlignment="1" applyProtection="1">
      <alignment horizontal="right" vertical="center" wrapText="1"/>
    </xf>
    <xf numFmtId="0" fontId="65" fillId="14" borderId="68" xfId="0" applyFont="1" applyFill="1" applyBorder="1" applyAlignment="1">
      <alignment vertical="center" wrapText="1"/>
    </xf>
    <xf numFmtId="0" fontId="65" fillId="14" borderId="32" xfId="0" applyFont="1" applyFill="1" applyBorder="1" applyAlignment="1">
      <alignment vertical="center" wrapText="1"/>
    </xf>
    <xf numFmtId="0" fontId="14" fillId="14" borderId="32" xfId="0" applyFont="1" applyFill="1" applyBorder="1" applyAlignment="1">
      <alignment vertical="center" wrapText="1"/>
    </xf>
    <xf numFmtId="0" fontId="65" fillId="14" borderId="32" xfId="0" applyFont="1" applyFill="1" applyBorder="1" applyAlignment="1">
      <alignment horizontal="right" vertical="center" wrapText="1"/>
    </xf>
    <xf numFmtId="0" fontId="13" fillId="0" borderId="31" xfId="0" applyFont="1" applyBorder="1" applyAlignment="1">
      <alignment vertical="center" wrapText="1"/>
    </xf>
    <xf numFmtId="0" fontId="12" fillId="0" borderId="31" xfId="0" applyFont="1" applyBorder="1" applyAlignment="1">
      <alignment horizontal="right" vertical="center" wrapText="1"/>
    </xf>
    <xf numFmtId="0" fontId="12" fillId="0" borderId="31" xfId="0" applyFont="1" applyBorder="1" applyAlignment="1">
      <alignment horizontal="right" vertical="center"/>
    </xf>
    <xf numFmtId="0" fontId="12" fillId="0" borderId="31" xfId="0" applyFont="1" applyBorder="1" applyAlignment="1">
      <alignment vertical="center"/>
    </xf>
    <xf numFmtId="0" fontId="14" fillId="14" borderId="30" xfId="0" applyFont="1" applyFill="1" applyBorder="1" applyAlignment="1">
      <alignment vertical="center" wrapText="1"/>
    </xf>
    <xf numFmtId="0" fontId="65" fillId="14" borderId="30" xfId="0" applyFont="1" applyFill="1" applyBorder="1" applyAlignment="1">
      <alignment horizontal="right" vertical="center" wrapText="1"/>
    </xf>
    <xf numFmtId="0" fontId="65" fillId="14" borderId="30" xfId="0" applyFont="1" applyFill="1" applyBorder="1" applyAlignment="1">
      <alignment vertical="center" wrapText="1"/>
    </xf>
    <xf numFmtId="0" fontId="8" fillId="0" borderId="0" xfId="0" applyFont="1" applyAlignment="1">
      <alignment vertical="center" wrapText="1"/>
    </xf>
    <xf numFmtId="0" fontId="12" fillId="0" borderId="32" xfId="0" applyFont="1" applyBorder="1" applyAlignment="1">
      <alignment horizontal="right" vertical="center"/>
    </xf>
    <xf numFmtId="0" fontId="72" fillId="2" borderId="0" xfId="0" applyFont="1" applyFill="1" applyAlignment="1">
      <alignment vertical="center"/>
    </xf>
    <xf numFmtId="0" fontId="1" fillId="0" borderId="30" xfId="1" applyBorder="1" applyAlignment="1" applyProtection="1">
      <alignment horizontal="right" vertical="center"/>
    </xf>
    <xf numFmtId="0" fontId="71" fillId="2" borderId="0" xfId="0" applyFont="1" applyFill="1" applyAlignment="1">
      <alignment vertical="center"/>
    </xf>
    <xf numFmtId="0" fontId="12" fillId="2" borderId="0" xfId="0" applyFont="1" applyFill="1" applyAlignment="1">
      <alignment vertical="center"/>
    </xf>
    <xf numFmtId="0" fontId="130" fillId="2" borderId="0" xfId="0" applyFont="1" applyFill="1" applyAlignment="1">
      <alignment vertical="center"/>
    </xf>
    <xf numFmtId="0" fontId="79" fillId="2" borderId="0" xfId="0" applyFont="1" applyFill="1" applyAlignment="1">
      <alignment horizontal="left" vertical="center" wrapText="1"/>
    </xf>
    <xf numFmtId="0" fontId="152" fillId="0" borderId="30" xfId="1" applyFont="1" applyFill="1" applyBorder="1" applyAlignment="1" applyProtection="1">
      <alignment horizontal="right" vertical="center"/>
    </xf>
    <xf numFmtId="0" fontId="86" fillId="0" borderId="0" xfId="0" applyFont="1" applyAlignment="1">
      <alignment vertical="center"/>
    </xf>
    <xf numFmtId="0" fontId="13" fillId="0" borderId="30" xfId="0" applyFont="1" applyBorder="1" applyAlignment="1">
      <alignment vertical="center"/>
    </xf>
    <xf numFmtId="0" fontId="13" fillId="2" borderId="30" xfId="0" applyFont="1" applyFill="1" applyBorder="1" applyAlignment="1">
      <alignment horizontal="right" vertical="center" wrapText="1"/>
    </xf>
    <xf numFmtId="0" fontId="8" fillId="2" borderId="30" xfId="0" applyFont="1" applyFill="1" applyBorder="1" applyAlignment="1">
      <alignment vertical="center"/>
    </xf>
    <xf numFmtId="0" fontId="14" fillId="0" borderId="30" xfId="0" applyFont="1" applyBorder="1" applyAlignment="1">
      <alignment horizontal="left" vertical="center" wrapText="1"/>
    </xf>
    <xf numFmtId="0" fontId="65" fillId="0" borderId="30" xfId="0" applyFont="1" applyBorder="1" applyAlignment="1">
      <alignment horizontal="left" vertical="center" wrapText="1"/>
    </xf>
    <xf numFmtId="0" fontId="8" fillId="0" borderId="30" xfId="0" applyFont="1" applyBorder="1" applyAlignment="1">
      <alignment vertical="center"/>
    </xf>
    <xf numFmtId="0" fontId="65" fillId="0" borderId="30" xfId="0" applyFont="1" applyBorder="1" applyAlignment="1">
      <alignment vertical="center" wrapText="1"/>
    </xf>
    <xf numFmtId="164" fontId="12" fillId="2" borderId="30" xfId="0" applyNumberFormat="1" applyFont="1" applyFill="1" applyBorder="1" applyAlignment="1">
      <alignment horizontal="right" vertical="center" wrapText="1"/>
    </xf>
    <xf numFmtId="0" fontId="59" fillId="5" borderId="0" xfId="0" applyFont="1" applyFill="1"/>
    <xf numFmtId="0" fontId="101" fillId="5" borderId="0" xfId="0" applyFont="1" applyFill="1" applyAlignment="1">
      <alignment horizontal="left"/>
    </xf>
    <xf numFmtId="0" fontId="101" fillId="7" borderId="0" xfId="0" applyFont="1" applyFill="1" applyAlignment="1">
      <alignment horizontal="left"/>
    </xf>
    <xf numFmtId="0" fontId="113" fillId="2" borderId="0" xfId="0" applyFont="1" applyFill="1" applyAlignment="1">
      <alignment horizontal="center"/>
    </xf>
    <xf numFmtId="0" fontId="146" fillId="35" borderId="30" xfId="0" applyFont="1" applyFill="1" applyBorder="1" applyAlignment="1">
      <alignment horizontal="left" vertical="center"/>
    </xf>
    <xf numFmtId="0" fontId="146" fillId="35" borderId="30" xfId="0" applyFont="1" applyFill="1" applyBorder="1" applyAlignment="1">
      <alignment horizontal="left" vertical="center" wrapText="1"/>
    </xf>
    <xf numFmtId="0" fontId="104" fillId="2" borderId="0" xfId="0" applyFont="1" applyFill="1" applyAlignment="1">
      <alignment horizontal="center"/>
    </xf>
    <xf numFmtId="0" fontId="113" fillId="0" borderId="30" xfId="0" applyFont="1" applyBorder="1"/>
    <xf numFmtId="0" fontId="113" fillId="2" borderId="30" xfId="0" applyFont="1" applyFill="1" applyBorder="1"/>
    <xf numFmtId="0" fontId="114" fillId="2" borderId="30" xfId="0" applyFont="1" applyFill="1" applyBorder="1"/>
    <xf numFmtId="0" fontId="114" fillId="3" borderId="30" xfId="0" applyFont="1" applyFill="1" applyBorder="1"/>
    <xf numFmtId="0" fontId="13" fillId="3" borderId="0" xfId="0" applyFont="1" applyFill="1"/>
    <xf numFmtId="0" fontId="88" fillId="5" borderId="0" xfId="0" applyFont="1" applyFill="1" applyAlignment="1">
      <alignment vertical="center"/>
    </xf>
    <xf numFmtId="0" fontId="37" fillId="2" borderId="0" xfId="0" applyFont="1" applyFill="1" applyAlignment="1">
      <alignment vertical="center" wrapText="1"/>
    </xf>
    <xf numFmtId="3" fontId="143" fillId="41" borderId="62" xfId="0" applyNumberFormat="1" applyFont="1" applyFill="1" applyBorder="1"/>
    <xf numFmtId="9" fontId="144" fillId="4" borderId="30" xfId="3" applyFont="1" applyFill="1" applyBorder="1" applyAlignment="1" applyProtection="1">
      <alignment horizontal="right" vertical="center"/>
    </xf>
    <xf numFmtId="164" fontId="144" fillId="4" borderId="30" xfId="3" applyNumberFormat="1" applyFont="1" applyFill="1" applyBorder="1" applyAlignment="1" applyProtection="1">
      <alignment horizontal="right" vertical="center"/>
    </xf>
    <xf numFmtId="3" fontId="143" fillId="41" borderId="63" xfId="0" applyNumberFormat="1" applyFont="1" applyFill="1" applyBorder="1"/>
    <xf numFmtId="0" fontId="117" fillId="0" borderId="30" xfId="0" applyFont="1" applyBorder="1" applyAlignment="1">
      <alignment horizontal="left" vertical="center" wrapText="1"/>
    </xf>
    <xf numFmtId="3" fontId="86" fillId="4" borderId="30" xfId="0" applyNumberFormat="1" applyFont="1" applyFill="1" applyBorder="1" applyAlignment="1">
      <alignment horizontal="right" vertical="center" wrapText="1"/>
    </xf>
    <xf numFmtId="3" fontId="114" fillId="0" borderId="30" xfId="0" applyNumberFormat="1" applyFont="1" applyBorder="1" applyAlignment="1">
      <alignment horizontal="right" vertical="center"/>
    </xf>
    <xf numFmtId="3" fontId="114" fillId="0" borderId="30" xfId="0" applyNumberFormat="1" applyFont="1" applyBorder="1" applyAlignment="1">
      <alignment horizontal="right" vertical="center" wrapText="1"/>
    </xf>
    <xf numFmtId="164" fontId="37" fillId="4" borderId="30" xfId="3" applyNumberFormat="1" applyFont="1" applyFill="1" applyBorder="1" applyAlignment="1" applyProtection="1">
      <alignment horizontal="right" vertical="center"/>
    </xf>
    <xf numFmtId="3" fontId="114" fillId="2" borderId="30" xfId="0" applyNumberFormat="1" applyFont="1" applyFill="1" applyBorder="1" applyAlignment="1">
      <alignment horizontal="right" vertical="center" wrapText="1"/>
    </xf>
    <xf numFmtId="0" fontId="118" fillId="0" borderId="30" xfId="0" applyFont="1" applyBorder="1" applyAlignment="1">
      <alignment horizontal="left" vertical="center" wrapText="1"/>
    </xf>
    <xf numFmtId="0" fontId="118" fillId="0" borderId="30" xfId="0" applyFont="1" applyBorder="1" applyAlignment="1">
      <alignment vertical="center" wrapText="1"/>
    </xf>
    <xf numFmtId="9" fontId="8" fillId="2" borderId="0" xfId="3" applyFont="1" applyFill="1" applyAlignment="1" applyProtection="1">
      <alignment vertical="center"/>
    </xf>
    <xf numFmtId="0" fontId="119" fillId="0" borderId="30" xfId="0" applyFont="1" applyBorder="1" applyAlignment="1">
      <alignment vertical="center" wrapText="1"/>
    </xf>
    <xf numFmtId="165" fontId="86" fillId="4" borderId="30" xfId="0" applyNumberFormat="1" applyFont="1" applyFill="1" applyBorder="1" applyAlignment="1">
      <alignment horizontal="right" vertical="center" wrapText="1"/>
    </xf>
    <xf numFmtId="171" fontId="113" fillId="5" borderId="30" xfId="0" applyNumberFormat="1" applyFont="1" applyFill="1" applyBorder="1" applyAlignment="1">
      <alignment horizontal="right" vertical="center"/>
    </xf>
    <xf numFmtId="0" fontId="114" fillId="0" borderId="0" xfId="0" applyFont="1" applyAlignment="1">
      <alignment vertical="center" wrapText="1"/>
    </xf>
    <xf numFmtId="0" fontId="114" fillId="0" borderId="0" xfId="0" applyFont="1" applyAlignment="1">
      <alignment horizontal="left" vertical="center" wrapText="1"/>
    </xf>
    <xf numFmtId="164" fontId="37" fillId="4" borderId="0" xfId="3" applyNumberFormat="1" applyFont="1" applyFill="1" applyBorder="1" applyAlignment="1" applyProtection="1">
      <alignment horizontal="right" vertical="center"/>
    </xf>
    <xf numFmtId="166" fontId="114" fillId="7" borderId="30" xfId="2" applyNumberFormat="1" applyFont="1" applyFill="1" applyBorder="1" applyAlignment="1" applyProtection="1">
      <alignment horizontal="right" vertical="center"/>
    </xf>
    <xf numFmtId="9" fontId="86" fillId="4" borderId="30" xfId="0" applyNumberFormat="1" applyFont="1" applyFill="1" applyBorder="1" applyAlignment="1">
      <alignment horizontal="right" vertical="center"/>
    </xf>
    <xf numFmtId="9" fontId="114" fillId="0" borderId="30" xfId="0" applyNumberFormat="1" applyFont="1" applyBorder="1" applyAlignment="1">
      <alignment horizontal="right" vertical="center"/>
    </xf>
    <xf numFmtId="0" fontId="8" fillId="2" borderId="30" xfId="0" applyFont="1" applyFill="1" applyBorder="1" applyAlignment="1">
      <alignment horizontal="left" vertical="center"/>
    </xf>
    <xf numFmtId="3" fontId="86" fillId="4" borderId="30" xfId="0" applyNumberFormat="1" applyFont="1" applyFill="1" applyBorder="1" applyAlignment="1">
      <alignment horizontal="right" vertical="center"/>
    </xf>
    <xf numFmtId="170" fontId="114" fillId="0" borderId="30" xfId="0" applyNumberFormat="1" applyFont="1" applyBorder="1" applyAlignment="1">
      <alignment horizontal="right" vertical="center"/>
    </xf>
    <xf numFmtId="0" fontId="114" fillId="0" borderId="30" xfId="0" applyFont="1" applyBorder="1" applyAlignment="1">
      <alignment horizontal="left" vertical="center" indent="1"/>
    </xf>
    <xf numFmtId="0" fontId="114" fillId="0" borderId="30" xfId="0" applyFont="1" applyBorder="1" applyAlignment="1">
      <alignment horizontal="left" vertical="center" wrapText="1" indent="1"/>
    </xf>
    <xf numFmtId="0" fontId="114" fillId="2" borderId="30" xfId="0" applyFont="1" applyFill="1" applyBorder="1" applyAlignment="1">
      <alignment horizontal="left" vertical="center"/>
    </xf>
    <xf numFmtId="3" fontId="119" fillId="4" borderId="30" xfId="0" applyNumberFormat="1" applyFont="1" applyFill="1" applyBorder="1" applyAlignment="1">
      <alignment horizontal="right" vertical="center"/>
    </xf>
    <xf numFmtId="0" fontId="114" fillId="2" borderId="30" xfId="0" applyFont="1" applyFill="1" applyBorder="1" applyAlignment="1">
      <alignment horizontal="left" vertical="center" indent="1"/>
    </xf>
    <xf numFmtId="166" fontId="116" fillId="4" borderId="30" xfId="2" applyNumberFormat="1" applyFont="1" applyFill="1" applyBorder="1" applyAlignment="1" applyProtection="1">
      <alignment horizontal="right" vertical="center"/>
    </xf>
    <xf numFmtId="164" fontId="113" fillId="4" borderId="30" xfId="3" applyNumberFormat="1" applyFont="1" applyFill="1" applyBorder="1" applyAlignment="1" applyProtection="1">
      <alignment horizontal="right" vertical="center"/>
    </xf>
    <xf numFmtId="166" fontId="150" fillId="4" borderId="30" xfId="2" applyNumberFormat="1" applyFont="1" applyFill="1" applyBorder="1" applyAlignment="1" applyProtection="1">
      <alignment horizontal="right" vertical="center"/>
    </xf>
    <xf numFmtId="166" fontId="114" fillId="2" borderId="30" xfId="2" applyNumberFormat="1" applyFont="1" applyFill="1" applyBorder="1" applyAlignment="1" applyProtection="1">
      <alignment horizontal="right" vertical="center"/>
    </xf>
    <xf numFmtId="0" fontId="113" fillId="2" borderId="30" xfId="0" applyFont="1" applyFill="1" applyBorder="1" applyAlignment="1">
      <alignment horizontal="left" vertical="center"/>
    </xf>
    <xf numFmtId="1" fontId="150" fillId="4" borderId="30" xfId="2" applyNumberFormat="1" applyFont="1" applyFill="1" applyBorder="1" applyAlignment="1" applyProtection="1">
      <alignment horizontal="right" vertical="center"/>
    </xf>
    <xf numFmtId="3" fontId="113" fillId="0" borderId="30" xfId="0" applyNumberFormat="1" applyFont="1" applyBorder="1" applyAlignment="1">
      <alignment horizontal="right" vertical="center"/>
    </xf>
    <xf numFmtId="167" fontId="113" fillId="2" borderId="30" xfId="2" applyNumberFormat="1" applyFont="1" applyFill="1" applyBorder="1" applyAlignment="1" applyProtection="1">
      <alignment horizontal="right" vertical="center"/>
    </xf>
    <xf numFmtId="166" fontId="113" fillId="2" borderId="30" xfId="2" applyNumberFormat="1" applyFont="1" applyFill="1" applyBorder="1" applyAlignment="1" applyProtection="1">
      <alignment horizontal="right" vertical="center"/>
    </xf>
    <xf numFmtId="166" fontId="113" fillId="0" borderId="30" xfId="2" applyNumberFormat="1" applyFont="1" applyFill="1" applyBorder="1" applyAlignment="1" applyProtection="1">
      <alignment horizontal="right" vertical="center"/>
    </xf>
    <xf numFmtId="0" fontId="116" fillId="2" borderId="30" xfId="0" applyFont="1" applyFill="1" applyBorder="1" applyAlignment="1">
      <alignment vertical="center"/>
    </xf>
    <xf numFmtId="166" fontId="116" fillId="2" borderId="30" xfId="2" applyNumberFormat="1" applyFont="1" applyFill="1" applyBorder="1" applyAlignment="1" applyProtection="1">
      <alignment horizontal="right" vertical="center"/>
    </xf>
    <xf numFmtId="166" fontId="86" fillId="4" borderId="30" xfId="2" applyNumberFormat="1" applyFont="1" applyFill="1" applyBorder="1" applyAlignment="1" applyProtection="1">
      <alignment horizontal="right" vertical="center"/>
    </xf>
    <xf numFmtId="166" fontId="116" fillId="2" borderId="0" xfId="2" applyNumberFormat="1" applyFont="1" applyFill="1" applyBorder="1" applyAlignment="1" applyProtection="1">
      <alignment horizontal="right" vertical="center"/>
    </xf>
    <xf numFmtId="0" fontId="113" fillId="2" borderId="0" xfId="0" applyFont="1" applyFill="1" applyAlignment="1">
      <alignment horizontal="right" vertical="center"/>
    </xf>
    <xf numFmtId="164" fontId="113" fillId="2" borderId="0" xfId="3" applyNumberFormat="1" applyFont="1" applyFill="1" applyBorder="1" applyAlignment="1" applyProtection="1">
      <alignment horizontal="right" vertical="center"/>
    </xf>
    <xf numFmtId="9" fontId="116" fillId="4" borderId="30" xfId="3" applyFont="1" applyFill="1" applyBorder="1" applyAlignment="1" applyProtection="1">
      <alignment horizontal="right" vertical="center"/>
    </xf>
    <xf numFmtId="2" fontId="113" fillId="2" borderId="0" xfId="0" applyNumberFormat="1" applyFont="1" applyFill="1" applyAlignment="1">
      <alignment horizontal="right" vertical="center"/>
    </xf>
    <xf numFmtId="2" fontId="113" fillId="2" borderId="0" xfId="3" applyNumberFormat="1" applyFont="1" applyFill="1" applyBorder="1" applyAlignment="1" applyProtection="1">
      <alignment horizontal="right" vertical="center"/>
    </xf>
    <xf numFmtId="0" fontId="116" fillId="0" borderId="30" xfId="0" applyFont="1" applyBorder="1" applyAlignment="1">
      <alignment horizontal="right" vertical="center"/>
    </xf>
    <xf numFmtId="2" fontId="113" fillId="2" borderId="0" xfId="3" applyNumberFormat="1" applyFont="1" applyFill="1" applyAlignment="1" applyProtection="1">
      <alignment horizontal="right" vertical="center"/>
    </xf>
    <xf numFmtId="9" fontId="116" fillId="0" borderId="30" xfId="3" applyFont="1" applyBorder="1" applyAlignment="1" applyProtection="1">
      <alignment horizontal="right" vertical="center"/>
    </xf>
    <xf numFmtId="164" fontId="113" fillId="2" borderId="0" xfId="3" applyNumberFormat="1" applyFont="1" applyFill="1" applyAlignment="1" applyProtection="1">
      <alignment horizontal="right" vertical="center"/>
    </xf>
    <xf numFmtId="0" fontId="116" fillId="2" borderId="0" xfId="0" applyFont="1" applyFill="1" applyAlignment="1">
      <alignment vertical="center"/>
    </xf>
    <xf numFmtId="9" fontId="86" fillId="2" borderId="0" xfId="0" applyNumberFormat="1" applyFont="1" applyFill="1" applyAlignment="1">
      <alignment horizontal="right" vertical="center"/>
    </xf>
    <xf numFmtId="9" fontId="116" fillId="2" borderId="0" xfId="3" applyFont="1" applyFill="1" applyBorder="1" applyAlignment="1" applyProtection="1">
      <alignment horizontal="right" vertical="center"/>
    </xf>
    <xf numFmtId="166" fontId="119" fillId="0" borderId="30" xfId="2" applyNumberFormat="1" applyFont="1" applyBorder="1" applyAlignment="1" applyProtection="1">
      <alignment horizontal="right" vertical="center"/>
    </xf>
    <xf numFmtId="166" fontId="114" fillId="0" borderId="30" xfId="2" applyNumberFormat="1" applyFont="1" applyFill="1" applyBorder="1" applyAlignment="1" applyProtection="1">
      <alignment horizontal="right" vertical="center"/>
    </xf>
    <xf numFmtId="9" fontId="114" fillId="0" borderId="31" xfId="3" applyFont="1" applyFill="1" applyBorder="1" applyAlignment="1" applyProtection="1">
      <alignment horizontal="right" vertical="center"/>
    </xf>
    <xf numFmtId="9" fontId="114" fillId="0" borderId="30" xfId="3" applyFont="1" applyFill="1" applyBorder="1" applyAlignment="1" applyProtection="1">
      <alignment horizontal="right" vertical="center"/>
    </xf>
    <xf numFmtId="166" fontId="119" fillId="4" borderId="30" xfId="2" applyNumberFormat="1" applyFont="1" applyFill="1" applyBorder="1" applyAlignment="1" applyProtection="1">
      <alignment horizontal="right" vertical="center"/>
    </xf>
    <xf numFmtId="0" fontId="113" fillId="4" borderId="30" xfId="0" applyFont="1" applyFill="1" applyBorder="1" applyAlignment="1">
      <alignment horizontal="right" vertical="center"/>
    </xf>
    <xf numFmtId="9" fontId="113" fillId="4" borderId="30" xfId="3" applyFont="1" applyFill="1" applyBorder="1" applyAlignment="1" applyProtection="1">
      <alignment horizontal="right" vertical="center"/>
    </xf>
    <xf numFmtId="166" fontId="144" fillId="4" borderId="30" xfId="2" applyNumberFormat="1" applyFont="1" applyFill="1" applyBorder="1" applyAlignment="1" applyProtection="1">
      <alignment horizontal="right" vertical="center"/>
    </xf>
    <xf numFmtId="3" fontId="113" fillId="0" borderId="30" xfId="0" applyNumberFormat="1" applyFont="1" applyBorder="1" applyAlignment="1">
      <alignment horizontal="right" vertical="center" wrapText="1"/>
    </xf>
    <xf numFmtId="166" fontId="114" fillId="0" borderId="30" xfId="2" applyNumberFormat="1" applyFont="1" applyBorder="1" applyAlignment="1" applyProtection="1">
      <alignment horizontal="right" vertical="center"/>
    </xf>
    <xf numFmtId="166" fontId="143" fillId="4" borderId="30" xfId="2" applyNumberFormat="1" applyFont="1" applyFill="1" applyBorder="1" applyAlignment="1" applyProtection="1">
      <alignment horizontal="right" vertical="center"/>
    </xf>
    <xf numFmtId="166" fontId="119" fillId="2" borderId="30" xfId="2" applyNumberFormat="1" applyFont="1" applyFill="1" applyBorder="1" applyAlignment="1" applyProtection="1">
      <alignment horizontal="right" vertical="center"/>
    </xf>
    <xf numFmtId="166" fontId="85" fillId="4" borderId="30" xfId="2" applyNumberFormat="1" applyFont="1" applyFill="1" applyBorder="1" applyAlignment="1" applyProtection="1">
      <alignment horizontal="right" vertical="center"/>
    </xf>
    <xf numFmtId="166" fontId="85" fillId="4" borderId="30" xfId="0" applyNumberFormat="1" applyFont="1" applyFill="1" applyBorder="1" applyAlignment="1">
      <alignment horizontal="right" vertical="center"/>
    </xf>
    <xf numFmtId="166" fontId="113" fillId="2" borderId="30" xfId="0" applyNumberFormat="1" applyFont="1" applyFill="1" applyBorder="1" applyAlignment="1">
      <alignment horizontal="right" vertical="center"/>
    </xf>
    <xf numFmtId="166" fontId="86" fillId="4" borderId="30" xfId="0" applyNumberFormat="1" applyFont="1" applyFill="1" applyBorder="1" applyAlignment="1">
      <alignment horizontal="right" vertical="center"/>
    </xf>
    <xf numFmtId="166" fontId="116" fillId="2" borderId="30" xfId="0" applyNumberFormat="1" applyFont="1" applyFill="1" applyBorder="1" applyAlignment="1">
      <alignment horizontal="right" vertical="center"/>
    </xf>
    <xf numFmtId="0" fontId="114" fillId="0" borderId="7" xfId="0" applyFont="1" applyBorder="1" applyAlignment="1">
      <alignment horizontal="left" vertical="center"/>
    </xf>
    <xf numFmtId="166" fontId="114" fillId="0" borderId="7" xfId="2" applyNumberFormat="1" applyFont="1" applyBorder="1" applyAlignment="1" applyProtection="1">
      <alignment horizontal="right" vertical="center"/>
    </xf>
    <xf numFmtId="10" fontId="113" fillId="2" borderId="0" xfId="0" applyNumberFormat="1" applyFont="1" applyFill="1" applyAlignment="1">
      <alignment horizontal="right" vertical="center"/>
    </xf>
    <xf numFmtId="0" fontId="119" fillId="0" borderId="7" xfId="0" applyFont="1" applyBorder="1" applyAlignment="1">
      <alignment horizontal="left" vertical="center"/>
    </xf>
    <xf numFmtId="166" fontId="119" fillId="0" borderId="7" xfId="2" applyNumberFormat="1" applyFont="1" applyBorder="1" applyAlignment="1" applyProtection="1">
      <alignment horizontal="right" vertical="center"/>
    </xf>
    <xf numFmtId="0" fontId="113" fillId="0" borderId="7" xfId="0" applyFont="1" applyBorder="1" applyAlignment="1">
      <alignment vertical="center"/>
    </xf>
    <xf numFmtId="166" fontId="117" fillId="0" borderId="7" xfId="2" applyNumberFormat="1" applyFont="1" applyBorder="1" applyAlignment="1" applyProtection="1">
      <alignment horizontal="right" vertical="center"/>
    </xf>
    <xf numFmtId="166" fontId="113" fillId="2" borderId="0" xfId="0" applyNumberFormat="1" applyFont="1" applyFill="1" applyAlignment="1">
      <alignment horizontal="right" vertical="center"/>
    </xf>
    <xf numFmtId="164" fontId="114" fillId="0" borderId="7" xfId="2" applyNumberFormat="1" applyFont="1" applyBorder="1" applyAlignment="1" applyProtection="1">
      <alignment horizontal="right" vertical="center"/>
    </xf>
    <xf numFmtId="0" fontId="113" fillId="2" borderId="7" xfId="0" applyFont="1" applyFill="1" applyBorder="1" applyAlignment="1">
      <alignment vertical="center"/>
    </xf>
    <xf numFmtId="0" fontId="114" fillId="2" borderId="7" xfId="0" applyFont="1" applyFill="1" applyBorder="1" applyAlignment="1">
      <alignment horizontal="left" vertical="center"/>
    </xf>
    <xf numFmtId="166" fontId="114" fillId="0" borderId="7" xfId="2" applyNumberFormat="1" applyFont="1" applyFill="1" applyBorder="1" applyAlignment="1" applyProtection="1">
      <alignment horizontal="right" vertical="center"/>
    </xf>
    <xf numFmtId="1" fontId="117" fillId="0" borderId="7" xfId="2" applyNumberFormat="1" applyFont="1" applyFill="1" applyBorder="1" applyAlignment="1" applyProtection="1">
      <alignment horizontal="right" vertical="center"/>
    </xf>
    <xf numFmtId="1" fontId="114" fillId="0" borderId="7" xfId="2" applyNumberFormat="1" applyFont="1" applyFill="1" applyBorder="1" applyAlignment="1" applyProtection="1">
      <alignment horizontal="right" vertical="center"/>
    </xf>
    <xf numFmtId="0" fontId="118" fillId="0" borderId="7" xfId="0" applyFont="1" applyBorder="1" applyAlignment="1">
      <alignment vertical="center"/>
    </xf>
    <xf numFmtId="166" fontId="119" fillId="0" borderId="7" xfId="2" applyNumberFormat="1" applyFont="1" applyFill="1" applyBorder="1" applyAlignment="1" applyProtection="1">
      <alignment horizontal="right" vertical="center"/>
    </xf>
    <xf numFmtId="1" fontId="86" fillId="4" borderId="30" xfId="0" applyNumberFormat="1" applyFont="1" applyFill="1" applyBorder="1" applyAlignment="1">
      <alignment horizontal="right" vertical="center"/>
    </xf>
    <xf numFmtId="9" fontId="85" fillId="4" borderId="30" xfId="3" applyFont="1" applyFill="1" applyBorder="1" applyAlignment="1" applyProtection="1">
      <alignment horizontal="right" vertical="center"/>
    </xf>
    <xf numFmtId="9" fontId="114" fillId="0" borderId="30" xfId="3" applyFont="1" applyBorder="1" applyAlignment="1" applyProtection="1">
      <alignment horizontal="right" vertical="center"/>
    </xf>
    <xf numFmtId="9" fontId="8" fillId="2" borderId="0" xfId="3" applyFont="1" applyFill="1" applyAlignment="1" applyProtection="1">
      <alignment vertical="center" wrapText="1"/>
    </xf>
    <xf numFmtId="177" fontId="8" fillId="2" borderId="0" xfId="0" applyNumberFormat="1" applyFont="1" applyFill="1" applyAlignment="1">
      <alignment vertical="center" wrapText="1"/>
    </xf>
    <xf numFmtId="0" fontId="116" fillId="2" borderId="30" xfId="0" applyFont="1" applyFill="1" applyBorder="1" applyAlignment="1">
      <alignment horizontal="left" vertical="center"/>
    </xf>
    <xf numFmtId="0" fontId="116" fillId="4" borderId="30" xfId="0" applyFont="1" applyFill="1" applyBorder="1" applyAlignment="1">
      <alignment horizontal="left" vertical="center"/>
    </xf>
    <xf numFmtId="0" fontId="116" fillId="2" borderId="0" xfId="0" applyFont="1" applyFill="1" applyAlignment="1">
      <alignment horizontal="left" vertical="center"/>
    </xf>
    <xf numFmtId="0" fontId="116" fillId="0" borderId="30" xfId="0" applyFont="1" applyBorder="1" applyAlignment="1">
      <alignment horizontal="left" vertical="center"/>
    </xf>
    <xf numFmtId="0" fontId="119" fillId="0" borderId="30" xfId="0" applyFont="1" applyBorder="1" applyAlignment="1">
      <alignment horizontal="left" vertical="center"/>
    </xf>
    <xf numFmtId="0" fontId="86" fillId="2" borderId="0" xfId="0" applyFont="1" applyFill="1" applyAlignment="1">
      <alignment horizontal="left" vertical="center" wrapText="1"/>
    </xf>
    <xf numFmtId="0" fontId="119" fillId="4" borderId="30" xfId="0" applyFont="1" applyFill="1" applyBorder="1" applyAlignment="1">
      <alignment horizontal="left" vertical="center"/>
    </xf>
    <xf numFmtId="0" fontId="116" fillId="0" borderId="7" xfId="0" applyFont="1" applyBorder="1" applyAlignment="1">
      <alignment vertical="center" wrapText="1"/>
    </xf>
    <xf numFmtId="0" fontId="116" fillId="0" borderId="7" xfId="0" applyFont="1" applyBorder="1" applyAlignment="1">
      <alignment vertical="center"/>
    </xf>
    <xf numFmtId="0" fontId="87" fillId="5" borderId="0" xfId="0" applyFont="1" applyFill="1" applyAlignment="1">
      <alignment vertical="center" wrapText="1"/>
    </xf>
    <xf numFmtId="0" fontId="80" fillId="0" borderId="0" xfId="0" applyFont="1" applyAlignment="1">
      <alignment vertical="center" wrapText="1"/>
    </xf>
    <xf numFmtId="0" fontId="80" fillId="2" borderId="0" xfId="0" applyFont="1" applyFill="1" applyAlignment="1">
      <alignment horizontal="left" vertical="center" wrapText="1"/>
    </xf>
    <xf numFmtId="164" fontId="8" fillId="2" borderId="0" xfId="3" applyNumberFormat="1" applyFont="1" applyFill="1" applyProtection="1"/>
    <xf numFmtId="0" fontId="6" fillId="2" borderId="0" xfId="0" applyFont="1" applyFill="1" applyAlignment="1">
      <alignment horizontal="left" vertical="center" wrapText="1"/>
    </xf>
    <xf numFmtId="166" fontId="6" fillId="2" borderId="0" xfId="0" applyNumberFormat="1" applyFont="1" applyFill="1"/>
    <xf numFmtId="9" fontId="6" fillId="2" borderId="0" xfId="0" applyNumberFormat="1" applyFont="1" applyFill="1" applyAlignment="1">
      <alignment vertical="center" wrapText="1"/>
    </xf>
    <xf numFmtId="0" fontId="162" fillId="0" borderId="0" xfId="0" applyFont="1"/>
    <xf numFmtId="164" fontId="6" fillId="2" borderId="0" xfId="0" applyNumberFormat="1" applyFont="1" applyFill="1"/>
    <xf numFmtId="9" fontId="6" fillId="2" borderId="0" xfId="3" applyFont="1" applyFill="1" applyProtection="1"/>
    <xf numFmtId="9" fontId="6" fillId="2" borderId="0" xfId="0" applyNumberFormat="1" applyFont="1" applyFill="1" applyAlignment="1">
      <alignment horizontal="left" vertical="center" wrapText="1"/>
    </xf>
    <xf numFmtId="0" fontId="154" fillId="2" borderId="0" xfId="0" applyFont="1" applyFill="1"/>
    <xf numFmtId="9" fontId="6" fillId="2" borderId="0" xfId="0" applyNumberFormat="1" applyFont="1" applyFill="1"/>
    <xf numFmtId="164" fontId="6" fillId="2" borderId="0" xfId="3" applyNumberFormat="1" applyFont="1" applyFill="1" applyProtection="1"/>
    <xf numFmtId="9" fontId="25" fillId="2" borderId="0" xfId="3" applyFont="1" applyFill="1" applyProtection="1"/>
    <xf numFmtId="0" fontId="154" fillId="2" borderId="0" xfId="0" applyFont="1" applyFill="1" applyAlignment="1">
      <alignment wrapText="1"/>
    </xf>
    <xf numFmtId="10" fontId="8" fillId="2" borderId="0" xfId="3" applyNumberFormat="1" applyFont="1" applyFill="1" applyAlignment="1" applyProtection="1">
      <alignment wrapText="1"/>
    </xf>
    <xf numFmtId="9" fontId="8" fillId="2" borderId="0" xfId="3" applyFont="1" applyFill="1" applyAlignment="1" applyProtection="1">
      <alignment horizontal="left" vertical="center" wrapText="1"/>
    </xf>
    <xf numFmtId="166" fontId="7" fillId="2" borderId="0" xfId="2" applyNumberFormat="1" applyFont="1" applyFill="1" applyAlignment="1" applyProtection="1">
      <alignment horizontal="center" vertical="center" wrapText="1"/>
    </xf>
    <xf numFmtId="9" fontId="7" fillId="2" borderId="0" xfId="3" applyFont="1" applyFill="1" applyAlignment="1" applyProtection="1">
      <alignment horizontal="center" vertical="center" wrapText="1"/>
    </xf>
    <xf numFmtId="9" fontId="81" fillId="7" borderId="0" xfId="3" applyFont="1" applyFill="1" applyAlignment="1" applyProtection="1">
      <alignment vertical="center" wrapText="1"/>
    </xf>
    <xf numFmtId="0" fontId="114" fillId="2" borderId="30" xfId="0" applyFont="1" applyFill="1" applyBorder="1" applyAlignment="1">
      <alignment horizontal="left" vertical="center" wrapText="1"/>
    </xf>
    <xf numFmtId="0" fontId="155" fillId="2" borderId="0" xfId="0" applyFont="1" applyFill="1"/>
    <xf numFmtId="0" fontId="114" fillId="2" borderId="0" xfId="0" applyFont="1" applyFill="1" applyAlignment="1">
      <alignment horizontal="left" vertical="center" wrapText="1"/>
    </xf>
    <xf numFmtId="166" fontId="85" fillId="2" borderId="0" xfId="2" applyNumberFormat="1" applyFont="1" applyFill="1" applyAlignment="1" applyProtection="1">
      <alignment horizontal="right" vertical="center" wrapText="1"/>
    </xf>
    <xf numFmtId="10" fontId="85" fillId="2" borderId="0" xfId="3" applyNumberFormat="1" applyFont="1" applyFill="1" applyAlignment="1" applyProtection="1">
      <alignment horizontal="right" vertical="center" wrapText="1"/>
    </xf>
    <xf numFmtId="166" fontId="114" fillId="2" borderId="0" xfId="2" applyNumberFormat="1" applyFont="1" applyFill="1" applyAlignment="1" applyProtection="1">
      <alignment horizontal="right" vertical="center" wrapText="1"/>
    </xf>
    <xf numFmtId="10" fontId="114" fillId="2" borderId="0" xfId="3" applyNumberFormat="1" applyFont="1" applyFill="1" applyAlignment="1" applyProtection="1">
      <alignment horizontal="right" vertical="center" wrapText="1"/>
    </xf>
    <xf numFmtId="9" fontId="85" fillId="2" borderId="0" xfId="3" applyFont="1" applyFill="1" applyAlignment="1" applyProtection="1">
      <alignment vertical="center" wrapText="1"/>
    </xf>
    <xf numFmtId="9" fontId="114" fillId="2" borderId="0" xfId="3" applyFont="1" applyFill="1" applyAlignment="1" applyProtection="1">
      <alignment horizontal="right" vertical="center" wrapText="1"/>
    </xf>
    <xf numFmtId="164" fontId="114" fillId="2" borderId="0" xfId="3" applyNumberFormat="1" applyFont="1" applyFill="1" applyAlignment="1" applyProtection="1">
      <alignment horizontal="right" vertical="center" wrapText="1"/>
    </xf>
    <xf numFmtId="1" fontId="114" fillId="0" borderId="30" xfId="0" applyNumberFormat="1" applyFont="1" applyBorder="1" applyAlignment="1">
      <alignment horizontal="right" vertical="center" wrapText="1"/>
    </xf>
    <xf numFmtId="0" fontId="10" fillId="2" borderId="0" xfId="0" applyFont="1" applyFill="1" applyAlignment="1">
      <alignment vertical="center"/>
    </xf>
    <xf numFmtId="0" fontId="63" fillId="2" borderId="0" xfId="0" applyFont="1" applyFill="1" applyAlignment="1">
      <alignment vertical="center" wrapText="1"/>
    </xf>
    <xf numFmtId="166" fontId="10" fillId="2" borderId="0" xfId="2" applyNumberFormat="1" applyFont="1" applyFill="1" applyAlignment="1" applyProtection="1">
      <alignment horizontal="center" vertical="center" wrapText="1"/>
    </xf>
    <xf numFmtId="0" fontId="12" fillId="5" borderId="0" xfId="0" applyFont="1" applyFill="1"/>
    <xf numFmtId="9" fontId="6" fillId="2" borderId="0" xfId="0" applyNumberFormat="1" applyFont="1" applyFill="1" applyAlignment="1">
      <alignment wrapText="1"/>
    </xf>
    <xf numFmtId="0" fontId="58" fillId="40" borderId="30" xfId="0" applyFont="1" applyFill="1" applyBorder="1" applyAlignment="1">
      <alignment horizontal="left" vertical="center" wrapText="1"/>
    </xf>
    <xf numFmtId="0" fontId="96" fillId="35" borderId="30" xfId="0" applyFont="1" applyFill="1" applyBorder="1" applyAlignment="1">
      <alignment horizontal="center" vertical="center" wrapText="1"/>
    </xf>
    <xf numFmtId="166" fontId="85" fillId="20" borderId="30" xfId="0" applyNumberFormat="1" applyFont="1" applyFill="1" applyBorder="1" applyAlignment="1">
      <alignment horizontal="right" wrapText="1"/>
    </xf>
    <xf numFmtId="166" fontId="85" fillId="20" borderId="30" xfId="2" applyNumberFormat="1" applyFont="1" applyFill="1" applyBorder="1" applyAlignment="1" applyProtection="1">
      <alignment horizontal="right" vertical="center"/>
    </xf>
    <xf numFmtId="9" fontId="86" fillId="20" borderId="30" xfId="3" applyFont="1" applyFill="1" applyBorder="1" applyAlignment="1" applyProtection="1">
      <alignment horizontal="right" wrapText="1"/>
    </xf>
    <xf numFmtId="166" fontId="114" fillId="2" borderId="30" xfId="0" applyNumberFormat="1" applyFont="1" applyFill="1" applyBorder="1" applyAlignment="1">
      <alignment horizontal="right" wrapText="1"/>
    </xf>
    <xf numFmtId="9" fontId="119" fillId="2" borderId="30" xfId="3" applyFont="1" applyFill="1" applyBorder="1" applyAlignment="1" applyProtection="1">
      <alignment horizontal="right" wrapText="1"/>
    </xf>
    <xf numFmtId="9" fontId="6" fillId="2" borderId="0" xfId="3" applyFont="1" applyFill="1" applyAlignment="1" applyProtection="1">
      <alignment wrapText="1"/>
    </xf>
    <xf numFmtId="0" fontId="25" fillId="26" borderId="30" xfId="0" applyFont="1" applyFill="1" applyBorder="1" applyAlignment="1">
      <alignment horizontal="center" vertical="center" wrapText="1"/>
    </xf>
    <xf numFmtId="166" fontId="6" fillId="19" borderId="13" xfId="2" applyNumberFormat="1" applyFont="1" applyFill="1" applyBorder="1" applyAlignment="1" applyProtection="1">
      <alignment horizontal="right" vertical="center" wrapText="1"/>
    </xf>
    <xf numFmtId="49" fontId="6" fillId="19" borderId="13" xfId="2" applyNumberFormat="1" applyFont="1" applyFill="1" applyBorder="1" applyAlignment="1" applyProtection="1">
      <alignment horizontal="right" vertical="center" wrapText="1"/>
    </xf>
    <xf numFmtId="49" fontId="6" fillId="2" borderId="0" xfId="2" applyNumberFormat="1" applyFont="1" applyFill="1" applyAlignment="1" applyProtection="1">
      <alignment horizontal="right" vertical="center" wrapText="1"/>
    </xf>
    <xf numFmtId="166" fontId="6" fillId="2" borderId="0" xfId="2" applyNumberFormat="1" applyFont="1" applyFill="1" applyAlignment="1" applyProtection="1">
      <alignment horizontal="right" vertical="center" wrapText="1"/>
    </xf>
    <xf numFmtId="164" fontId="8" fillId="2" borderId="0" xfId="3" applyNumberFormat="1" applyFont="1" applyFill="1" applyAlignment="1" applyProtection="1">
      <alignment wrapText="1"/>
    </xf>
    <xf numFmtId="0" fontId="11" fillId="2" borderId="0" xfId="0" applyFont="1" applyFill="1"/>
    <xf numFmtId="166" fontId="85" fillId="0" borderId="0" xfId="0" applyNumberFormat="1" applyFont="1" applyAlignment="1">
      <alignment horizontal="right" vertical="center" wrapText="1"/>
    </xf>
    <xf numFmtId="166" fontId="114" fillId="2" borderId="0" xfId="0" applyNumberFormat="1" applyFont="1" applyFill="1" applyAlignment="1">
      <alignment horizontal="right" vertical="center" wrapText="1"/>
    </xf>
    <xf numFmtId="0" fontId="8" fillId="2" borderId="0" xfId="0" applyFont="1" applyFill="1" applyAlignment="1">
      <alignment horizontal="right" wrapText="1"/>
    </xf>
    <xf numFmtId="166" fontId="24" fillId="2" borderId="0" xfId="0" applyNumberFormat="1" applyFont="1" applyFill="1" applyAlignment="1">
      <alignment horizontal="right" vertical="center" wrapText="1"/>
    </xf>
    <xf numFmtId="1" fontId="24" fillId="2" borderId="0" xfId="0" applyNumberFormat="1" applyFont="1" applyFill="1" applyAlignment="1">
      <alignment horizontal="right" vertical="center" wrapText="1"/>
    </xf>
    <xf numFmtId="0" fontId="13" fillId="2" borderId="0" xfId="0" applyFont="1" applyFill="1" applyAlignment="1">
      <alignment vertical="top" wrapText="1"/>
    </xf>
    <xf numFmtId="1" fontId="117" fillId="20" borderId="30" xfId="0" applyNumberFormat="1" applyFont="1" applyFill="1" applyBorder="1" applyAlignment="1">
      <alignment horizontal="center" wrapText="1"/>
    </xf>
    <xf numFmtId="1" fontId="117" fillId="0" borderId="30" xfId="0" applyNumberFormat="1" applyFont="1" applyBorder="1" applyAlignment="1">
      <alignment horizontal="center" wrapText="1"/>
    </xf>
    <xf numFmtId="9" fontId="117" fillId="20" borderId="30" xfId="0" applyNumberFormat="1" applyFont="1" applyFill="1" applyBorder="1" applyAlignment="1">
      <alignment horizontal="center" wrapText="1"/>
    </xf>
    <xf numFmtId="9" fontId="117" fillId="0" borderId="30" xfId="0" applyNumberFormat="1" applyFont="1" applyBorder="1" applyAlignment="1">
      <alignment horizontal="center" wrapText="1"/>
    </xf>
    <xf numFmtId="164" fontId="117" fillId="0" borderId="30" xfId="0" applyNumberFormat="1" applyFont="1" applyBorder="1" applyAlignment="1">
      <alignment horizontal="center" wrapText="1"/>
    </xf>
    <xf numFmtId="0" fontId="165" fillId="0" borderId="30" xfId="0" applyFont="1" applyBorder="1" applyAlignment="1">
      <alignment horizontal="left" vertical="center" wrapText="1"/>
    </xf>
    <xf numFmtId="9" fontId="114" fillId="20" borderId="30" xfId="3" applyFont="1" applyFill="1" applyBorder="1" applyAlignment="1" applyProtection="1">
      <alignment horizontal="center" wrapText="1"/>
    </xf>
    <xf numFmtId="171" fontId="114" fillId="0" borderId="30" xfId="0" applyNumberFormat="1" applyFont="1" applyBorder="1" applyAlignment="1">
      <alignment vertical="center"/>
    </xf>
    <xf numFmtId="171" fontId="114" fillId="0" borderId="30" xfId="0" applyNumberFormat="1" applyFont="1" applyBorder="1" applyAlignment="1">
      <alignment horizontal="right" vertical="center"/>
    </xf>
    <xf numFmtId="1" fontId="114" fillId="0" borderId="30" xfId="0" applyNumberFormat="1" applyFont="1" applyBorder="1" applyAlignment="1">
      <alignment horizontal="right" vertical="center"/>
    </xf>
    <xf numFmtId="2" fontId="113" fillId="0" borderId="30" xfId="0" applyNumberFormat="1" applyFont="1" applyBorder="1" applyAlignment="1">
      <alignment horizontal="center" vertical="center" wrapText="1"/>
    </xf>
    <xf numFmtId="0" fontId="113" fillId="0" borderId="30" xfId="0" applyFont="1" applyBorder="1" applyAlignment="1">
      <alignment horizontal="center" vertical="center" wrapText="1"/>
    </xf>
    <xf numFmtId="1" fontId="113" fillId="0" borderId="30" xfId="0" applyNumberFormat="1" applyFont="1" applyBorder="1" applyAlignment="1">
      <alignment horizontal="center" vertical="center" wrapText="1"/>
    </xf>
    <xf numFmtId="9" fontId="114" fillId="0" borderId="30" xfId="3" applyFont="1" applyFill="1" applyBorder="1" applyAlignment="1">
      <alignment horizontal="right" vertical="center"/>
    </xf>
    <xf numFmtId="0" fontId="103" fillId="26" borderId="14" xfId="0" applyFont="1" applyFill="1" applyBorder="1" applyAlignment="1">
      <alignment horizontal="center" vertical="center" wrapText="1"/>
    </xf>
    <xf numFmtId="164" fontId="8" fillId="2" borderId="0" xfId="0" applyNumberFormat="1" applyFont="1" applyFill="1" applyAlignment="1">
      <alignment wrapText="1"/>
    </xf>
    <xf numFmtId="0" fontId="117" fillId="0" borderId="30" xfId="0" applyFont="1" applyBorder="1" applyAlignment="1">
      <alignment horizontal="left" wrapText="1"/>
    </xf>
    <xf numFmtId="10" fontId="117" fillId="0" borderId="30" xfId="0" applyNumberFormat="1" applyFont="1" applyBorder="1" applyAlignment="1">
      <alignment horizontal="center" wrapText="1"/>
    </xf>
    <xf numFmtId="0" fontId="113" fillId="2" borderId="0" xfId="0" applyFont="1" applyFill="1" applyAlignment="1">
      <alignment horizontal="left" vertical="center" indent="2"/>
    </xf>
    <xf numFmtId="0" fontId="119" fillId="2" borderId="0" xfId="0" applyFont="1" applyFill="1" applyAlignment="1">
      <alignment horizontal="right" vertical="center" wrapText="1"/>
    </xf>
    <xf numFmtId="9" fontId="114" fillId="2" borderId="30" xfId="3" applyFont="1" applyFill="1" applyBorder="1" applyAlignment="1" applyProtection="1">
      <alignment horizontal="center" wrapText="1"/>
    </xf>
    <xf numFmtId="166" fontId="114" fillId="2" borderId="0" xfId="2" applyNumberFormat="1" applyFont="1" applyFill="1" applyAlignment="1">
      <alignment horizontal="right" vertical="center" wrapText="1"/>
    </xf>
    <xf numFmtId="10" fontId="114" fillId="2" borderId="0" xfId="3" applyNumberFormat="1" applyFont="1" applyFill="1" applyAlignment="1">
      <alignment horizontal="right" vertical="center" wrapText="1"/>
    </xf>
    <xf numFmtId="10" fontId="117" fillId="20" borderId="30" xfId="0" applyNumberFormat="1" applyFont="1" applyFill="1" applyBorder="1" applyAlignment="1">
      <alignment horizontal="center" wrapText="1"/>
    </xf>
    <xf numFmtId="0" fontId="113" fillId="2" borderId="71" xfId="0" applyFont="1" applyFill="1" applyBorder="1" applyAlignment="1">
      <alignment horizontal="left" vertical="center" wrapText="1"/>
    </xf>
    <xf numFmtId="3" fontId="144" fillId="20" borderId="71" xfId="0" applyNumberFormat="1" applyFont="1" applyFill="1" applyBorder="1" applyAlignment="1">
      <alignment horizontal="right" vertical="center" wrapText="1"/>
    </xf>
    <xf numFmtId="9" fontId="144" fillId="20" borderId="71" xfId="0" applyNumberFormat="1" applyFont="1" applyFill="1" applyBorder="1" applyAlignment="1">
      <alignment horizontal="right" vertical="center" wrapText="1"/>
    </xf>
    <xf numFmtId="3" fontId="113" fillId="0" borderId="71" xfId="0" applyNumberFormat="1" applyFont="1" applyBorder="1" applyAlignment="1">
      <alignment horizontal="right" vertical="center" wrapText="1"/>
    </xf>
    <xf numFmtId="9" fontId="113" fillId="0" borderId="71" xfId="0" applyNumberFormat="1" applyFont="1" applyBorder="1" applyAlignment="1">
      <alignment horizontal="right" vertical="center" wrapText="1"/>
    </xf>
    <xf numFmtId="166" fontId="117" fillId="2" borderId="71" xfId="0" applyNumberFormat="1" applyFont="1" applyFill="1" applyBorder="1" applyAlignment="1">
      <alignment horizontal="right" vertical="center" wrapText="1"/>
    </xf>
    <xf numFmtId="9" fontId="117" fillId="2" borderId="71" xfId="0" applyNumberFormat="1" applyFont="1" applyFill="1" applyBorder="1" applyAlignment="1">
      <alignment horizontal="right" vertical="center" wrapText="1"/>
    </xf>
    <xf numFmtId="166" fontId="114" fillId="8" borderId="71" xfId="0" applyNumberFormat="1" applyFont="1" applyFill="1" applyBorder="1" applyAlignment="1">
      <alignment horizontal="right" vertical="center" wrapText="1"/>
    </xf>
    <xf numFmtId="9" fontId="114" fillId="8" borderId="71" xfId="3" applyFont="1" applyFill="1" applyBorder="1" applyAlignment="1" applyProtection="1">
      <alignment horizontal="right" vertical="center" wrapText="1"/>
    </xf>
    <xf numFmtId="166" fontId="114" fillId="2" borderId="0" xfId="2" applyNumberFormat="1" applyFont="1" applyFill="1" applyBorder="1" applyAlignment="1" applyProtection="1">
      <alignment horizontal="right" vertical="center"/>
    </xf>
    <xf numFmtId="9" fontId="119" fillId="2" borderId="0" xfId="3" applyFont="1" applyFill="1" applyBorder="1" applyAlignment="1" applyProtection="1">
      <alignment horizontal="right" wrapText="1"/>
    </xf>
    <xf numFmtId="0" fontId="116" fillId="2" borderId="0" xfId="0" applyFont="1" applyFill="1" applyAlignment="1">
      <alignment vertical="center" wrapText="1"/>
    </xf>
    <xf numFmtId="0" fontId="172" fillId="2" borderId="0" xfId="0" applyFont="1" applyFill="1"/>
    <xf numFmtId="0" fontId="173" fillId="5" borderId="0" xfId="0" applyFont="1" applyFill="1" applyAlignment="1">
      <alignment vertical="center" wrapText="1"/>
    </xf>
    <xf numFmtId="0" fontId="173" fillId="7" borderId="0" xfId="0" applyFont="1" applyFill="1" applyAlignment="1">
      <alignment vertical="center" wrapText="1"/>
    </xf>
    <xf numFmtId="166" fontId="173" fillId="5" borderId="0" xfId="2" applyNumberFormat="1" applyFont="1" applyFill="1" applyAlignment="1" applyProtection="1">
      <alignment vertical="center" wrapText="1"/>
    </xf>
    <xf numFmtId="166" fontId="113" fillId="2" borderId="0" xfId="2" applyNumberFormat="1" applyFont="1" applyFill="1" applyAlignment="1" applyProtection="1">
      <alignment vertical="center"/>
    </xf>
    <xf numFmtId="3" fontId="113" fillId="2" borderId="0" xfId="0" applyNumberFormat="1" applyFont="1" applyFill="1" applyAlignment="1">
      <alignment vertical="center"/>
    </xf>
    <xf numFmtId="174" fontId="113" fillId="2" borderId="0" xfId="3" applyNumberFormat="1" applyFont="1" applyFill="1" applyAlignment="1" applyProtection="1">
      <alignment vertical="center"/>
    </xf>
    <xf numFmtId="0" fontId="91" fillId="2" borderId="0" xfId="0" applyFont="1" applyFill="1"/>
    <xf numFmtId="9" fontId="91" fillId="2" borderId="0" xfId="3" applyFont="1" applyFill="1"/>
    <xf numFmtId="166" fontId="114" fillId="2" borderId="0" xfId="2" applyNumberFormat="1" applyFont="1" applyFill="1" applyAlignment="1">
      <alignment horizontal="right" vertical="center"/>
    </xf>
    <xf numFmtId="9" fontId="119" fillId="2" borderId="0" xfId="3" applyFont="1" applyFill="1" applyAlignment="1">
      <alignment horizontal="right" wrapText="1"/>
    </xf>
    <xf numFmtId="49" fontId="6" fillId="2" borderId="0" xfId="2" applyNumberFormat="1" applyFont="1" applyFill="1" applyAlignment="1">
      <alignment horizontal="right" vertical="center" wrapText="1"/>
    </xf>
    <xf numFmtId="1" fontId="13" fillId="2" borderId="0" xfId="3" applyNumberFormat="1" applyFont="1" applyFill="1"/>
    <xf numFmtId="0" fontId="59" fillId="5" borderId="0" xfId="0" applyFont="1" applyFill="1" applyAlignment="1">
      <alignment horizontal="left" vertical="center"/>
    </xf>
    <xf numFmtId="0" fontId="16" fillId="35" borderId="34" xfId="0" applyFont="1" applyFill="1" applyBorder="1" applyAlignment="1">
      <alignment horizontal="center" vertical="center" wrapText="1"/>
    </xf>
    <xf numFmtId="0" fontId="64" fillId="2" borderId="0" xfId="0" applyFont="1" applyFill="1" applyAlignment="1">
      <alignment horizontal="left" vertical="top" wrapText="1"/>
    </xf>
    <xf numFmtId="166" fontId="119" fillId="2" borderId="0" xfId="2" applyNumberFormat="1" applyFont="1" applyFill="1" applyAlignment="1" applyProtection="1">
      <alignment horizontal="right" vertical="center" wrapText="1"/>
    </xf>
    <xf numFmtId="0" fontId="59" fillId="5" borderId="0" xfId="0" applyFont="1" applyFill="1" applyAlignment="1">
      <alignment vertical="center" wrapText="1"/>
    </xf>
    <xf numFmtId="0" fontId="59" fillId="5" borderId="0" xfId="0" applyFont="1" applyFill="1" applyAlignment="1">
      <alignment vertical="center"/>
    </xf>
    <xf numFmtId="0" fontId="59" fillId="0" borderId="0" xfId="0" applyFont="1" applyAlignment="1">
      <alignment vertical="center"/>
    </xf>
    <xf numFmtId="3" fontId="11" fillId="4" borderId="30" xfId="0" applyNumberFormat="1" applyFont="1" applyFill="1" applyBorder="1" applyAlignment="1">
      <alignment horizontal="right" vertical="center"/>
    </xf>
    <xf numFmtId="0" fontId="114" fillId="2" borderId="30" xfId="0" applyFont="1" applyFill="1" applyBorder="1" applyAlignment="1">
      <alignment horizontal="left" vertical="center" wrapText="1" indent="2"/>
    </xf>
    <xf numFmtId="0" fontId="175" fillId="2" borderId="0" xfId="0" applyFont="1" applyFill="1" applyAlignment="1">
      <alignment wrapText="1"/>
    </xf>
    <xf numFmtId="0" fontId="21" fillId="2" borderId="0" xfId="0" applyFont="1" applyFill="1" applyAlignment="1">
      <alignment wrapText="1"/>
    </xf>
    <xf numFmtId="3" fontId="144" fillId="2" borderId="0" xfId="0" applyNumberFormat="1" applyFont="1" applyFill="1" applyAlignment="1">
      <alignment horizontal="right" vertical="center" wrapText="1"/>
    </xf>
    <xf numFmtId="166" fontId="117" fillId="2" borderId="0" xfId="0" applyNumberFormat="1" applyFont="1" applyFill="1" applyAlignment="1">
      <alignment horizontal="right" vertical="center" wrapText="1"/>
    </xf>
    <xf numFmtId="0" fontId="143" fillId="2" borderId="0" xfId="0" applyFont="1" applyFill="1" applyAlignment="1">
      <alignment horizontal="center" vertical="center" wrapText="1"/>
    </xf>
    <xf numFmtId="164" fontId="91" fillId="2" borderId="0" xfId="3" applyNumberFormat="1" applyFont="1" applyFill="1"/>
    <xf numFmtId="164" fontId="144" fillId="4" borderId="30" xfId="3" applyNumberFormat="1" applyFont="1" applyFill="1" applyBorder="1" applyAlignment="1">
      <alignment horizontal="right" vertical="center"/>
    </xf>
    <xf numFmtId="9" fontId="144" fillId="4" borderId="30" xfId="3" applyFont="1" applyFill="1" applyBorder="1" applyAlignment="1">
      <alignment horizontal="right" vertical="center"/>
    </xf>
    <xf numFmtId="0" fontId="177" fillId="2" borderId="0" xfId="0" applyFont="1" applyFill="1" applyAlignment="1">
      <alignment horizontal="right" vertical="center"/>
    </xf>
    <xf numFmtId="0" fontId="25" fillId="35" borderId="30" xfId="0" applyFont="1" applyFill="1" applyBorder="1" applyAlignment="1">
      <alignment horizontal="left" vertical="center" wrapText="1"/>
    </xf>
    <xf numFmtId="0" fontId="8" fillId="0" borderId="30" xfId="0" applyFont="1" applyBorder="1" applyAlignment="1">
      <alignment horizontal="left" vertical="center" wrapText="1"/>
    </xf>
    <xf numFmtId="0" fontId="7" fillId="2" borderId="30" xfId="0" applyFont="1" applyFill="1" applyBorder="1" applyAlignment="1">
      <alignment horizontal="left" vertical="center" wrapText="1"/>
    </xf>
    <xf numFmtId="0" fontId="7" fillId="0" borderId="30" xfId="0" applyFont="1" applyBorder="1" applyAlignment="1">
      <alignment horizontal="left" vertical="center" wrapText="1"/>
    </xf>
    <xf numFmtId="0" fontId="8" fillId="2" borderId="30"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8" fillId="2" borderId="30" xfId="0" applyFont="1" applyFill="1" applyBorder="1" applyAlignment="1">
      <alignment vertical="center" wrapText="1"/>
    </xf>
    <xf numFmtId="1" fontId="113" fillId="2" borderId="30" xfId="0" applyNumberFormat="1" applyFont="1" applyFill="1" applyBorder="1" applyAlignment="1">
      <alignment horizontal="center" vertical="center" wrapText="1"/>
    </xf>
    <xf numFmtId="166" fontId="80" fillId="2" borderId="0" xfId="0" applyNumberFormat="1" applyFont="1" applyFill="1" applyAlignment="1">
      <alignment horizontal="left" vertical="center" wrapText="1"/>
    </xf>
    <xf numFmtId="0" fontId="16" fillId="35" borderId="32" xfId="0" applyFont="1" applyFill="1" applyBorder="1" applyAlignment="1">
      <alignment horizontal="left" vertical="center" wrapText="1"/>
    </xf>
    <xf numFmtId="0" fontId="16" fillId="35" borderId="32" xfId="0" applyFont="1" applyFill="1" applyBorder="1" applyAlignment="1">
      <alignment horizontal="center" vertical="center" wrapText="1"/>
    </xf>
    <xf numFmtId="0" fontId="178" fillId="2" borderId="0" xfId="0" applyFont="1" applyFill="1"/>
    <xf numFmtId="166" fontId="156" fillId="0" borderId="45" xfId="2" applyNumberFormat="1" applyFont="1" applyFill="1" applyBorder="1" applyAlignment="1">
      <alignment horizontal="right" vertical="center"/>
    </xf>
    <xf numFmtId="0" fontId="114" fillId="0" borderId="31" xfId="0" applyFont="1" applyBorder="1" applyAlignment="1">
      <alignment vertical="center" wrapText="1"/>
    </xf>
    <xf numFmtId="0" fontId="119" fillId="0" borderId="31" xfId="0" applyFont="1" applyBorder="1" applyAlignment="1">
      <alignment horizontal="left" vertical="center"/>
    </xf>
    <xf numFmtId="0" fontId="119" fillId="0" borderId="71" xfId="0" applyFont="1" applyBorder="1" applyAlignment="1">
      <alignment horizontal="left" vertical="center"/>
    </xf>
    <xf numFmtId="0" fontId="86" fillId="10" borderId="30" xfId="0" applyFont="1" applyFill="1" applyBorder="1" applyAlignment="1">
      <alignment horizontal="left" vertical="center" wrapText="1"/>
    </xf>
    <xf numFmtId="3" fontId="144" fillId="20" borderId="0" xfId="0" applyNumberFormat="1" applyFont="1" applyFill="1" applyAlignment="1">
      <alignment horizontal="right" vertical="center" wrapText="1"/>
    </xf>
    <xf numFmtId="166" fontId="144" fillId="20" borderId="0" xfId="2" applyNumberFormat="1" applyFont="1" applyFill="1" applyAlignment="1">
      <alignment horizontal="right" vertical="center" wrapText="1"/>
    </xf>
    <xf numFmtId="166" fontId="150" fillId="4" borderId="30" xfId="2" applyNumberFormat="1" applyFont="1" applyFill="1" applyBorder="1" applyAlignment="1">
      <alignment horizontal="right" vertical="center"/>
    </xf>
    <xf numFmtId="166" fontId="86" fillId="4" borderId="30" xfId="2" applyNumberFormat="1" applyFont="1" applyFill="1" applyBorder="1" applyAlignment="1">
      <alignment horizontal="right" vertical="center"/>
    </xf>
    <xf numFmtId="10" fontId="8" fillId="2" borderId="0" xfId="3" applyNumberFormat="1" applyFont="1" applyFill="1" applyAlignment="1" applyProtection="1">
      <alignment vertical="center" wrapText="1"/>
    </xf>
    <xf numFmtId="166" fontId="8" fillId="2" borderId="0" xfId="2" applyNumberFormat="1" applyFont="1" applyFill="1" applyAlignment="1">
      <alignment vertical="center" wrapText="1"/>
    </xf>
    <xf numFmtId="10" fontId="8" fillId="2" borderId="0" xfId="3" applyNumberFormat="1" applyFont="1" applyFill="1" applyAlignment="1">
      <alignment vertical="center" wrapText="1"/>
    </xf>
    <xf numFmtId="0" fontId="113" fillId="0" borderId="7" xfId="0" applyFont="1" applyBorder="1" applyAlignment="1">
      <alignment horizontal="left" vertical="center" indent="2"/>
    </xf>
    <xf numFmtId="0" fontId="116" fillId="2" borderId="0" xfId="0" applyFont="1" applyFill="1" applyAlignment="1">
      <alignment horizontal="right" vertical="center"/>
    </xf>
    <xf numFmtId="0" fontId="117" fillId="0" borderId="7" xfId="0" applyFont="1" applyBorder="1" applyAlignment="1">
      <alignment horizontal="left" vertical="center" indent="2"/>
    </xf>
    <xf numFmtId="0" fontId="113" fillId="0" borderId="30" xfId="0" applyFont="1" applyBorder="1" applyAlignment="1">
      <alignment horizontal="left" vertical="center" wrapText="1" indent="2"/>
    </xf>
    <xf numFmtId="0" fontId="114" fillId="0" borderId="30" xfId="0" applyFont="1" applyBorder="1" applyAlignment="1">
      <alignment horizontal="left" vertical="center" wrapText="1" indent="2"/>
    </xf>
    <xf numFmtId="0" fontId="113" fillId="0" borderId="30" xfId="0" applyFont="1" applyBorder="1" applyAlignment="1">
      <alignment horizontal="left" vertical="center" indent="2"/>
    </xf>
    <xf numFmtId="0" fontId="113" fillId="0" borderId="7" xfId="0" applyFont="1" applyBorder="1" applyAlignment="1">
      <alignment horizontal="left" vertical="center" wrapText="1" indent="2"/>
    </xf>
    <xf numFmtId="164" fontId="85" fillId="4" borderId="30" xfId="3" applyNumberFormat="1" applyFont="1" applyFill="1" applyBorder="1" applyAlignment="1" applyProtection="1">
      <alignment horizontal="right" vertical="center"/>
    </xf>
    <xf numFmtId="3" fontId="114" fillId="0" borderId="30" xfId="0" applyNumberFormat="1" applyFont="1" applyBorder="1" applyAlignment="1">
      <alignment vertical="center" wrapText="1"/>
    </xf>
    <xf numFmtId="179" fontId="114" fillId="0" borderId="30" xfId="0" applyNumberFormat="1" applyFont="1" applyBorder="1" applyAlignment="1">
      <alignment vertical="center" wrapText="1"/>
    </xf>
    <xf numFmtId="0" fontId="119" fillId="4" borderId="7" xfId="0" applyFont="1" applyFill="1" applyBorder="1" applyAlignment="1">
      <alignment vertical="center"/>
    </xf>
    <xf numFmtId="0" fontId="143" fillId="10" borderId="30" xfId="0" applyFont="1" applyFill="1" applyBorder="1" applyAlignment="1">
      <alignment horizontal="right" vertical="center" wrapText="1"/>
    </xf>
    <xf numFmtId="0" fontId="114" fillId="8" borderId="30" xfId="0" applyFont="1" applyFill="1" applyBorder="1" applyAlignment="1">
      <alignment horizontal="right" vertical="center"/>
    </xf>
    <xf numFmtId="0" fontId="114" fillId="8" borderId="30" xfId="2" applyNumberFormat="1" applyFont="1" applyFill="1" applyBorder="1" applyAlignment="1" applyProtection="1">
      <alignment horizontal="right" vertical="center"/>
    </xf>
    <xf numFmtId="0" fontId="24" fillId="2" borderId="0" xfId="0" applyFont="1" applyFill="1" applyAlignment="1">
      <alignment vertical="center"/>
    </xf>
    <xf numFmtId="9" fontId="37" fillId="42" borderId="71" xfId="3" applyFont="1" applyFill="1" applyBorder="1" applyAlignment="1" applyProtection="1">
      <alignment vertical="center"/>
    </xf>
    <xf numFmtId="0" fontId="144" fillId="10" borderId="30" xfId="0" applyFont="1" applyFill="1" applyBorder="1" applyAlignment="1">
      <alignment horizontal="right" vertical="center" wrapText="1"/>
    </xf>
    <xf numFmtId="0" fontId="144" fillId="10" borderId="30" xfId="0" applyFont="1" applyFill="1" applyBorder="1" applyAlignment="1">
      <alignment horizontal="right" vertical="center"/>
    </xf>
    <xf numFmtId="0" fontId="179" fillId="0" borderId="0" xfId="0" applyFont="1"/>
    <xf numFmtId="0" fontId="24" fillId="0" borderId="0" xfId="0" applyFont="1" applyAlignment="1">
      <alignment vertical="center" wrapText="1"/>
    </xf>
    <xf numFmtId="0" fontId="180" fillId="5" borderId="0" xfId="0" applyFont="1" applyFill="1" applyAlignment="1">
      <alignment vertical="center"/>
    </xf>
    <xf numFmtId="0" fontId="180" fillId="5" borderId="0" xfId="0" applyFont="1" applyFill="1" applyAlignment="1">
      <alignment vertical="center" wrapText="1"/>
    </xf>
    <xf numFmtId="0" fontId="114" fillId="5" borderId="0" xfId="0" applyFont="1" applyFill="1" applyAlignment="1">
      <alignment vertical="center"/>
    </xf>
    <xf numFmtId="0" fontId="117" fillId="2" borderId="0" xfId="0" applyFont="1" applyFill="1" applyAlignment="1">
      <alignment vertical="center"/>
    </xf>
    <xf numFmtId="0" fontId="131" fillId="37" borderId="0" xfId="0" applyFont="1" applyFill="1" applyAlignment="1">
      <alignment horizontal="left" vertical="center"/>
    </xf>
    <xf numFmtId="0" fontId="131" fillId="37" borderId="0" xfId="0" applyFont="1" applyFill="1" applyAlignment="1">
      <alignment horizontal="left" vertical="center" wrapText="1"/>
    </xf>
    <xf numFmtId="0" fontId="62" fillId="37" borderId="0" xfId="0" applyFont="1" applyFill="1" applyAlignment="1">
      <alignment horizontal="right" vertical="center"/>
    </xf>
    <xf numFmtId="0" fontId="146" fillId="37" borderId="0" xfId="0" applyFont="1" applyFill="1" applyAlignment="1">
      <alignment vertical="center"/>
    </xf>
    <xf numFmtId="0" fontId="131" fillId="2" borderId="0" xfId="0" applyFont="1" applyFill="1" applyAlignment="1">
      <alignment horizontal="left" vertical="center"/>
    </xf>
    <xf numFmtId="0" fontId="131" fillId="2" borderId="0" xfId="0" applyFont="1" applyFill="1" applyAlignment="1">
      <alignment horizontal="left" vertical="center" wrapText="1"/>
    </xf>
    <xf numFmtId="0" fontId="118" fillId="2" borderId="0" xfId="0" applyFont="1" applyFill="1" applyAlignment="1">
      <alignment horizontal="right" vertical="center" wrapText="1"/>
    </xf>
    <xf numFmtId="0" fontId="118" fillId="2" borderId="0" xfId="0" applyFont="1" applyFill="1" applyAlignment="1">
      <alignment horizontal="right" vertical="center"/>
    </xf>
    <xf numFmtId="0" fontId="62" fillId="2" borderId="0" xfId="0" applyFont="1" applyFill="1" applyAlignment="1">
      <alignment horizontal="right" vertical="center"/>
    </xf>
    <xf numFmtId="0" fontId="146" fillId="2" borderId="0" xfId="0" applyFont="1" applyFill="1" applyAlignment="1">
      <alignment horizontal="center" vertical="center"/>
    </xf>
    <xf numFmtId="0" fontId="173" fillId="2" borderId="0" xfId="0" applyFont="1" applyFill="1" applyAlignment="1">
      <alignment vertical="center" wrapText="1"/>
    </xf>
    <xf numFmtId="9" fontId="177" fillId="2" borderId="0" xfId="3" applyFont="1" applyFill="1" applyAlignment="1" applyProtection="1">
      <alignment horizontal="right" vertical="center"/>
    </xf>
    <xf numFmtId="1" fontId="177" fillId="2" borderId="0" xfId="0" applyNumberFormat="1" applyFont="1" applyFill="1" applyAlignment="1">
      <alignment horizontal="right" vertical="center"/>
    </xf>
    <xf numFmtId="164" fontId="173" fillId="5" borderId="0" xfId="3" applyNumberFormat="1" applyFont="1" applyFill="1" applyAlignment="1" applyProtection="1">
      <alignment horizontal="center" vertical="center" wrapText="1"/>
    </xf>
    <xf numFmtId="164" fontId="173" fillId="5" borderId="0" xfId="3" applyNumberFormat="1" applyFont="1" applyFill="1" applyAlignment="1" applyProtection="1">
      <alignment horizontal="right" vertical="center"/>
    </xf>
    <xf numFmtId="0" fontId="143" fillId="10" borderId="30" xfId="0" applyFont="1" applyFill="1" applyBorder="1" applyAlignment="1">
      <alignment horizontal="left" vertical="center" wrapText="1"/>
    </xf>
    <xf numFmtId="0" fontId="85" fillId="10" borderId="30" xfId="0" applyFont="1" applyFill="1" applyBorder="1" applyAlignment="1">
      <alignment horizontal="right" vertical="center" wrapText="1"/>
    </xf>
    <xf numFmtId="164" fontId="113" fillId="2" borderId="0" xfId="3" applyNumberFormat="1" applyFont="1" applyFill="1" applyAlignment="1" applyProtection="1">
      <alignment vertical="center"/>
    </xf>
    <xf numFmtId="9" fontId="173" fillId="5" borderId="0" xfId="3" applyFont="1" applyFill="1" applyAlignment="1" applyProtection="1">
      <alignment vertical="center" wrapText="1"/>
    </xf>
    <xf numFmtId="3" fontId="173" fillId="5" borderId="0" xfId="0" applyNumberFormat="1" applyFont="1" applyFill="1" applyAlignment="1">
      <alignment vertical="center" wrapText="1"/>
    </xf>
    <xf numFmtId="9" fontId="173" fillId="5" borderId="0" xfId="3" applyFont="1" applyFill="1" applyAlignment="1" applyProtection="1">
      <alignment horizontal="center" vertical="center" wrapText="1"/>
    </xf>
    <xf numFmtId="0" fontId="173" fillId="5" borderId="0" xfId="0" applyFont="1" applyFill="1" applyAlignment="1">
      <alignment vertical="center"/>
    </xf>
    <xf numFmtId="0" fontId="173" fillId="5" borderId="0" xfId="0" applyFont="1" applyFill="1" applyAlignment="1">
      <alignment horizontal="left" vertical="center"/>
    </xf>
    <xf numFmtId="0" fontId="173" fillId="5" borderId="0" xfId="0" applyFont="1" applyFill="1" applyAlignment="1">
      <alignment horizontal="right" vertical="center"/>
    </xf>
    <xf numFmtId="0" fontId="118" fillId="5" borderId="0" xfId="0" applyFont="1" applyFill="1" applyAlignment="1">
      <alignment horizontal="right" vertical="center"/>
    </xf>
    <xf numFmtId="0" fontId="114" fillId="8" borderId="30" xfId="0" applyFont="1" applyFill="1" applyBorder="1" applyAlignment="1">
      <alignment horizontal="right" vertical="center" wrapText="1"/>
    </xf>
    <xf numFmtId="0" fontId="181" fillId="5" borderId="0" xfId="0" applyFont="1" applyFill="1" applyAlignment="1">
      <alignment horizontal="right" vertical="center"/>
    </xf>
    <xf numFmtId="164" fontId="181" fillId="5" borderId="0" xfId="3" applyNumberFormat="1" applyFont="1" applyFill="1" applyAlignment="1" applyProtection="1">
      <alignment horizontal="right" vertical="center"/>
    </xf>
    <xf numFmtId="164" fontId="118" fillId="5" borderId="0" xfId="3" applyNumberFormat="1" applyFont="1" applyFill="1" applyAlignment="1" applyProtection="1">
      <alignment horizontal="right" vertical="center"/>
    </xf>
    <xf numFmtId="0" fontId="62" fillId="37" borderId="0" xfId="0" applyFont="1" applyFill="1" applyAlignment="1">
      <alignment horizontal="left" vertical="center"/>
    </xf>
    <xf numFmtId="0" fontId="173" fillId="5" borderId="0" xfId="0" applyFont="1" applyFill="1" applyAlignment="1">
      <alignment horizontal="left" vertical="center" wrapText="1"/>
    </xf>
    <xf numFmtId="0" fontId="173" fillId="5" borderId="0" xfId="0" applyFont="1" applyFill="1" applyAlignment="1">
      <alignment horizontal="right" vertical="center" wrapText="1"/>
    </xf>
    <xf numFmtId="10" fontId="114" fillId="2" borderId="0" xfId="0" applyNumberFormat="1" applyFont="1" applyFill="1" applyAlignment="1">
      <alignment horizontal="right" vertical="center"/>
    </xf>
    <xf numFmtId="169" fontId="86" fillId="8" borderId="30" xfId="0" applyNumberFormat="1" applyFont="1" applyFill="1" applyBorder="1" applyAlignment="1">
      <alignment vertical="center" wrapText="1"/>
    </xf>
    <xf numFmtId="0" fontId="86" fillId="8" borderId="30" xfId="0" applyFont="1" applyFill="1" applyBorder="1" applyAlignment="1">
      <alignment horizontal="left" vertical="center"/>
    </xf>
    <xf numFmtId="0" fontId="113" fillId="2" borderId="30" xfId="0" applyFont="1" applyFill="1" applyBorder="1" applyAlignment="1">
      <alignment horizontal="right" vertical="center"/>
    </xf>
    <xf numFmtId="0" fontId="113" fillId="0" borderId="0" xfId="0" applyFont="1"/>
    <xf numFmtId="0" fontId="114" fillId="2" borderId="0" xfId="0" applyFont="1" applyFill="1" applyAlignment="1">
      <alignment vertical="center" wrapText="1"/>
    </xf>
    <xf numFmtId="0" fontId="176" fillId="2" borderId="0" xfId="0" applyFont="1" applyFill="1" applyAlignment="1">
      <alignment vertical="center"/>
    </xf>
    <xf numFmtId="0" fontId="177" fillId="2" borderId="0" xfId="0" applyFont="1" applyFill="1" applyAlignment="1">
      <alignment vertical="center"/>
    </xf>
    <xf numFmtId="0" fontId="66" fillId="2" borderId="0" xfId="0" applyFont="1" applyFill="1" applyAlignment="1">
      <alignment vertical="center"/>
    </xf>
    <xf numFmtId="0" fontId="113" fillId="2" borderId="1" xfId="0" applyFont="1" applyFill="1" applyBorder="1" applyAlignment="1">
      <alignment vertical="center"/>
    </xf>
    <xf numFmtId="0" fontId="114" fillId="2" borderId="1" xfId="0" applyFont="1" applyFill="1" applyBorder="1" applyAlignment="1">
      <alignment horizontal="left" vertical="center" wrapText="1"/>
    </xf>
    <xf numFmtId="175" fontId="119" fillId="2" borderId="1" xfId="3" applyNumberFormat="1" applyFont="1" applyFill="1" applyBorder="1" applyAlignment="1" applyProtection="1">
      <alignment horizontal="right" vertical="center"/>
    </xf>
    <xf numFmtId="0" fontId="119" fillId="2" borderId="1" xfId="0" applyFont="1" applyFill="1" applyBorder="1" applyAlignment="1">
      <alignment horizontal="right" vertical="center"/>
    </xf>
    <xf numFmtId="0" fontId="119" fillId="2" borderId="1" xfId="2" applyNumberFormat="1" applyFont="1" applyFill="1" applyBorder="1" applyAlignment="1" applyProtection="1">
      <alignment horizontal="right" vertical="center"/>
    </xf>
    <xf numFmtId="0" fontId="86" fillId="8" borderId="30" xfId="0" applyFont="1" applyFill="1" applyBorder="1" applyAlignment="1">
      <alignment vertical="center"/>
    </xf>
    <xf numFmtId="0" fontId="116" fillId="4" borderId="30" xfId="0" applyFont="1" applyFill="1" applyBorder="1" applyAlignment="1">
      <alignment vertical="center"/>
    </xf>
    <xf numFmtId="1" fontId="24" fillId="2" borderId="0" xfId="0" applyNumberFormat="1" applyFont="1" applyFill="1" applyAlignment="1">
      <alignment vertical="center"/>
    </xf>
    <xf numFmtId="0" fontId="119" fillId="4" borderId="30" xfId="0" applyFont="1" applyFill="1" applyBorder="1" applyAlignment="1">
      <alignment vertical="center"/>
    </xf>
    <xf numFmtId="164" fontId="113" fillId="2" borderId="0" xfId="3" applyNumberFormat="1" applyFont="1" applyFill="1" applyBorder="1" applyAlignment="1" applyProtection="1">
      <alignment vertical="center"/>
    </xf>
    <xf numFmtId="0" fontId="113" fillId="2" borderId="0" xfId="0" applyFont="1" applyFill="1" applyAlignment="1">
      <alignment vertical="center" wrapText="1"/>
    </xf>
    <xf numFmtId="0" fontId="150" fillId="4" borderId="7" xfId="0" applyFont="1" applyFill="1" applyBorder="1" applyAlignment="1">
      <alignment vertical="center"/>
    </xf>
    <xf numFmtId="0" fontId="143" fillId="8" borderId="30" xfId="0" applyFont="1" applyFill="1" applyBorder="1" applyAlignment="1">
      <alignment vertical="center"/>
    </xf>
    <xf numFmtId="0" fontId="114" fillId="2" borderId="0" xfId="0" applyFont="1" applyFill="1" applyAlignment="1">
      <alignment horizontal="left" vertical="center"/>
    </xf>
    <xf numFmtId="9" fontId="119" fillId="2" borderId="0" xfId="3" applyFont="1" applyFill="1" applyAlignment="1" applyProtection="1">
      <alignment horizontal="right" vertical="center"/>
    </xf>
    <xf numFmtId="9" fontId="114" fillId="2" borderId="0" xfId="3" applyFont="1" applyFill="1" applyAlignment="1" applyProtection="1">
      <alignment horizontal="right" vertical="center"/>
    </xf>
    <xf numFmtId="0" fontId="114" fillId="2" borderId="0" xfId="0" applyFont="1" applyFill="1" applyAlignment="1">
      <alignment horizontal="right" vertical="center"/>
    </xf>
    <xf numFmtId="165" fontId="143" fillId="4" borderId="30" xfId="0" applyNumberFormat="1" applyFont="1" applyFill="1" applyBorder="1" applyAlignment="1">
      <alignment horizontal="right" vertical="center"/>
    </xf>
    <xf numFmtId="0" fontId="119" fillId="0" borderId="72" xfId="0" applyFont="1" applyBorder="1" applyAlignment="1">
      <alignment horizontal="left" vertical="center"/>
    </xf>
    <xf numFmtId="43" fontId="177" fillId="2" borderId="0" xfId="2" applyFont="1" applyFill="1" applyAlignment="1" applyProtection="1">
      <alignment horizontal="right" vertical="center"/>
    </xf>
    <xf numFmtId="3" fontId="173" fillId="5" borderId="0" xfId="0" applyNumberFormat="1" applyFont="1" applyFill="1" applyAlignment="1">
      <alignment horizontal="right" vertical="center"/>
    </xf>
    <xf numFmtId="3" fontId="119" fillId="4" borderId="30" xfId="0" applyNumberFormat="1" applyFont="1" applyFill="1" applyBorder="1" applyAlignment="1">
      <alignment horizontal="right" vertical="center" wrapText="1"/>
    </xf>
    <xf numFmtId="0" fontId="86" fillId="10" borderId="30" xfId="0" applyFont="1" applyFill="1" applyBorder="1" applyAlignment="1">
      <alignment horizontal="right" vertical="center" wrapText="1"/>
    </xf>
    <xf numFmtId="0" fontId="85" fillId="4" borderId="30" xfId="0" applyFont="1" applyFill="1" applyBorder="1" applyAlignment="1">
      <alignment horizontal="right" vertical="center"/>
    </xf>
    <xf numFmtId="3" fontId="86" fillId="0" borderId="0" xfId="0" applyNumberFormat="1" applyFont="1" applyAlignment="1">
      <alignment horizontal="right" vertical="center" wrapText="1"/>
    </xf>
    <xf numFmtId="9" fontId="173" fillId="5" borderId="0" xfId="3" applyFont="1" applyFill="1" applyAlignment="1">
      <alignment horizontal="right" vertical="center"/>
    </xf>
    <xf numFmtId="3" fontId="176" fillId="2" borderId="0" xfId="0" applyNumberFormat="1" applyFont="1" applyFill="1" applyAlignment="1">
      <alignment vertical="center"/>
    </xf>
    <xf numFmtId="3" fontId="119" fillId="0" borderId="30" xfId="0" applyNumberFormat="1" applyFont="1" applyBorder="1" applyAlignment="1">
      <alignment horizontal="right" vertical="center"/>
    </xf>
    <xf numFmtId="170" fontId="119" fillId="0" borderId="30" xfId="0" applyNumberFormat="1" applyFont="1" applyBorder="1" applyAlignment="1">
      <alignment horizontal="right" vertical="center"/>
    </xf>
    <xf numFmtId="166" fontId="86" fillId="2" borderId="0" xfId="3" applyNumberFormat="1" applyFont="1" applyFill="1" applyBorder="1" applyAlignment="1" applyProtection="1">
      <alignment horizontal="right" vertical="center"/>
    </xf>
    <xf numFmtId="166" fontId="182" fillId="2" borderId="0" xfId="3" applyNumberFormat="1" applyFont="1" applyFill="1" applyBorder="1" applyAlignment="1" applyProtection="1">
      <alignment horizontal="right" vertical="center"/>
    </xf>
    <xf numFmtId="9" fontId="37" fillId="42" borderId="72" xfId="3" applyFont="1" applyFill="1" applyBorder="1" applyAlignment="1" applyProtection="1">
      <alignment vertical="center"/>
    </xf>
    <xf numFmtId="9" fontId="114" fillId="0" borderId="71" xfId="3" applyFont="1" applyFill="1" applyBorder="1" applyAlignment="1" applyProtection="1">
      <alignment horizontal="right" vertical="center"/>
    </xf>
    <xf numFmtId="166" fontId="177" fillId="2" borderId="0" xfId="0" applyNumberFormat="1" applyFont="1" applyFill="1" applyAlignment="1">
      <alignment horizontal="right" vertical="center"/>
    </xf>
    <xf numFmtId="166" fontId="113" fillId="2" borderId="0" xfId="0" applyNumberFormat="1" applyFont="1" applyFill="1" applyAlignment="1">
      <alignment vertical="center" wrapText="1"/>
    </xf>
    <xf numFmtId="166" fontId="85" fillId="4" borderId="7" xfId="2" applyNumberFormat="1" applyFont="1" applyFill="1" applyBorder="1" applyAlignment="1" applyProtection="1">
      <alignment horizontal="right" vertical="center"/>
    </xf>
    <xf numFmtId="166" fontId="86" fillId="4" borderId="7" xfId="2" applyNumberFormat="1" applyFont="1" applyFill="1" applyBorder="1" applyAlignment="1" applyProtection="1">
      <alignment horizontal="right" vertical="center"/>
    </xf>
    <xf numFmtId="164" fontId="85" fillId="4" borderId="7" xfId="2" applyNumberFormat="1" applyFont="1" applyFill="1" applyBorder="1" applyAlignment="1" applyProtection="1">
      <alignment horizontal="right" vertical="center"/>
    </xf>
    <xf numFmtId="1" fontId="85" fillId="4" borderId="7" xfId="2" applyNumberFormat="1" applyFont="1" applyFill="1" applyBorder="1" applyAlignment="1" applyProtection="1">
      <alignment horizontal="right" vertical="center"/>
    </xf>
    <xf numFmtId="43" fontId="113" fillId="2" borderId="0" xfId="0" applyNumberFormat="1" applyFont="1" applyFill="1" applyAlignment="1">
      <alignment vertical="center" wrapText="1"/>
    </xf>
    <xf numFmtId="166" fontId="86" fillId="3" borderId="30" xfId="2" applyNumberFormat="1" applyFont="1" applyFill="1" applyBorder="1" applyAlignment="1" applyProtection="1">
      <alignment horizontal="right"/>
    </xf>
    <xf numFmtId="0" fontId="16" fillId="26" borderId="34" xfId="0" applyFont="1" applyFill="1" applyBorder="1" applyAlignment="1">
      <alignment horizontal="center" vertical="center"/>
    </xf>
    <xf numFmtId="9" fontId="37" fillId="42" borderId="71" xfId="3" applyFont="1" applyFill="1" applyBorder="1" applyAlignment="1">
      <alignment vertical="center"/>
    </xf>
    <xf numFmtId="0" fontId="16" fillId="35" borderId="8" xfId="0" applyFont="1" applyFill="1" applyBorder="1" applyAlignment="1">
      <alignment horizontal="left" vertical="center"/>
    </xf>
    <xf numFmtId="0" fontId="16" fillId="35" borderId="8" xfId="0" applyFont="1" applyFill="1" applyBorder="1" applyAlignment="1">
      <alignment vertical="center"/>
    </xf>
    <xf numFmtId="0" fontId="16" fillId="35" borderId="8" xfId="0" applyFont="1" applyFill="1" applyBorder="1" applyAlignment="1">
      <alignment horizontal="right" vertical="center"/>
    </xf>
    <xf numFmtId="0" fontId="165" fillId="0" borderId="0" xfId="0" applyFont="1" applyAlignment="1">
      <alignment horizontal="left" vertical="center" wrapText="1"/>
    </xf>
    <xf numFmtId="166" fontId="177" fillId="2" borderId="0" xfId="2" applyNumberFormat="1" applyFont="1" applyFill="1" applyAlignment="1" applyProtection="1">
      <alignment horizontal="right" vertical="center"/>
    </xf>
    <xf numFmtId="9" fontId="165" fillId="0" borderId="30" xfId="0" applyNumberFormat="1" applyFont="1" applyBorder="1" applyAlignment="1">
      <alignment horizontal="center" vertical="center" wrapText="1"/>
    </xf>
    <xf numFmtId="9" fontId="113" fillId="2" borderId="0" xfId="3" applyFont="1" applyFill="1" applyAlignment="1" applyProtection="1">
      <alignment vertical="center"/>
    </xf>
    <xf numFmtId="0" fontId="114" fillId="0" borderId="71" xfId="0" applyFont="1" applyBorder="1" applyAlignment="1">
      <alignment horizontal="left" vertical="center"/>
    </xf>
    <xf numFmtId="3" fontId="114" fillId="0" borderId="71" xfId="0" applyNumberFormat="1" applyFont="1" applyBorder="1" applyAlignment="1">
      <alignment horizontal="right" vertical="center" wrapText="1"/>
    </xf>
    <xf numFmtId="0" fontId="86" fillId="8" borderId="71" xfId="0" applyFont="1" applyFill="1" applyBorder="1" applyAlignment="1">
      <alignment vertical="center"/>
    </xf>
    <xf numFmtId="0" fontId="86" fillId="8" borderId="71" xfId="0" applyFont="1" applyFill="1" applyBorder="1" applyAlignment="1">
      <alignment horizontal="left" vertical="center"/>
    </xf>
    <xf numFmtId="0" fontId="143" fillId="10" borderId="71" xfId="0" applyFont="1" applyFill="1" applyBorder="1" applyAlignment="1">
      <alignment horizontal="right" vertical="center" wrapText="1"/>
    </xf>
    <xf numFmtId="0" fontId="114" fillId="8" borderId="71" xfId="0" applyFont="1" applyFill="1" applyBorder="1" applyAlignment="1">
      <alignment horizontal="right" vertical="center" wrapText="1"/>
    </xf>
    <xf numFmtId="1" fontId="86" fillId="4" borderId="71" xfId="0" applyNumberFormat="1" applyFont="1" applyFill="1" applyBorder="1" applyAlignment="1">
      <alignment horizontal="right" vertical="center"/>
    </xf>
    <xf numFmtId="170" fontId="114" fillId="0" borderId="71" xfId="0" applyNumberFormat="1" applyFont="1" applyBorder="1" applyAlignment="1">
      <alignment horizontal="right" vertical="center"/>
    </xf>
    <xf numFmtId="166" fontId="86" fillId="4" borderId="71" xfId="2" applyNumberFormat="1" applyFont="1" applyFill="1" applyBorder="1" applyAlignment="1">
      <alignment horizontal="right" vertical="center"/>
    </xf>
    <xf numFmtId="167" fontId="85" fillId="4" borderId="71" xfId="2" applyNumberFormat="1" applyFont="1" applyFill="1" applyBorder="1" applyAlignment="1" applyProtection="1">
      <alignment horizontal="right" vertical="center" wrapText="1"/>
    </xf>
    <xf numFmtId="0" fontId="114" fillId="0" borderId="31" xfId="0" applyFont="1" applyBorder="1" applyAlignment="1">
      <alignment horizontal="left" vertical="center"/>
    </xf>
    <xf numFmtId="9" fontId="86" fillId="4" borderId="31" xfId="0" applyNumberFormat="1" applyFont="1" applyFill="1" applyBorder="1" applyAlignment="1">
      <alignment horizontal="right" vertical="center"/>
    </xf>
    <xf numFmtId="164" fontId="37" fillId="4" borderId="31" xfId="3" applyNumberFormat="1" applyFont="1" applyFill="1" applyBorder="1" applyAlignment="1" applyProtection="1">
      <alignment horizontal="right" vertical="center"/>
    </xf>
    <xf numFmtId="10" fontId="177" fillId="2" borderId="0" xfId="3" applyNumberFormat="1" applyFont="1" applyFill="1" applyAlignment="1" applyProtection="1">
      <alignment horizontal="right" vertical="center"/>
    </xf>
    <xf numFmtId="0" fontId="113" fillId="2" borderId="71" xfId="0" applyFont="1" applyFill="1" applyBorder="1"/>
    <xf numFmtId="0" fontId="113" fillId="2" borderId="71" xfId="0" applyFont="1" applyFill="1" applyBorder="1" applyAlignment="1">
      <alignment horizontal="left" indent="2"/>
    </xf>
    <xf numFmtId="0" fontId="107" fillId="4" borderId="30" xfId="0" applyFont="1" applyFill="1" applyBorder="1" applyAlignment="1">
      <alignment horizontal="right" vertical="center" wrapText="1"/>
    </xf>
    <xf numFmtId="0" fontId="143" fillId="2" borderId="30" xfId="0" applyFont="1" applyFill="1" applyBorder="1" applyAlignment="1">
      <alignment horizontal="right" vertical="center"/>
    </xf>
    <xf numFmtId="9" fontId="86" fillId="4" borderId="30" xfId="3" applyFont="1" applyFill="1" applyBorder="1" applyAlignment="1">
      <alignment horizontal="right"/>
    </xf>
    <xf numFmtId="164" fontId="150" fillId="4" borderId="30" xfId="3" applyNumberFormat="1" applyFont="1" applyFill="1" applyBorder="1" applyAlignment="1">
      <alignment horizontal="right"/>
    </xf>
    <xf numFmtId="9" fontId="114" fillId="20" borderId="34" xfId="3" applyFont="1" applyFill="1" applyBorder="1" applyAlignment="1" applyProtection="1">
      <alignment horizontal="center" wrapText="1"/>
    </xf>
    <xf numFmtId="9" fontId="8" fillId="2" borderId="64" xfId="3" applyFont="1" applyFill="1" applyBorder="1"/>
    <xf numFmtId="171" fontId="150" fillId="4" borderId="34" xfId="0" applyNumberFormat="1" applyFont="1" applyFill="1" applyBorder="1" applyAlignment="1">
      <alignment horizontal="right" vertical="center"/>
    </xf>
    <xf numFmtId="0" fontId="114" fillId="10" borderId="31" xfId="0" applyFont="1" applyFill="1" applyBorder="1" applyAlignment="1">
      <alignment horizontal="right" vertical="center"/>
    </xf>
    <xf numFmtId="0" fontId="114" fillId="10" borderId="37" xfId="0" applyFont="1" applyFill="1" applyBorder="1" applyAlignment="1">
      <alignment horizontal="right" vertical="center"/>
    </xf>
    <xf numFmtId="3" fontId="114" fillId="2" borderId="64" xfId="0" applyNumberFormat="1" applyFont="1" applyFill="1" applyBorder="1" applyAlignment="1">
      <alignment vertical="center"/>
    </xf>
    <xf numFmtId="165" fontId="114" fillId="2" borderId="64" xfId="0" applyNumberFormat="1" applyFont="1" applyFill="1" applyBorder="1" applyAlignment="1">
      <alignment horizontal="right" vertical="center"/>
    </xf>
    <xf numFmtId="3" fontId="107" fillId="4" borderId="30" xfId="0" applyNumberFormat="1" applyFont="1" applyFill="1" applyBorder="1" applyAlignment="1">
      <alignment horizontal="right" vertical="center"/>
    </xf>
    <xf numFmtId="179" fontId="86" fillId="4" borderId="30" xfId="0" applyNumberFormat="1" applyFont="1" applyFill="1" applyBorder="1" applyAlignment="1">
      <alignment horizontal="right" vertical="center" wrapText="1"/>
    </xf>
    <xf numFmtId="0" fontId="65" fillId="2" borderId="0" xfId="0" applyFont="1" applyFill="1" applyAlignment="1">
      <alignment horizontal="right"/>
    </xf>
    <xf numFmtId="0" fontId="65" fillId="2" borderId="0" xfId="0" applyFont="1" applyFill="1" applyAlignment="1">
      <alignment horizontal="center"/>
    </xf>
    <xf numFmtId="0" fontId="65" fillId="2" borderId="0" xfId="0" applyFont="1" applyFill="1" applyAlignment="1">
      <alignment horizontal="right" wrapText="1"/>
    </xf>
    <xf numFmtId="166" fontId="13" fillId="2" borderId="0" xfId="2" applyNumberFormat="1" applyFont="1" applyFill="1" applyBorder="1" applyAlignment="1">
      <alignment horizontal="right"/>
    </xf>
    <xf numFmtId="9" fontId="13" fillId="2" borderId="0" xfId="3" applyFont="1" applyFill="1" applyBorder="1" applyAlignment="1">
      <alignment horizontal="right"/>
    </xf>
    <xf numFmtId="0" fontId="24" fillId="7" borderId="0" xfId="0" applyFont="1" applyFill="1" applyAlignment="1">
      <alignment horizontal="left" vertical="center" wrapText="1"/>
    </xf>
    <xf numFmtId="0" fontId="171" fillId="7" borderId="0" xfId="0" applyFont="1" applyFill="1" applyAlignment="1">
      <alignment vertical="center"/>
    </xf>
    <xf numFmtId="0" fontId="16" fillId="35" borderId="64" xfId="0" applyFont="1" applyFill="1" applyBorder="1" applyAlignment="1">
      <alignment horizontal="center" vertical="center" wrapText="1"/>
    </xf>
    <xf numFmtId="0" fontId="186" fillId="0" borderId="30" xfId="0" applyFont="1" applyBorder="1" applyAlignment="1">
      <alignment horizontal="right" vertical="center" wrapText="1"/>
    </xf>
    <xf numFmtId="0" fontId="190" fillId="0" borderId="30" xfId="1" applyFont="1" applyFill="1" applyBorder="1" applyAlignment="1" applyProtection="1">
      <alignment horizontal="right" vertical="center" wrapText="1"/>
    </xf>
    <xf numFmtId="4" fontId="173" fillId="5" borderId="0" xfId="0" applyNumberFormat="1" applyFont="1" applyFill="1" applyAlignment="1">
      <alignment horizontal="right" vertical="center"/>
    </xf>
    <xf numFmtId="3" fontId="114" fillId="7" borderId="30" xfId="0" applyNumberFormat="1" applyFont="1" applyFill="1" applyBorder="1" applyAlignment="1">
      <alignment horizontal="right" vertical="center"/>
    </xf>
    <xf numFmtId="3" fontId="119" fillId="7" borderId="30" xfId="0" applyNumberFormat="1" applyFont="1" applyFill="1" applyBorder="1" applyAlignment="1">
      <alignment horizontal="right" vertical="center"/>
    </xf>
    <xf numFmtId="171" fontId="119" fillId="7" borderId="30" xfId="0" applyNumberFormat="1" applyFont="1" applyFill="1" applyBorder="1" applyAlignment="1">
      <alignment horizontal="right" vertical="center"/>
    </xf>
    <xf numFmtId="9" fontId="114" fillId="42" borderId="71" xfId="3" applyFont="1" applyFill="1" applyBorder="1" applyAlignment="1" applyProtection="1">
      <alignment vertical="center"/>
    </xf>
    <xf numFmtId="3" fontId="119" fillId="2" borderId="30" xfId="0" applyNumberFormat="1" applyFont="1" applyFill="1" applyBorder="1" applyAlignment="1">
      <alignment horizontal="right" vertical="center"/>
    </xf>
    <xf numFmtId="3" fontId="113" fillId="2" borderId="30" xfId="0" applyNumberFormat="1" applyFont="1" applyFill="1" applyBorder="1" applyAlignment="1">
      <alignment horizontal="right" vertical="center" wrapText="1"/>
    </xf>
    <xf numFmtId="166" fontId="114" fillId="2" borderId="7" xfId="2" applyNumberFormat="1" applyFont="1" applyFill="1" applyBorder="1" applyAlignment="1" applyProtection="1">
      <alignment horizontal="right" vertical="center"/>
    </xf>
    <xf numFmtId="166" fontId="119" fillId="2" borderId="7" xfId="2" applyNumberFormat="1" applyFont="1" applyFill="1" applyBorder="1" applyAlignment="1" applyProtection="1">
      <alignment horizontal="right" vertical="center"/>
    </xf>
    <xf numFmtId="0" fontId="113" fillId="2" borderId="30" xfId="0" applyFont="1" applyFill="1" applyBorder="1" applyAlignment="1">
      <alignment horizontal="left" vertical="center" wrapText="1" indent="2"/>
    </xf>
    <xf numFmtId="0" fontId="119" fillId="2" borderId="30" xfId="0" applyFont="1" applyFill="1" applyBorder="1" applyAlignment="1">
      <alignment horizontal="left" vertical="center"/>
    </xf>
    <xf numFmtId="166" fontId="117" fillId="2" borderId="7" xfId="2" applyNumberFormat="1" applyFont="1" applyFill="1" applyBorder="1" applyAlignment="1" applyProtection="1">
      <alignment horizontal="right" vertical="center"/>
    </xf>
    <xf numFmtId="164" fontId="114" fillId="2" borderId="7" xfId="2" applyNumberFormat="1" applyFont="1" applyFill="1" applyBorder="1" applyAlignment="1" applyProtection="1">
      <alignment horizontal="right" vertical="center"/>
    </xf>
    <xf numFmtId="0" fontId="114" fillId="2" borderId="71" xfId="0" applyFont="1" applyFill="1" applyBorder="1" applyAlignment="1">
      <alignment vertical="center" wrapText="1"/>
    </xf>
    <xf numFmtId="0" fontId="114" fillId="2" borderId="73" xfId="0" applyFont="1" applyFill="1" applyBorder="1" applyAlignment="1">
      <alignment vertical="center" wrapText="1"/>
    </xf>
    <xf numFmtId="0" fontId="117" fillId="5" borderId="34" xfId="0" applyFont="1" applyFill="1" applyBorder="1" applyAlignment="1">
      <alignment horizontal="left" vertical="center"/>
    </xf>
    <xf numFmtId="0" fontId="114" fillId="0" borderId="34" xfId="0" applyFont="1" applyBorder="1" applyAlignment="1">
      <alignment horizontal="left" vertical="center"/>
    </xf>
    <xf numFmtId="0" fontId="114" fillId="0" borderId="37" xfId="0" applyFont="1" applyBorder="1" applyAlignment="1">
      <alignment horizontal="left" vertical="center"/>
    </xf>
    <xf numFmtId="0" fontId="114" fillId="0" borderId="74" xfId="0" applyFont="1" applyBorder="1" applyAlignment="1">
      <alignment horizontal="left" vertical="center"/>
    </xf>
    <xf numFmtId="166" fontId="114" fillId="7" borderId="35" xfId="2" applyNumberFormat="1" applyFont="1" applyFill="1" applyBorder="1" applyAlignment="1" applyProtection="1">
      <alignment horizontal="right" vertical="center"/>
    </xf>
    <xf numFmtId="171" fontId="114" fillId="0" borderId="35" xfId="0" applyNumberFormat="1" applyFont="1" applyBorder="1" applyAlignment="1">
      <alignment horizontal="right" vertical="center"/>
    </xf>
    <xf numFmtId="9" fontId="114" fillId="0" borderId="35" xfId="0" applyNumberFormat="1" applyFont="1" applyBorder="1" applyAlignment="1">
      <alignment horizontal="right" vertical="center"/>
    </xf>
    <xf numFmtId="9" fontId="86" fillId="4" borderId="39" xfId="0" applyNumberFormat="1" applyFont="1" applyFill="1" applyBorder="1" applyAlignment="1">
      <alignment horizontal="right" vertical="center"/>
    </xf>
    <xf numFmtId="9" fontId="37" fillId="42" borderId="72" xfId="3" applyFont="1" applyFill="1" applyBorder="1" applyAlignment="1">
      <alignment vertical="center"/>
    </xf>
    <xf numFmtId="166" fontId="86" fillId="23" borderId="71" xfId="2" applyNumberFormat="1" applyFont="1" applyFill="1" applyBorder="1" applyAlignment="1" applyProtection="1">
      <alignment horizontal="right" vertical="center"/>
    </xf>
    <xf numFmtId="9" fontId="86" fillId="4" borderId="71" xfId="0" applyNumberFormat="1" applyFont="1" applyFill="1" applyBorder="1" applyAlignment="1">
      <alignment horizontal="right" vertical="center"/>
    </xf>
    <xf numFmtId="0" fontId="114" fillId="0" borderId="71" xfId="0" quotePrefix="1" applyFont="1" applyBorder="1" applyAlignment="1">
      <alignment vertical="center"/>
    </xf>
    <xf numFmtId="0" fontId="114" fillId="0" borderId="71" xfId="0" applyFont="1" applyBorder="1" applyAlignment="1">
      <alignment horizontal="left" vertical="center" wrapText="1"/>
    </xf>
    <xf numFmtId="0" fontId="16" fillId="35" borderId="30" xfId="0" applyFont="1" applyFill="1" applyBorder="1" applyAlignment="1">
      <alignment vertical="center"/>
    </xf>
    <xf numFmtId="0" fontId="16" fillId="35" borderId="30" xfId="0" applyFont="1" applyFill="1" applyBorder="1" applyAlignment="1">
      <alignment horizontal="right" vertical="center"/>
    </xf>
    <xf numFmtId="168" fontId="86" fillId="23" borderId="71" xfId="2" applyNumberFormat="1" applyFont="1" applyFill="1" applyBorder="1" applyAlignment="1" applyProtection="1">
      <alignment horizontal="right" vertical="center"/>
    </xf>
    <xf numFmtId="9" fontId="176" fillId="2" borderId="0" xfId="3" applyFont="1" applyFill="1" applyAlignment="1">
      <alignment vertical="center"/>
    </xf>
    <xf numFmtId="0" fontId="146" fillId="2" borderId="0" xfId="0" applyFont="1" applyFill="1" applyAlignment="1">
      <alignment horizontal="center"/>
    </xf>
    <xf numFmtId="2" fontId="11" fillId="2" borderId="0" xfId="0" applyNumberFormat="1" applyFont="1" applyFill="1" applyAlignment="1">
      <alignment vertical="center"/>
    </xf>
    <xf numFmtId="0" fontId="13" fillId="2" borderId="30" xfId="0" applyFont="1" applyFill="1" applyBorder="1" applyAlignment="1">
      <alignment horizontal="left" vertical="center"/>
    </xf>
    <xf numFmtId="0" fontId="59" fillId="5" borderId="0" xfId="0" applyFont="1" applyFill="1" applyAlignment="1">
      <alignment horizontal="left" vertical="center" wrapText="1"/>
    </xf>
    <xf numFmtId="3" fontId="191" fillId="4" borderId="30" xfId="0" applyNumberFormat="1" applyFont="1" applyFill="1" applyBorder="1" applyAlignment="1">
      <alignment horizontal="right"/>
    </xf>
    <xf numFmtId="171" fontId="191" fillId="4" borderId="30" xfId="0" applyNumberFormat="1" applyFont="1" applyFill="1" applyBorder="1" applyAlignment="1">
      <alignment horizontal="right"/>
    </xf>
    <xf numFmtId="164" fontId="191" fillId="4" borderId="30" xfId="3" applyNumberFormat="1" applyFont="1" applyFill="1" applyBorder="1" applyAlignment="1">
      <alignment horizontal="right"/>
    </xf>
    <xf numFmtId="9" fontId="191" fillId="4" borderId="30" xfId="0" applyNumberFormat="1" applyFont="1" applyFill="1" applyBorder="1" applyAlignment="1">
      <alignment horizontal="right"/>
    </xf>
    <xf numFmtId="3" fontId="192" fillId="4" borderId="30" xfId="0" applyNumberFormat="1" applyFont="1" applyFill="1" applyBorder="1" applyAlignment="1">
      <alignment horizontal="right"/>
    </xf>
    <xf numFmtId="1" fontId="192" fillId="4" borderId="30" xfId="0" applyNumberFormat="1" applyFont="1" applyFill="1" applyBorder="1" applyAlignment="1">
      <alignment horizontal="right"/>
    </xf>
    <xf numFmtId="9" fontId="192" fillId="4" borderId="30" xfId="3" applyFont="1" applyFill="1" applyBorder="1" applyAlignment="1">
      <alignment horizontal="right"/>
    </xf>
    <xf numFmtId="166" fontId="192" fillId="3" borderId="30" xfId="2" applyNumberFormat="1" applyFont="1" applyFill="1" applyBorder="1"/>
    <xf numFmtId="1" fontId="192" fillId="4" borderId="30" xfId="0" applyNumberFormat="1" applyFont="1" applyFill="1" applyBorder="1"/>
    <xf numFmtId="9" fontId="192" fillId="4" borderId="30" xfId="0" applyNumberFormat="1" applyFont="1" applyFill="1" applyBorder="1" applyAlignment="1">
      <alignment horizontal="right"/>
    </xf>
    <xf numFmtId="0" fontId="7" fillId="0" borderId="31" xfId="0" applyFont="1" applyBorder="1" applyAlignment="1">
      <alignment horizontal="left" vertical="center" wrapText="1"/>
    </xf>
    <xf numFmtId="0" fontId="8" fillId="0" borderId="31" xfId="0" applyFont="1" applyBorder="1" applyAlignment="1">
      <alignment horizontal="left" vertical="center" wrapText="1"/>
    </xf>
    <xf numFmtId="0" fontId="193" fillId="2" borderId="0" xfId="0" applyFont="1" applyFill="1" applyAlignment="1">
      <alignment vertical="center"/>
    </xf>
    <xf numFmtId="0" fontId="8" fillId="0" borderId="71" xfId="0" applyFont="1" applyBorder="1" applyAlignment="1">
      <alignment horizontal="left" vertical="center" wrapText="1"/>
    </xf>
    <xf numFmtId="0" fontId="8" fillId="0" borderId="71" xfId="0" applyFont="1" applyBorder="1" applyAlignment="1">
      <alignment vertical="center" wrapText="1"/>
    </xf>
    <xf numFmtId="0" fontId="59" fillId="2" borderId="0" xfId="0" applyFont="1" applyFill="1"/>
    <xf numFmtId="0" fontId="101" fillId="2" borderId="0" xfId="0" applyFont="1" applyFill="1" applyAlignment="1">
      <alignment horizontal="left"/>
    </xf>
    <xf numFmtId="0" fontId="62" fillId="2" borderId="0" xfId="0" applyFont="1" applyFill="1" applyAlignment="1">
      <alignment horizontal="right" vertical="center" wrapText="1"/>
    </xf>
    <xf numFmtId="0" fontId="193" fillId="2" borderId="0" xfId="0" applyFont="1" applyFill="1"/>
    <xf numFmtId="0" fontId="195" fillId="2" borderId="0" xfId="0" applyFont="1" applyFill="1"/>
    <xf numFmtId="0" fontId="147" fillId="0" borderId="0" xfId="1" applyFont="1"/>
    <xf numFmtId="0" fontId="147" fillId="2" borderId="0" xfId="1" applyFont="1" applyFill="1" applyProtection="1"/>
    <xf numFmtId="0" fontId="187" fillId="2" borderId="0" xfId="0" applyFont="1" applyFill="1" applyAlignment="1">
      <alignment horizontal="left" vertical="top" wrapText="1"/>
    </xf>
    <xf numFmtId="1" fontId="117" fillId="2" borderId="0" xfId="0" applyNumberFormat="1" applyFont="1" applyFill="1" applyAlignment="1">
      <alignment horizontal="center" wrapText="1"/>
    </xf>
    <xf numFmtId="1" fontId="117" fillId="2" borderId="0" xfId="3" applyNumberFormat="1" applyFont="1" applyFill="1" applyBorder="1" applyAlignment="1" applyProtection="1">
      <alignment horizontal="center" wrapText="1"/>
    </xf>
    <xf numFmtId="0" fontId="31" fillId="2" borderId="0" xfId="0" applyFont="1" applyFill="1" applyAlignment="1">
      <alignment horizontal="left" vertical="center"/>
    </xf>
    <xf numFmtId="0" fontId="16" fillId="35" borderId="31" xfId="0" applyFont="1" applyFill="1" applyBorder="1" applyAlignment="1">
      <alignment horizontal="left" vertical="center" wrapText="1"/>
    </xf>
    <xf numFmtId="0" fontId="16" fillId="35" borderId="31" xfId="0" applyFont="1" applyFill="1" applyBorder="1" applyAlignment="1">
      <alignment horizontal="center" vertical="center" wrapText="1"/>
    </xf>
    <xf numFmtId="0" fontId="159" fillId="0" borderId="71" xfId="0" applyFont="1" applyBorder="1" applyAlignment="1">
      <alignment horizontal="left" vertical="center" wrapText="1"/>
    </xf>
    <xf numFmtId="1" fontId="117" fillId="20" borderId="71" xfId="0" applyNumberFormat="1" applyFont="1" applyFill="1" applyBorder="1" applyAlignment="1">
      <alignment horizontal="center" wrapText="1"/>
    </xf>
    <xf numFmtId="1" fontId="117" fillId="2" borderId="71" xfId="0" applyNumberFormat="1" applyFont="1" applyFill="1" applyBorder="1" applyAlignment="1">
      <alignment horizontal="center" wrapText="1"/>
    </xf>
    <xf numFmtId="1" fontId="117" fillId="0" borderId="71" xfId="3" applyNumberFormat="1" applyFont="1" applyBorder="1" applyAlignment="1" applyProtection="1">
      <alignment horizontal="center" wrapText="1"/>
    </xf>
    <xf numFmtId="9" fontId="117" fillId="20" borderId="71" xfId="3" applyFont="1" applyFill="1" applyBorder="1" applyAlignment="1">
      <alignment horizontal="center" wrapText="1"/>
    </xf>
    <xf numFmtId="1" fontId="117" fillId="20" borderId="71" xfId="0" applyNumberFormat="1" applyFont="1" applyFill="1" applyBorder="1" applyAlignment="1">
      <alignment horizontal="center" vertical="center" wrapText="1"/>
    </xf>
    <xf numFmtId="1" fontId="117" fillId="2" borderId="71" xfId="0" applyNumberFormat="1" applyFont="1" applyFill="1" applyBorder="1" applyAlignment="1">
      <alignment horizontal="center" vertical="center" wrapText="1"/>
    </xf>
    <xf numFmtId="1" fontId="117" fillId="0" borderId="71" xfId="3" applyNumberFormat="1" applyFont="1" applyBorder="1" applyAlignment="1" applyProtection="1">
      <alignment horizontal="center" vertical="center" wrapText="1"/>
    </xf>
    <xf numFmtId="0" fontId="187" fillId="2" borderId="0" xfId="0" applyFont="1" applyFill="1" applyAlignment="1">
      <alignment vertical="top" wrapText="1"/>
    </xf>
    <xf numFmtId="0" fontId="16" fillId="35" borderId="31" xfId="0" applyFont="1" applyFill="1" applyBorder="1" applyAlignment="1">
      <alignment horizontal="left" vertical="center"/>
    </xf>
    <xf numFmtId="0" fontId="113" fillId="0" borderId="71" xfId="0" applyFont="1" applyBorder="1" applyAlignment="1">
      <alignment horizontal="left" wrapText="1"/>
    </xf>
    <xf numFmtId="0" fontId="113" fillId="0" borderId="71" xfId="0" applyFont="1" applyBorder="1" applyAlignment="1">
      <alignment horizontal="left" vertical="center" wrapText="1"/>
    </xf>
    <xf numFmtId="1" fontId="113" fillId="20" borderId="71" xfId="0" applyNumberFormat="1" applyFont="1" applyFill="1" applyBorder="1" applyAlignment="1">
      <alignment horizontal="center" vertical="center" wrapText="1"/>
    </xf>
    <xf numFmtId="1" fontId="113" fillId="2" borderId="71" xfId="0" applyNumberFormat="1" applyFont="1" applyFill="1" applyBorder="1" applyAlignment="1">
      <alignment horizontal="center" vertical="center" wrapText="1"/>
    </xf>
    <xf numFmtId="0" fontId="46" fillId="5" borderId="0" xfId="0" applyFont="1" applyFill="1" applyAlignment="1">
      <alignment vertical="top"/>
    </xf>
    <xf numFmtId="0" fontId="16" fillId="35" borderId="30" xfId="0" applyFont="1" applyFill="1" applyBorder="1" applyAlignment="1">
      <alignment horizontal="right" vertical="center" wrapText="1"/>
    </xf>
    <xf numFmtId="0" fontId="8" fillId="0" borderId="30" xfId="0" applyFont="1" applyBorder="1" applyAlignment="1">
      <alignment vertical="top" wrapText="1"/>
    </xf>
    <xf numFmtId="6" fontId="22" fillId="0" borderId="30" xfId="0" applyNumberFormat="1" applyFont="1" applyBorder="1" applyAlignment="1">
      <alignment horizontal="left" wrapText="1"/>
    </xf>
    <xf numFmtId="0" fontId="80" fillId="20" borderId="30" xfId="0" applyFont="1" applyFill="1" applyBorder="1"/>
    <xf numFmtId="0" fontId="7" fillId="0" borderId="30" xfId="0" applyFont="1" applyBorder="1"/>
    <xf numFmtId="0" fontId="22" fillId="0" borderId="30" xfId="0" applyFont="1" applyBorder="1" applyAlignment="1">
      <alignment wrapText="1"/>
    </xf>
    <xf numFmtId="3" fontId="8" fillId="0" borderId="30" xfId="0" applyNumberFormat="1" applyFont="1" applyBorder="1" applyAlignment="1">
      <alignment wrapText="1"/>
    </xf>
    <xf numFmtId="0" fontId="8" fillId="0" borderId="30" xfId="0" applyFont="1" applyBorder="1" applyAlignment="1">
      <alignment wrapText="1"/>
    </xf>
    <xf numFmtId="9" fontId="80" fillId="20" borderId="30" xfId="3" applyFont="1" applyFill="1" applyBorder="1" applyAlignment="1">
      <alignment horizontal="right"/>
    </xf>
    <xf numFmtId="1" fontId="80" fillId="20" borderId="30" xfId="0" applyNumberFormat="1" applyFont="1" applyFill="1" applyBorder="1" applyAlignment="1">
      <alignment wrapText="1"/>
    </xf>
    <xf numFmtId="1" fontId="7" fillId="0" borderId="30" xfId="0" applyNumberFormat="1" applyFont="1" applyBorder="1" applyAlignment="1">
      <alignment wrapText="1"/>
    </xf>
    <xf numFmtId="0" fontId="7" fillId="0" borderId="30" xfId="0" applyFont="1" applyBorder="1" applyAlignment="1">
      <alignment wrapText="1"/>
    </xf>
    <xf numFmtId="0" fontId="21" fillId="0" borderId="30" xfId="0" applyFont="1" applyBorder="1" applyAlignment="1">
      <alignment horizontal="left" wrapText="1"/>
    </xf>
    <xf numFmtId="6" fontId="29" fillId="0" borderId="30" xfId="0" applyNumberFormat="1" applyFont="1" applyBorder="1" applyAlignment="1">
      <alignment horizontal="left" wrapText="1"/>
    </xf>
    <xf numFmtId="3" fontId="52" fillId="20" borderId="30" xfId="0" applyNumberFormat="1" applyFont="1" applyFill="1" applyBorder="1" applyAlignment="1">
      <alignment wrapText="1"/>
    </xf>
    <xf numFmtId="3" fontId="10" fillId="0" borderId="30" xfId="0" applyNumberFormat="1" applyFont="1" applyBorder="1" applyAlignment="1">
      <alignment wrapText="1"/>
    </xf>
    <xf numFmtId="0" fontId="8" fillId="2" borderId="0" xfId="0" applyFont="1" applyFill="1" applyAlignment="1">
      <alignment horizontal="left"/>
    </xf>
    <xf numFmtId="166" fontId="199" fillId="2" borderId="0" xfId="2" applyNumberFormat="1" applyFont="1" applyFill="1" applyBorder="1" applyAlignment="1">
      <alignment horizontal="left"/>
    </xf>
    <xf numFmtId="166" fontId="8" fillId="2" borderId="0" xfId="2" applyNumberFormat="1" applyFont="1" applyFill="1" applyBorder="1" applyAlignment="1">
      <alignment horizontal="left"/>
    </xf>
    <xf numFmtId="166" fontId="8" fillId="2" borderId="0" xfId="2" applyNumberFormat="1" applyFont="1" applyFill="1" applyBorder="1" applyAlignment="1"/>
    <xf numFmtId="166" fontId="7" fillId="0" borderId="0" xfId="2" applyNumberFormat="1" applyFont="1" applyFill="1" applyBorder="1" applyAlignment="1"/>
    <xf numFmtId="0" fontId="21" fillId="0" borderId="30" xfId="0" applyFont="1" applyBorder="1" applyAlignment="1">
      <alignment horizontal="left" vertical="top" wrapText="1"/>
    </xf>
    <xf numFmtId="3" fontId="7" fillId="0" borderId="34" xfId="0" applyNumberFormat="1" applyFont="1" applyBorder="1" applyAlignment="1">
      <alignment wrapText="1"/>
    </xf>
    <xf numFmtId="3" fontId="7" fillId="0" borderId="71" xfId="0" applyNumberFormat="1" applyFont="1" applyBorder="1" applyAlignment="1">
      <alignment wrapText="1"/>
    </xf>
    <xf numFmtId="0" fontId="7" fillId="0" borderId="71" xfId="0" applyFont="1" applyBorder="1" applyAlignment="1">
      <alignment wrapText="1"/>
    </xf>
    <xf numFmtId="3" fontId="7" fillId="0" borderId="71" xfId="0" applyNumberFormat="1" applyFont="1" applyBorder="1"/>
    <xf numFmtId="9" fontId="80" fillId="20" borderId="71" xfId="3" applyFont="1" applyFill="1" applyBorder="1"/>
    <xf numFmtId="0" fontId="8" fillId="2" borderId="30" xfId="0" applyFont="1" applyFill="1" applyBorder="1" applyAlignment="1">
      <alignment horizontal="left" indent="2"/>
    </xf>
    <xf numFmtId="3" fontId="80" fillId="20" borderId="30" xfId="0" applyNumberFormat="1" applyFont="1" applyFill="1" applyBorder="1" applyAlignment="1">
      <alignment wrapText="1"/>
    </xf>
    <xf numFmtId="3" fontId="7" fillId="0" borderId="30" xfId="0" applyNumberFormat="1" applyFont="1" applyBorder="1" applyAlignment="1">
      <alignment wrapText="1"/>
    </xf>
    <xf numFmtId="3" fontId="7" fillId="0" borderId="32" xfId="0" applyNumberFormat="1" applyFont="1" applyBorder="1" applyAlignment="1">
      <alignment wrapText="1"/>
    </xf>
    <xf numFmtId="9" fontId="200" fillId="42" borderId="71" xfId="3" applyFont="1" applyFill="1" applyBorder="1" applyAlignment="1">
      <alignment vertical="center"/>
    </xf>
    <xf numFmtId="0" fontId="8" fillId="0" borderId="30" xfId="0" applyFont="1" applyBorder="1" applyAlignment="1">
      <alignment horizontal="left" indent="2"/>
    </xf>
    <xf numFmtId="3" fontId="80" fillId="20" borderId="31" xfId="0" applyNumberFormat="1" applyFont="1" applyFill="1" applyBorder="1" applyAlignment="1">
      <alignment wrapText="1"/>
    </xf>
    <xf numFmtId="3" fontId="7" fillId="0" borderId="31" xfId="0" applyNumberFormat="1" applyFont="1" applyBorder="1" applyAlignment="1">
      <alignment wrapText="1"/>
    </xf>
    <xf numFmtId="3" fontId="80" fillId="20" borderId="71" xfId="0" applyNumberFormat="1" applyFont="1" applyFill="1" applyBorder="1" applyAlignment="1">
      <alignment wrapText="1"/>
    </xf>
    <xf numFmtId="0" fontId="16" fillId="26" borderId="71" xfId="0" applyFont="1" applyFill="1" applyBorder="1" applyAlignment="1">
      <alignment wrapText="1"/>
    </xf>
    <xf numFmtId="0" fontId="8" fillId="2" borderId="71" xfId="0" applyFont="1" applyFill="1" applyBorder="1" applyAlignment="1">
      <alignment horizontal="left" indent="2"/>
    </xf>
    <xf numFmtId="166" fontId="8" fillId="2" borderId="71" xfId="2" applyNumberFormat="1" applyFont="1" applyFill="1" applyBorder="1"/>
    <xf numFmtId="9" fontId="8" fillId="2" borderId="71" xfId="3" applyFont="1" applyFill="1" applyBorder="1"/>
    <xf numFmtId="166" fontId="8" fillId="2" borderId="0" xfId="2" applyNumberFormat="1" applyFont="1" applyFill="1"/>
    <xf numFmtId="0" fontId="8" fillId="0" borderId="71" xfId="0" applyFont="1" applyBorder="1" applyAlignment="1">
      <alignment horizontal="left" indent="2"/>
    </xf>
    <xf numFmtId="166" fontId="200" fillId="42" borderId="71" xfId="2" applyNumberFormat="1" applyFont="1" applyFill="1" applyBorder="1" applyAlignment="1">
      <alignment vertical="center"/>
    </xf>
    <xf numFmtId="0" fontId="21" fillId="0" borderId="71" xfId="0" applyFont="1" applyBorder="1" applyAlignment="1">
      <alignment horizontal="left" wrapText="1"/>
    </xf>
    <xf numFmtId="0" fontId="8" fillId="2" borderId="71" xfId="0" applyFont="1" applyFill="1" applyBorder="1"/>
    <xf numFmtId="9" fontId="201" fillId="20" borderId="71" xfId="3" applyFont="1" applyFill="1" applyBorder="1" applyAlignment="1">
      <alignment horizontal="right"/>
    </xf>
    <xf numFmtId="0" fontId="202" fillId="2" borderId="0" xfId="0" applyFont="1" applyFill="1"/>
    <xf numFmtId="0" fontId="203" fillId="2" borderId="0" xfId="0" applyFont="1" applyFill="1" applyAlignment="1">
      <alignment horizontal="center" vertical="center" wrapText="1"/>
    </xf>
    <xf numFmtId="0" fontId="188" fillId="2" borderId="0" xfId="0" applyFont="1" applyFill="1" applyAlignment="1">
      <alignment vertical="center" wrapText="1"/>
    </xf>
    <xf numFmtId="0" fontId="204" fillId="2" borderId="0" xfId="0" applyFont="1" applyFill="1"/>
    <xf numFmtId="166" fontId="192" fillId="4" borderId="30" xfId="2" applyNumberFormat="1" applyFont="1" applyFill="1" applyBorder="1" applyAlignment="1">
      <alignment horizontal="right" vertical="center"/>
    </xf>
    <xf numFmtId="0" fontId="114" fillId="0" borderId="31" xfId="0" applyFont="1" applyBorder="1" applyAlignment="1">
      <alignment horizontal="right" vertical="center"/>
    </xf>
    <xf numFmtId="166" fontId="114" fillId="0" borderId="39" xfId="2" applyNumberFormat="1" applyFont="1" applyBorder="1" applyAlignment="1" applyProtection="1">
      <alignment horizontal="right" vertical="center"/>
    </xf>
    <xf numFmtId="0" fontId="193" fillId="2" borderId="0" xfId="0" applyFont="1" applyFill="1" applyAlignment="1">
      <alignment wrapText="1"/>
    </xf>
    <xf numFmtId="166" fontId="114" fillId="2" borderId="71" xfId="0" applyNumberFormat="1" applyFont="1" applyFill="1" applyBorder="1" applyAlignment="1">
      <alignment horizontal="right" vertical="center" wrapText="1"/>
    </xf>
    <xf numFmtId="9" fontId="114" fillId="2" borderId="71" xfId="3" applyFont="1" applyFill="1" applyBorder="1" applyAlignment="1" applyProtection="1">
      <alignment horizontal="right" vertical="center" wrapText="1"/>
    </xf>
    <xf numFmtId="166" fontId="113" fillId="20" borderId="71" xfId="2" applyNumberFormat="1" applyFont="1" applyFill="1" applyBorder="1" applyAlignment="1">
      <alignment horizontal="right" vertical="center" wrapText="1"/>
    </xf>
    <xf numFmtId="166" fontId="113" fillId="0" borderId="71" xfId="2" applyNumberFormat="1" applyFont="1" applyFill="1" applyBorder="1" applyAlignment="1" applyProtection="1">
      <alignment horizontal="right" vertical="center" wrapText="1"/>
    </xf>
    <xf numFmtId="166" fontId="117" fillId="8" borderId="71" xfId="0" applyNumberFormat="1" applyFont="1" applyFill="1" applyBorder="1" applyAlignment="1">
      <alignment horizontal="right" vertical="center" wrapText="1"/>
    </xf>
    <xf numFmtId="9" fontId="117" fillId="8" borderId="71" xfId="0" applyNumberFormat="1" applyFont="1" applyFill="1" applyBorder="1" applyAlignment="1">
      <alignment horizontal="right" vertical="center" wrapText="1"/>
    </xf>
    <xf numFmtId="0" fontId="25" fillId="26" borderId="71" xfId="0" applyFont="1" applyFill="1" applyBorder="1" applyAlignment="1">
      <alignment horizontal="center" vertical="center" wrapText="1"/>
    </xf>
    <xf numFmtId="0" fontId="58" fillId="35" borderId="71" xfId="0" applyFont="1" applyFill="1" applyBorder="1" applyAlignment="1">
      <alignment vertical="center"/>
    </xf>
    <xf numFmtId="0" fontId="20" fillId="35" borderId="71" xfId="0" applyFont="1" applyFill="1" applyBorder="1" applyAlignment="1">
      <alignment horizontal="center" vertical="center"/>
    </xf>
    <xf numFmtId="0" fontId="25" fillId="35" borderId="71" xfId="0" applyFont="1" applyFill="1" applyBorder="1" applyAlignment="1">
      <alignment horizontal="center" vertical="center"/>
    </xf>
    <xf numFmtId="0" fontId="113" fillId="2" borderId="71" xfId="0" applyFont="1" applyFill="1" applyBorder="1" applyAlignment="1">
      <alignment wrapText="1"/>
    </xf>
    <xf numFmtId="9" fontId="85" fillId="20" borderId="71" xfId="2" applyNumberFormat="1" applyFont="1" applyFill="1" applyBorder="1" applyAlignment="1">
      <alignment horizontal="right" vertical="center" wrapText="1"/>
    </xf>
    <xf numFmtId="9" fontId="113" fillId="2" borderId="71" xfId="3" applyFont="1" applyFill="1" applyBorder="1" applyAlignment="1">
      <alignment horizontal="right"/>
    </xf>
    <xf numFmtId="9" fontId="113" fillId="2" borderId="71" xfId="3" applyFont="1" applyFill="1" applyBorder="1" applyAlignment="1" applyProtection="1">
      <alignment horizontal="right"/>
    </xf>
    <xf numFmtId="9" fontId="113" fillId="0" borderId="71" xfId="3" applyFont="1" applyBorder="1" applyProtection="1"/>
    <xf numFmtId="9" fontId="111" fillId="42" borderId="71" xfId="3" applyFont="1" applyFill="1" applyBorder="1" applyAlignment="1">
      <alignment vertical="center"/>
    </xf>
    <xf numFmtId="9" fontId="111" fillId="42" borderId="71" xfId="3" applyFont="1" applyFill="1" applyBorder="1" applyAlignment="1" applyProtection="1">
      <alignment vertical="center"/>
    </xf>
    <xf numFmtId="165" fontId="144" fillId="20" borderId="71" xfId="0" applyNumberFormat="1" applyFont="1" applyFill="1" applyBorder="1" applyAlignment="1">
      <alignment horizontal="right" vertical="center" wrapText="1"/>
    </xf>
    <xf numFmtId="173" fontId="113" fillId="2" borderId="71" xfId="3" applyNumberFormat="1" applyFont="1" applyFill="1" applyBorder="1" applyAlignment="1">
      <alignment horizontal="right"/>
    </xf>
    <xf numFmtId="173" fontId="113" fillId="2" borderId="71" xfId="3" applyNumberFormat="1" applyFont="1" applyFill="1" applyBorder="1" applyAlignment="1" applyProtection="1">
      <alignment horizontal="right"/>
    </xf>
    <xf numFmtId="9" fontId="113" fillId="39" borderId="71" xfId="3" applyFont="1" applyFill="1" applyBorder="1" applyAlignment="1">
      <alignment horizontal="right"/>
    </xf>
    <xf numFmtId="9" fontId="113" fillId="39" borderId="71" xfId="3" applyFont="1" applyFill="1" applyBorder="1" applyAlignment="1" applyProtection="1">
      <alignment horizontal="right"/>
    </xf>
    <xf numFmtId="0" fontId="65" fillId="2" borderId="45" xfId="0" applyFont="1" applyFill="1" applyBorder="1" applyAlignment="1">
      <alignment vertical="center" wrapText="1"/>
    </xf>
    <xf numFmtId="0" fontId="13" fillId="2" borderId="45" xfId="0" applyFont="1" applyFill="1" applyBorder="1" applyAlignment="1">
      <alignment vertical="center"/>
    </xf>
    <xf numFmtId="0" fontId="134" fillId="2" borderId="45" xfId="0" applyFont="1" applyFill="1" applyBorder="1" applyAlignment="1">
      <alignment vertical="center" wrapText="1"/>
    </xf>
    <xf numFmtId="0" fontId="13" fillId="2" borderId="45" xfId="0" applyFont="1" applyFill="1" applyBorder="1" applyAlignment="1">
      <alignment horizontal="center" vertical="center" wrapText="1"/>
    </xf>
    <xf numFmtId="166" fontId="13" fillId="2" borderId="45" xfId="2" applyNumberFormat="1" applyFont="1" applyFill="1" applyBorder="1" applyAlignment="1">
      <alignment vertical="center"/>
    </xf>
    <xf numFmtId="9" fontId="13" fillId="2" borderId="45" xfId="3" applyFont="1" applyFill="1" applyBorder="1" applyAlignment="1">
      <alignment vertical="center"/>
    </xf>
    <xf numFmtId="0" fontId="65" fillId="2" borderId="41" xfId="0" applyFont="1" applyFill="1" applyBorder="1" applyAlignment="1">
      <alignment vertical="center"/>
    </xf>
    <xf numFmtId="9" fontId="107" fillId="25" borderId="45" xfId="3" applyFont="1" applyFill="1" applyBorder="1" applyAlignment="1">
      <alignment vertical="center"/>
    </xf>
    <xf numFmtId="9" fontId="107" fillId="0" borderId="45" xfId="3" applyFont="1" applyBorder="1" applyAlignment="1">
      <alignment vertical="center"/>
    </xf>
    <xf numFmtId="164" fontId="107" fillId="0" borderId="45" xfId="3" applyNumberFormat="1" applyFont="1" applyFill="1" applyBorder="1" applyAlignment="1">
      <alignment vertical="center"/>
    </xf>
    <xf numFmtId="9" fontId="107" fillId="0" borderId="45" xfId="3" applyFont="1" applyFill="1" applyBorder="1" applyAlignment="1">
      <alignment vertical="center"/>
    </xf>
    <xf numFmtId="9" fontId="156" fillId="0" borderId="45" xfId="3" applyFont="1" applyFill="1" applyBorder="1" applyAlignment="1">
      <alignment horizontal="right" vertical="center"/>
    </xf>
    <xf numFmtId="9" fontId="107" fillId="42" borderId="45" xfId="3" applyFont="1" applyFill="1" applyBorder="1" applyAlignment="1">
      <alignment vertical="center"/>
    </xf>
    <xf numFmtId="2" fontId="205" fillId="0" borderId="45" xfId="0" applyNumberFormat="1" applyFont="1" applyBorder="1" applyAlignment="1">
      <alignment horizontal="right" vertical="center"/>
    </xf>
    <xf numFmtId="2" fontId="156" fillId="0" borderId="45" xfId="0" applyNumberFormat="1" applyFont="1" applyBorder="1" applyAlignment="1">
      <alignment horizontal="right" vertical="center"/>
    </xf>
    <xf numFmtId="0" fontId="156" fillId="0" borderId="45" xfId="0" applyFont="1" applyBorder="1" applyAlignment="1">
      <alignment horizontal="right" vertical="center"/>
    </xf>
    <xf numFmtId="0" fontId="13" fillId="2" borderId="0" xfId="0" applyFont="1" applyFill="1" applyAlignment="1">
      <alignment wrapText="1"/>
    </xf>
    <xf numFmtId="0" fontId="206" fillId="35" borderId="14" xfId="0" applyFont="1" applyFill="1" applyBorder="1" applyAlignment="1">
      <alignment horizontal="center" vertical="center" wrapText="1"/>
    </xf>
    <xf numFmtId="166" fontId="156" fillId="4" borderId="45" xfId="2" applyNumberFormat="1" applyFont="1" applyFill="1" applyBorder="1" applyAlignment="1">
      <alignment horizontal="right" vertical="center"/>
    </xf>
    <xf numFmtId="9" fontId="111" fillId="4" borderId="45" xfId="3" applyFont="1" applyFill="1" applyBorder="1" applyAlignment="1">
      <alignment vertical="center"/>
    </xf>
    <xf numFmtId="166" fontId="145" fillId="4" borderId="45" xfId="2" applyNumberFormat="1" applyFont="1" applyFill="1" applyBorder="1" applyAlignment="1">
      <alignment horizontal="right" vertical="center"/>
    </xf>
    <xf numFmtId="9" fontId="145" fillId="4" borderId="45" xfId="3" applyFont="1" applyFill="1" applyBorder="1" applyAlignment="1">
      <alignment horizontal="right" vertical="center"/>
    </xf>
    <xf numFmtId="2" fontId="174" fillId="4" borderId="45" xfId="0" applyNumberFormat="1" applyFont="1" applyFill="1" applyBorder="1" applyAlignment="1">
      <alignment horizontal="right" vertical="center"/>
    </xf>
    <xf numFmtId="0" fontId="145" fillId="4" borderId="45" xfId="0" applyFont="1" applyFill="1" applyBorder="1" applyAlignment="1">
      <alignment horizontal="right" vertical="center"/>
    </xf>
    <xf numFmtId="3" fontId="208" fillId="4" borderId="30" xfId="0" applyNumberFormat="1" applyFont="1" applyFill="1" applyBorder="1" applyAlignment="1">
      <alignment horizontal="right" vertical="center"/>
    </xf>
    <xf numFmtId="0" fontId="107" fillId="0" borderId="30" xfId="0" applyFont="1" applyBorder="1" applyAlignment="1">
      <alignment horizontal="right" vertical="center" wrapText="1"/>
    </xf>
    <xf numFmtId="0" fontId="152" fillId="0" borderId="30" xfId="1" applyFont="1" applyBorder="1" applyAlignment="1">
      <alignment horizontal="right" vertical="center" wrapText="1"/>
    </xf>
    <xf numFmtId="0" fontId="152" fillId="0" borderId="30" xfId="1" applyFont="1" applyFill="1" applyBorder="1" applyAlignment="1" applyProtection="1">
      <alignment horizontal="right" vertical="center" wrapText="1"/>
    </xf>
    <xf numFmtId="0" fontId="152" fillId="0" borderId="30" xfId="1" applyFont="1" applyBorder="1" applyAlignment="1" applyProtection="1">
      <alignment horizontal="right" vertical="center" wrapText="1"/>
    </xf>
    <xf numFmtId="0" fontId="107" fillId="0" borderId="30" xfId="0" applyFont="1" applyBorder="1" applyAlignment="1">
      <alignment horizontal="right" vertical="center"/>
    </xf>
    <xf numFmtId="0" fontId="107" fillId="0" borderId="31" xfId="0" applyFont="1" applyBorder="1" applyAlignment="1">
      <alignment horizontal="right" vertical="center" wrapText="1"/>
    </xf>
    <xf numFmtId="0" fontId="152" fillId="0" borderId="32" xfId="1" applyFont="1" applyBorder="1" applyAlignment="1">
      <alignment horizontal="right" vertical="center" wrapText="1"/>
    </xf>
    <xf numFmtId="0" fontId="152" fillId="0" borderId="30" xfId="1" applyFont="1" applyBorder="1" applyAlignment="1" applyProtection="1">
      <alignment horizontal="right" vertical="center"/>
    </xf>
    <xf numFmtId="0" fontId="80" fillId="0" borderId="30" xfId="1" applyFont="1" applyFill="1" applyBorder="1" applyAlignment="1" applyProtection="1">
      <alignment horizontal="right" vertical="center" wrapText="1"/>
    </xf>
    <xf numFmtId="0" fontId="107" fillId="0" borderId="37" xfId="0" applyFont="1" applyBorder="1" applyAlignment="1">
      <alignment horizontal="right" vertical="center" wrapText="1"/>
    </xf>
    <xf numFmtId="0" fontId="107" fillId="0" borderId="34" xfId="0" applyFont="1" applyBorder="1" applyAlignment="1">
      <alignment horizontal="right" vertical="center" wrapText="1"/>
    </xf>
    <xf numFmtId="0" fontId="152" fillId="0" borderId="40" xfId="1" applyFont="1" applyFill="1" applyBorder="1" applyAlignment="1" applyProtection="1">
      <alignment horizontal="right" vertical="center" wrapText="1"/>
    </xf>
    <xf numFmtId="0" fontId="152" fillId="0" borderId="34" xfId="1" applyFont="1" applyBorder="1" applyAlignment="1">
      <alignment horizontal="right" vertical="center" wrapText="1"/>
    </xf>
    <xf numFmtId="0" fontId="152" fillId="0" borderId="34" xfId="1" applyFont="1" applyBorder="1" applyAlignment="1" applyProtection="1">
      <alignment horizontal="right" vertical="center" wrapText="1"/>
    </xf>
    <xf numFmtId="0" fontId="107" fillId="0" borderId="34" xfId="0" applyFont="1" applyBorder="1" applyAlignment="1">
      <alignment horizontal="right" vertical="center"/>
    </xf>
    <xf numFmtId="0" fontId="152" fillId="0" borderId="70" xfId="1" applyFont="1" applyFill="1" applyBorder="1" applyAlignment="1" applyProtection="1">
      <alignment horizontal="right" vertical="center"/>
    </xf>
    <xf numFmtId="0" fontId="152" fillId="0" borderId="32" xfId="1" applyFont="1" applyBorder="1" applyAlignment="1" applyProtection="1">
      <alignment horizontal="right" vertical="center" wrapText="1"/>
    </xf>
    <xf numFmtId="0" fontId="152" fillId="0" borderId="31" xfId="1" applyFont="1" applyBorder="1" applyAlignment="1" applyProtection="1">
      <alignment horizontal="right" vertical="center" wrapText="1"/>
    </xf>
    <xf numFmtId="0" fontId="107" fillId="0" borderId="61" xfId="0" applyFont="1" applyBorder="1" applyAlignment="1">
      <alignment horizontal="right" vertical="center" wrapText="1"/>
    </xf>
    <xf numFmtId="0" fontId="80" fillId="0" borderId="0" xfId="0" applyFont="1" applyAlignment="1">
      <alignment horizontal="right" vertical="center"/>
    </xf>
    <xf numFmtId="0" fontId="107" fillId="0" borderId="0" xfId="0" applyFont="1" applyAlignment="1">
      <alignment horizontal="right"/>
    </xf>
    <xf numFmtId="0" fontId="107" fillId="20" borderId="30" xfId="0" applyFont="1" applyFill="1" applyBorder="1" applyAlignment="1">
      <alignment vertical="center"/>
    </xf>
    <xf numFmtId="0" fontId="188" fillId="2" borderId="30" xfId="0" applyFont="1" applyFill="1" applyBorder="1" applyAlignment="1">
      <alignment vertical="center"/>
    </xf>
    <xf numFmtId="0" fontId="194" fillId="2" borderId="0" xfId="0" applyFont="1" applyFill="1" applyAlignment="1">
      <alignment vertical="center"/>
    </xf>
    <xf numFmtId="9" fontId="210" fillId="42" borderId="71" xfId="3" applyFont="1" applyFill="1" applyBorder="1" applyAlignment="1">
      <alignment vertical="center"/>
    </xf>
    <xf numFmtId="0" fontId="113" fillId="2" borderId="30" xfId="0" applyFont="1" applyFill="1" applyBorder="1" applyAlignment="1">
      <alignment horizontal="left" vertical="center" indent="3"/>
    </xf>
    <xf numFmtId="0" fontId="113" fillId="0" borderId="30" xfId="0" applyFont="1" applyBorder="1" applyAlignment="1">
      <alignment horizontal="left" vertical="center" indent="3"/>
    </xf>
    <xf numFmtId="0" fontId="114" fillId="2" borderId="30" xfId="0" applyFont="1" applyFill="1" applyBorder="1" applyAlignment="1">
      <alignment horizontal="left" vertical="center" indent="3"/>
    </xf>
    <xf numFmtId="9" fontId="192" fillId="4" borderId="30" xfId="3" applyFont="1" applyFill="1" applyBorder="1" applyAlignment="1">
      <alignment horizontal="right" vertical="center"/>
    </xf>
    <xf numFmtId="0" fontId="164" fillId="2" borderId="30" xfId="1" applyFont="1" applyFill="1" applyBorder="1" applyAlignment="1" applyProtection="1">
      <alignment horizontal="right" vertical="center" wrapText="1"/>
    </xf>
    <xf numFmtId="0" fontId="211" fillId="0" borderId="30" xfId="1" applyFont="1" applyBorder="1" applyAlignment="1">
      <alignment horizontal="right" vertical="center" wrapText="1"/>
    </xf>
    <xf numFmtId="0" fontId="185" fillId="2" borderId="0" xfId="0" applyFont="1" applyFill="1"/>
    <xf numFmtId="0" fontId="194" fillId="0" borderId="30" xfId="0" applyFont="1" applyBorder="1" applyAlignment="1">
      <alignment vertical="center"/>
    </xf>
    <xf numFmtId="0" fontId="188" fillId="0" borderId="30" xfId="0" applyFont="1" applyBorder="1" applyAlignment="1">
      <alignment horizontal="left" vertical="center"/>
    </xf>
    <xf numFmtId="1" fontId="192" fillId="4" borderId="30" xfId="0" applyNumberFormat="1" applyFont="1" applyFill="1" applyBorder="1" applyAlignment="1">
      <alignment horizontal="right" vertical="center"/>
    </xf>
    <xf numFmtId="1" fontId="188" fillId="0" borderId="30" xfId="0" applyNumberFormat="1" applyFont="1" applyBorder="1" applyAlignment="1">
      <alignment horizontal="right" vertical="center"/>
    </xf>
    <xf numFmtId="0" fontId="16" fillId="35" borderId="71" xfId="0" applyFont="1" applyFill="1" applyBorder="1" applyAlignment="1">
      <alignment horizontal="center" vertical="center" wrapText="1"/>
    </xf>
    <xf numFmtId="0" fontId="25" fillId="35" borderId="71" xfId="0" applyFont="1" applyFill="1" applyBorder="1" applyAlignment="1">
      <alignment horizontal="center" vertical="center" wrapText="1"/>
    </xf>
    <xf numFmtId="0" fontId="119" fillId="21" borderId="71" xfId="0" applyFont="1" applyFill="1" applyBorder="1" applyAlignment="1">
      <alignment horizontal="left" vertical="center"/>
    </xf>
    <xf numFmtId="0" fontId="114" fillId="21" borderId="71" xfId="0" applyFont="1" applyFill="1" applyBorder="1" applyAlignment="1">
      <alignment horizontal="center" vertical="center" wrapText="1"/>
    </xf>
    <xf numFmtId="0" fontId="114" fillId="5" borderId="71" xfId="0" applyFont="1" applyFill="1" applyBorder="1" applyAlignment="1">
      <alignment wrapText="1"/>
    </xf>
    <xf numFmtId="166" fontId="85" fillId="20" borderId="71" xfId="2" applyNumberFormat="1" applyFont="1" applyFill="1" applyBorder="1" applyAlignment="1">
      <alignment horizontal="right" vertical="center" wrapText="1"/>
    </xf>
    <xf numFmtId="9" fontId="85" fillId="20" borderId="71" xfId="3" applyFont="1" applyFill="1" applyBorder="1" applyAlignment="1">
      <alignment horizontal="right" vertical="center" wrapText="1"/>
    </xf>
    <xf numFmtId="0" fontId="119" fillId="2" borderId="71" xfId="0" applyFont="1" applyFill="1" applyBorder="1" applyAlignment="1">
      <alignment horizontal="right" vertical="center" wrapText="1"/>
    </xf>
    <xf numFmtId="166" fontId="117" fillId="2" borderId="71" xfId="2" applyNumberFormat="1" applyFont="1" applyFill="1" applyBorder="1" applyAlignment="1">
      <alignment horizontal="right" vertical="center" wrapText="1"/>
    </xf>
    <xf numFmtId="166" fontId="114" fillId="2" borderId="71" xfId="2" applyNumberFormat="1" applyFont="1" applyFill="1" applyBorder="1" applyAlignment="1">
      <alignment horizontal="right" vertical="center" wrapText="1"/>
    </xf>
    <xf numFmtId="9" fontId="114" fillId="2" borderId="71" xfId="3" applyFont="1" applyFill="1" applyBorder="1" applyAlignment="1">
      <alignment horizontal="right" vertical="center" wrapText="1"/>
    </xf>
    <xf numFmtId="0" fontId="114" fillId="2" borderId="71" xfId="0" applyFont="1" applyFill="1" applyBorder="1" applyAlignment="1">
      <alignment horizontal="left" wrapText="1" indent="2"/>
    </xf>
    <xf numFmtId="166" fontId="117" fillId="2" borderId="71" xfId="2" applyNumberFormat="1" applyFont="1" applyFill="1" applyBorder="1" applyAlignment="1" applyProtection="1">
      <alignment horizontal="right" vertical="center" wrapText="1"/>
    </xf>
    <xf numFmtId="166" fontId="114" fillId="2" borderId="71" xfId="2" applyNumberFormat="1" applyFont="1" applyFill="1" applyBorder="1" applyAlignment="1" applyProtection="1">
      <alignment horizontal="right" vertical="center" wrapText="1"/>
    </xf>
    <xf numFmtId="166" fontId="114" fillId="0" borderId="71" xfId="2" applyNumberFormat="1" applyFont="1" applyBorder="1" applyAlignment="1" applyProtection="1">
      <alignment horizontal="right" vertical="center" wrapText="1"/>
    </xf>
    <xf numFmtId="0" fontId="85" fillId="20" borderId="71" xfId="0" applyFont="1" applyFill="1" applyBorder="1" applyAlignment="1">
      <alignment horizontal="right" wrapText="1"/>
    </xf>
    <xf numFmtId="0" fontId="114" fillId="2" borderId="71" xfId="0" applyFont="1" applyFill="1" applyBorder="1" applyAlignment="1">
      <alignment horizontal="left" vertical="center" wrapText="1"/>
    </xf>
    <xf numFmtId="0" fontId="119" fillId="0" borderId="71" xfId="0" applyFont="1" applyBorder="1" applyAlignment="1">
      <alignment horizontal="right" vertical="center" wrapText="1"/>
    </xf>
    <xf numFmtId="0" fontId="114" fillId="2" borderId="71" xfId="0" applyFont="1" applyFill="1" applyBorder="1" applyAlignment="1">
      <alignment horizontal="left" vertical="center" wrapText="1" indent="2"/>
    </xf>
    <xf numFmtId="0" fontId="119" fillId="21" borderId="71" xfId="0" applyFont="1" applyFill="1" applyBorder="1" applyAlignment="1">
      <alignment horizontal="left" vertical="center" wrapText="1"/>
    </xf>
    <xf numFmtId="0" fontId="8" fillId="21" borderId="71" xfId="0" applyFont="1" applyFill="1" applyBorder="1" applyAlignment="1">
      <alignment horizontal="center" vertical="center" wrapText="1"/>
    </xf>
    <xf numFmtId="0" fontId="114" fillId="0" borderId="71" xfId="0" applyFont="1" applyBorder="1" applyAlignment="1">
      <alignment vertical="center"/>
    </xf>
    <xf numFmtId="166" fontId="127" fillId="20" borderId="71" xfId="2" applyNumberFormat="1" applyFont="1" applyFill="1" applyBorder="1" applyAlignment="1" applyProtection="1">
      <alignment horizontal="right" vertical="center" wrapText="1"/>
    </xf>
    <xf numFmtId="9" fontId="127" fillId="20" borderId="71" xfId="3" applyFont="1" applyFill="1" applyBorder="1" applyAlignment="1" applyProtection="1">
      <alignment horizontal="right" vertical="center" wrapText="1"/>
    </xf>
    <xf numFmtId="0" fontId="127" fillId="20" borderId="71" xfId="2" applyNumberFormat="1" applyFont="1" applyFill="1" applyBorder="1" applyAlignment="1" applyProtection="1">
      <alignment horizontal="right" vertical="center" wrapText="1"/>
    </xf>
    <xf numFmtId="166" fontId="127" fillId="20" borderId="71" xfId="2" applyNumberFormat="1" applyFont="1" applyFill="1" applyBorder="1" applyAlignment="1">
      <alignment horizontal="right" vertical="center" wrapText="1"/>
    </xf>
    <xf numFmtId="166" fontId="117" fillId="0" borderId="71" xfId="0" applyNumberFormat="1" applyFont="1" applyBorder="1" applyAlignment="1">
      <alignment horizontal="right" vertical="center" wrapText="1"/>
    </xf>
    <xf numFmtId="9" fontId="117" fillId="0" borderId="71" xfId="0" applyNumberFormat="1" applyFont="1" applyBorder="1" applyAlignment="1">
      <alignment wrapText="1"/>
    </xf>
    <xf numFmtId="0" fontId="22" fillId="43" borderId="71" xfId="0" applyFont="1" applyFill="1" applyBorder="1" applyAlignment="1">
      <alignment horizontal="center" wrapText="1"/>
    </xf>
    <xf numFmtId="9" fontId="127" fillId="20" borderId="71" xfId="3" applyFont="1" applyFill="1" applyBorder="1" applyAlignment="1">
      <alignment horizontal="right" vertical="center" wrapText="1"/>
    </xf>
    <xf numFmtId="0" fontId="117" fillId="0" borderId="71" xfId="0" applyFont="1" applyBorder="1" applyAlignment="1">
      <alignment wrapText="1"/>
    </xf>
    <xf numFmtId="9" fontId="117" fillId="2" borderId="71" xfId="3" applyFont="1" applyFill="1" applyBorder="1" applyAlignment="1" applyProtection="1">
      <alignment horizontal="right" vertical="center" wrapText="1"/>
    </xf>
    <xf numFmtId="0" fontId="119" fillId="0" borderId="71" xfId="0" applyFont="1" applyBorder="1" applyAlignment="1">
      <alignment horizontal="right" vertical="center"/>
    </xf>
    <xf numFmtId="9" fontId="117" fillId="0" borderId="71" xfId="3" applyFont="1" applyFill="1" applyBorder="1" applyAlignment="1" applyProtection="1">
      <alignment horizontal="right" vertical="center" wrapText="1"/>
    </xf>
    <xf numFmtId="0" fontId="117" fillId="0" borderId="71" xfId="0" applyFont="1" applyBorder="1" applyAlignment="1">
      <alignment horizontal="right" vertical="center" wrapText="1"/>
    </xf>
    <xf numFmtId="9" fontId="117" fillId="0" borderId="71" xfId="3" applyFont="1" applyBorder="1" applyAlignment="1">
      <alignment horizontal="right" vertical="center" wrapText="1"/>
    </xf>
    <xf numFmtId="0" fontId="113" fillId="2" borderId="71" xfId="0" applyFont="1" applyFill="1" applyBorder="1" applyAlignment="1">
      <alignment horizontal="right" vertical="center" wrapText="1"/>
    </xf>
    <xf numFmtId="166" fontId="117" fillId="0" borderId="71" xfId="2" applyNumberFormat="1" applyFont="1" applyFill="1" applyBorder="1" applyAlignment="1" applyProtection="1">
      <alignment horizontal="right" vertical="center" wrapText="1"/>
    </xf>
    <xf numFmtId="0" fontId="114" fillId="2" borderId="71" xfId="2" applyNumberFormat="1" applyFont="1" applyFill="1" applyBorder="1" applyAlignment="1" applyProtection="1">
      <alignment horizontal="right" vertical="center" wrapText="1"/>
    </xf>
    <xf numFmtId="0" fontId="114" fillId="2" borderId="71" xfId="0" applyFont="1" applyFill="1" applyBorder="1" applyAlignment="1">
      <alignment horizontal="right" vertical="center" wrapText="1"/>
    </xf>
    <xf numFmtId="170" fontId="117" fillId="0" borderId="71" xfId="0" applyNumberFormat="1" applyFont="1" applyBorder="1" applyAlignment="1">
      <alignment horizontal="right" vertical="center" wrapText="1"/>
    </xf>
    <xf numFmtId="0" fontId="114" fillId="0" borderId="71" xfId="0" applyFont="1" applyBorder="1" applyAlignment="1">
      <alignment horizontal="right" vertical="center" wrapText="1"/>
    </xf>
    <xf numFmtId="0" fontId="7" fillId="21" borderId="71" xfId="0" applyFont="1" applyFill="1" applyBorder="1" applyAlignment="1">
      <alignment horizontal="center" vertical="center" wrapText="1"/>
    </xf>
    <xf numFmtId="0" fontId="113" fillId="2" borderId="71" xfId="0" applyFont="1" applyFill="1" applyBorder="1" applyAlignment="1">
      <alignment vertical="center"/>
    </xf>
    <xf numFmtId="166" fontId="85" fillId="20" borderId="71" xfId="2" applyNumberFormat="1" applyFont="1" applyFill="1" applyBorder="1" applyAlignment="1" applyProtection="1">
      <alignment horizontal="right" vertical="center" wrapText="1"/>
    </xf>
    <xf numFmtId="9" fontId="85" fillId="20" borderId="71" xfId="3" applyFont="1" applyFill="1" applyBorder="1" applyAlignment="1" applyProtection="1">
      <alignment horizontal="right" vertical="center" wrapText="1"/>
    </xf>
    <xf numFmtId="9" fontId="114" fillId="20" borderId="71" xfId="3" applyFont="1" applyFill="1" applyBorder="1" applyAlignment="1" applyProtection="1">
      <alignment horizontal="right" vertical="center" wrapText="1"/>
    </xf>
    <xf numFmtId="166" fontId="114" fillId="2" borderId="71" xfId="2" applyNumberFormat="1" applyFont="1" applyFill="1" applyBorder="1" applyAlignment="1" applyProtection="1">
      <alignment horizontal="right" vertical="top" wrapText="1"/>
    </xf>
    <xf numFmtId="0" fontId="113" fillId="2" borderId="71" xfId="0" applyFont="1" applyFill="1" applyBorder="1" applyAlignment="1">
      <alignment horizontal="left" vertical="center"/>
    </xf>
    <xf numFmtId="166" fontId="114" fillId="20" borderId="71" xfId="2" applyNumberFormat="1" applyFont="1" applyFill="1" applyBorder="1" applyAlignment="1" applyProtection="1">
      <alignment horizontal="right" vertical="center" wrapText="1"/>
    </xf>
    <xf numFmtId="0" fontId="116" fillId="2" borderId="71" xfId="0" applyFont="1" applyFill="1" applyBorder="1" applyAlignment="1">
      <alignment horizontal="right" vertical="center" wrapText="1"/>
    </xf>
    <xf numFmtId="0" fontId="113" fillId="2" borderId="71" xfId="0" applyFont="1" applyFill="1" applyBorder="1" applyAlignment="1">
      <alignment vertical="center" wrapText="1"/>
    </xf>
    <xf numFmtId="9" fontId="85" fillId="20" borderId="71" xfId="2" applyNumberFormat="1" applyFont="1" applyFill="1" applyBorder="1" applyAlignment="1" applyProtection="1">
      <alignment horizontal="right" vertical="center" wrapText="1"/>
    </xf>
    <xf numFmtId="9" fontId="113" fillId="0" borderId="71" xfId="2" applyNumberFormat="1" applyFont="1" applyFill="1" applyBorder="1" applyAlignment="1" applyProtection="1">
      <alignment horizontal="right" vertical="center" wrapText="1"/>
    </xf>
    <xf numFmtId="9" fontId="114" fillId="20" borderId="71" xfId="2" applyNumberFormat="1" applyFont="1" applyFill="1" applyBorder="1" applyAlignment="1" applyProtection="1">
      <alignment horizontal="right" vertical="center" wrapText="1"/>
    </xf>
    <xf numFmtId="9" fontId="117" fillId="0" borderId="71" xfId="2" applyNumberFormat="1" applyFont="1" applyFill="1" applyBorder="1" applyAlignment="1" applyProtection="1">
      <alignment horizontal="right" vertical="center" wrapText="1"/>
    </xf>
    <xf numFmtId="9" fontId="114" fillId="2" borderId="71" xfId="2" applyNumberFormat="1" applyFont="1" applyFill="1" applyBorder="1" applyAlignment="1" applyProtection="1">
      <alignment horizontal="right" vertical="center" wrapText="1"/>
    </xf>
    <xf numFmtId="0" fontId="113" fillId="2" borderId="31" xfId="0" applyFont="1" applyFill="1" applyBorder="1" applyAlignment="1">
      <alignment wrapText="1"/>
    </xf>
    <xf numFmtId="166" fontId="85" fillId="20" borderId="31" xfId="2" applyNumberFormat="1" applyFont="1" applyFill="1" applyBorder="1" applyAlignment="1" applyProtection="1">
      <alignment horizontal="right" vertical="center"/>
    </xf>
    <xf numFmtId="9" fontId="86" fillId="20" borderId="31" xfId="3" applyFont="1" applyFill="1" applyBorder="1" applyAlignment="1" applyProtection="1">
      <alignment horizontal="right" wrapText="1"/>
    </xf>
    <xf numFmtId="166" fontId="114" fillId="2" borderId="31" xfId="2" applyNumberFormat="1" applyFont="1" applyFill="1" applyBorder="1" applyAlignment="1" applyProtection="1">
      <alignment horizontal="right" vertical="center"/>
    </xf>
    <xf numFmtId="9" fontId="119" fillId="2" borderId="31" xfId="3" applyFont="1" applyFill="1" applyBorder="1" applyAlignment="1" applyProtection="1">
      <alignment horizontal="right" wrapText="1"/>
    </xf>
    <xf numFmtId="0" fontId="116" fillId="2" borderId="71" xfId="0" applyFont="1" applyFill="1" applyBorder="1" applyAlignment="1">
      <alignment vertical="center" wrapText="1"/>
    </xf>
    <xf numFmtId="0" fontId="96" fillId="26" borderId="71" xfId="0" applyFont="1" applyFill="1" applyBorder="1" applyAlignment="1">
      <alignment horizontal="center" vertical="center" wrapText="1"/>
    </xf>
    <xf numFmtId="166" fontId="85" fillId="20" borderId="71" xfId="0" applyNumberFormat="1" applyFont="1" applyFill="1" applyBorder="1" applyAlignment="1">
      <alignment horizontal="right" wrapText="1"/>
    </xf>
    <xf numFmtId="166" fontId="85" fillId="20" borderId="71" xfId="2" applyNumberFormat="1" applyFont="1" applyFill="1" applyBorder="1" applyAlignment="1" applyProtection="1">
      <alignment horizontal="right" vertical="center"/>
    </xf>
    <xf numFmtId="9" fontId="85" fillId="20" borderId="71" xfId="3" applyFont="1" applyFill="1" applyBorder="1" applyAlignment="1" applyProtection="1">
      <alignment horizontal="right" wrapText="1"/>
    </xf>
    <xf numFmtId="166" fontId="113" fillId="0" borderId="71" xfId="0" applyNumberFormat="1" applyFont="1" applyBorder="1" applyAlignment="1">
      <alignment horizontal="right" wrapText="1"/>
    </xf>
    <xf numFmtId="166" fontId="113" fillId="0" borderId="71" xfId="2" applyNumberFormat="1" applyFont="1" applyFill="1" applyBorder="1" applyAlignment="1" applyProtection="1">
      <alignment horizontal="right" vertical="center"/>
    </xf>
    <xf numFmtId="9" fontId="113" fillId="0" borderId="71" xfId="3" applyFont="1" applyFill="1" applyBorder="1" applyAlignment="1" applyProtection="1">
      <alignment horizontal="right" wrapText="1"/>
    </xf>
    <xf numFmtId="166" fontId="117" fillId="0" borderId="71" xfId="0" applyNumberFormat="1" applyFont="1" applyBorder="1" applyAlignment="1">
      <alignment horizontal="right" wrapText="1"/>
    </xf>
    <xf numFmtId="166" fontId="117" fillId="0" borderId="71" xfId="2" applyNumberFormat="1" applyFont="1" applyFill="1" applyBorder="1" applyAlignment="1" applyProtection="1">
      <alignment horizontal="right" vertical="center"/>
    </xf>
    <xf numFmtId="9" fontId="117" fillId="0" borderId="71" xfId="3" applyFont="1" applyFill="1" applyBorder="1" applyAlignment="1" applyProtection="1">
      <alignment horizontal="right" wrapText="1"/>
    </xf>
    <xf numFmtId="166" fontId="114" fillId="2" borderId="71" xfId="0" applyNumberFormat="1" applyFont="1" applyFill="1" applyBorder="1" applyAlignment="1">
      <alignment horizontal="right" wrapText="1"/>
    </xf>
    <xf numFmtId="166" fontId="114" fillId="2" borderId="71" xfId="2" applyNumberFormat="1" applyFont="1" applyFill="1" applyBorder="1" applyAlignment="1" applyProtection="1">
      <alignment horizontal="right" vertical="center"/>
    </xf>
    <xf numFmtId="9" fontId="114" fillId="2" borderId="71" xfId="3" applyFont="1" applyFill="1" applyBorder="1" applyAlignment="1" applyProtection="1">
      <alignment horizontal="right" wrapText="1"/>
    </xf>
    <xf numFmtId="0" fontId="58" fillId="35" borderId="71" xfId="0" applyFont="1" applyFill="1" applyBorder="1" applyAlignment="1">
      <alignment horizontal="left" vertical="center" wrapText="1"/>
    </xf>
    <xf numFmtId="9" fontId="113" fillId="0" borderId="71" xfId="3" applyFont="1" applyFill="1" applyBorder="1" applyAlignment="1" applyProtection="1">
      <alignment horizontal="right" vertical="center" wrapText="1"/>
    </xf>
    <xf numFmtId="9" fontId="107" fillId="44" borderId="71" xfId="3" applyFont="1" applyFill="1" applyBorder="1" applyAlignment="1">
      <alignment vertical="center"/>
    </xf>
    <xf numFmtId="166" fontId="85" fillId="20" borderId="71" xfId="2" applyNumberFormat="1" applyFont="1" applyFill="1" applyBorder="1" applyAlignment="1" applyProtection="1">
      <alignment horizontal="right" wrapText="1"/>
    </xf>
    <xf numFmtId="166" fontId="113" fillId="0" borderId="71" xfId="2" applyNumberFormat="1" applyFont="1" applyFill="1" applyBorder="1" applyAlignment="1" applyProtection="1">
      <alignment horizontal="right" wrapText="1"/>
    </xf>
    <xf numFmtId="166" fontId="117" fillId="0" borderId="71" xfId="2" applyNumberFormat="1" applyFont="1" applyFill="1" applyBorder="1" applyAlignment="1" applyProtection="1">
      <alignment horizontal="right" wrapText="1"/>
    </xf>
    <xf numFmtId="166" fontId="114" fillId="2" borderId="71" xfId="2" applyNumberFormat="1" applyFont="1" applyFill="1" applyBorder="1" applyAlignment="1" applyProtection="1">
      <alignment horizontal="right" wrapText="1"/>
    </xf>
    <xf numFmtId="0" fontId="114" fillId="0" borderId="32" xfId="0" applyFont="1" applyBorder="1" applyAlignment="1">
      <alignment vertical="center" wrapText="1"/>
    </xf>
    <xf numFmtId="166" fontId="6" fillId="19" borderId="22" xfId="2" applyNumberFormat="1" applyFont="1" applyFill="1" applyBorder="1" applyAlignment="1" applyProtection="1">
      <alignment horizontal="right" vertical="center" wrapText="1"/>
    </xf>
    <xf numFmtId="0" fontId="114" fillId="0" borderId="71" xfId="0" applyFont="1" applyBorder="1" applyAlignment="1">
      <alignment vertical="center" wrapText="1"/>
    </xf>
    <xf numFmtId="9" fontId="113" fillId="0" borderId="71" xfId="2" applyNumberFormat="1" applyFont="1" applyBorder="1" applyAlignment="1">
      <alignment horizontal="right" vertical="center" wrapText="1"/>
    </xf>
    <xf numFmtId="0" fontId="144" fillId="20" borderId="71" xfId="0" applyFont="1" applyFill="1" applyBorder="1" applyAlignment="1">
      <alignment horizontal="right" vertical="center" wrapText="1"/>
    </xf>
    <xf numFmtId="0" fontId="113" fillId="0" borderId="71" xfId="0" applyFont="1" applyBorder="1" applyAlignment="1">
      <alignment horizontal="right" vertical="center" wrapText="1"/>
    </xf>
    <xf numFmtId="166" fontId="144" fillId="20" borderId="71" xfId="2" applyNumberFormat="1" applyFont="1" applyFill="1" applyBorder="1" applyAlignment="1" applyProtection="1">
      <alignment horizontal="right" vertical="center" wrapText="1"/>
    </xf>
    <xf numFmtId="9" fontId="144" fillId="20" borderId="71" xfId="2" applyNumberFormat="1" applyFont="1" applyFill="1" applyBorder="1" applyAlignment="1">
      <alignment horizontal="right" vertical="center" wrapText="1"/>
    </xf>
    <xf numFmtId="0" fontId="119" fillId="0" borderId="71" xfId="0" applyFont="1" applyBorder="1" applyAlignment="1">
      <alignment vertical="center" wrapText="1"/>
    </xf>
    <xf numFmtId="3" fontId="143" fillId="20" borderId="71" xfId="0" applyNumberFormat="1" applyFont="1" applyFill="1" applyBorder="1" applyAlignment="1">
      <alignment horizontal="right" vertical="center" wrapText="1"/>
    </xf>
    <xf numFmtId="0" fontId="143" fillId="20" borderId="71" xfId="0" applyFont="1" applyFill="1" applyBorder="1" applyAlignment="1">
      <alignment horizontal="right" vertical="center" wrapText="1"/>
    </xf>
    <xf numFmtId="9" fontId="143" fillId="20" borderId="71" xfId="0" applyNumberFormat="1" applyFont="1" applyFill="1" applyBorder="1" applyAlignment="1">
      <alignment horizontal="right" vertical="center" wrapText="1"/>
    </xf>
    <xf numFmtId="3" fontId="116" fillId="0" borderId="71" xfId="0" applyNumberFormat="1" applyFont="1" applyBorder="1" applyAlignment="1">
      <alignment horizontal="right" vertical="center" wrapText="1"/>
    </xf>
    <xf numFmtId="0" fontId="116" fillId="0" borderId="71" xfId="0" applyFont="1" applyBorder="1" applyAlignment="1">
      <alignment horizontal="right" vertical="center" wrapText="1"/>
    </xf>
    <xf numFmtId="9" fontId="116" fillId="0" borderId="71" xfId="0" applyNumberFormat="1" applyFont="1" applyBorder="1" applyAlignment="1">
      <alignment horizontal="right" vertical="center" wrapText="1"/>
    </xf>
    <xf numFmtId="166" fontId="118" fillId="0" borderId="71" xfId="2" applyNumberFormat="1" applyFont="1" applyFill="1" applyBorder="1" applyAlignment="1" applyProtection="1">
      <alignment horizontal="right" vertical="center" wrapText="1"/>
    </xf>
    <xf numFmtId="9" fontId="118" fillId="0" borderId="71" xfId="2" applyNumberFormat="1" applyFont="1" applyFill="1" applyBorder="1" applyAlignment="1" applyProtection="1">
      <alignment horizontal="right" vertical="center" wrapText="1"/>
    </xf>
    <xf numFmtId="166" fontId="119" fillId="2" borderId="71" xfId="2" applyNumberFormat="1" applyFont="1" applyFill="1" applyBorder="1" applyAlignment="1" applyProtection="1">
      <alignment horizontal="right" vertical="center" wrapText="1"/>
    </xf>
    <xf numFmtId="9" fontId="119" fillId="2" borderId="71" xfId="3" applyFont="1" applyFill="1" applyBorder="1" applyAlignment="1" applyProtection="1">
      <alignment horizontal="right" vertical="center" wrapText="1"/>
    </xf>
    <xf numFmtId="166" fontId="144" fillId="20" borderId="71" xfId="2" applyNumberFormat="1" applyFont="1" applyFill="1" applyBorder="1" applyAlignment="1">
      <alignment horizontal="right" vertical="center" wrapText="1"/>
    </xf>
    <xf numFmtId="0" fontId="16" fillId="35" borderId="71" xfId="0" applyFont="1" applyFill="1" applyBorder="1" applyAlignment="1">
      <alignment horizontal="center" vertical="center"/>
    </xf>
    <xf numFmtId="2" fontId="144" fillId="20" borderId="71" xfId="0" applyNumberFormat="1" applyFont="1" applyFill="1" applyBorder="1" applyAlignment="1">
      <alignment horizontal="right" vertical="center" wrapText="1"/>
    </xf>
    <xf numFmtId="168" fontId="117" fillId="0" borderId="71" xfId="2" applyNumberFormat="1" applyFont="1" applyFill="1" applyBorder="1" applyAlignment="1" applyProtection="1">
      <alignment horizontal="right" vertical="center" wrapText="1"/>
    </xf>
    <xf numFmtId="4" fontId="144" fillId="20" borderId="71" xfId="0" applyNumberFormat="1" applyFont="1" applyFill="1" applyBorder="1" applyAlignment="1">
      <alignment horizontal="right" vertical="center" wrapText="1"/>
    </xf>
    <xf numFmtId="4" fontId="144" fillId="20" borderId="71" xfId="2" applyNumberFormat="1" applyFont="1" applyFill="1" applyBorder="1" applyAlignment="1" applyProtection="1">
      <alignment horizontal="right" vertical="center" wrapText="1"/>
    </xf>
    <xf numFmtId="2" fontId="143" fillId="20" borderId="71" xfId="0" applyNumberFormat="1" applyFont="1" applyFill="1" applyBorder="1" applyAlignment="1">
      <alignment horizontal="right" vertical="center" wrapText="1"/>
    </xf>
    <xf numFmtId="43" fontId="144" fillId="20" borderId="71" xfId="0" applyNumberFormat="1" applyFont="1" applyFill="1" applyBorder="1" applyAlignment="1">
      <alignment horizontal="right" vertical="center" wrapText="1"/>
    </xf>
    <xf numFmtId="43" fontId="144" fillId="20" borderId="71" xfId="2" applyFont="1" applyFill="1" applyBorder="1" applyAlignment="1">
      <alignment horizontal="right" vertical="center" wrapText="1"/>
    </xf>
    <xf numFmtId="4" fontId="144" fillId="20" borderId="71" xfId="2" applyNumberFormat="1" applyFont="1" applyFill="1" applyBorder="1" applyAlignment="1">
      <alignment horizontal="right" vertical="center" wrapText="1"/>
    </xf>
    <xf numFmtId="4" fontId="143" fillId="20" borderId="71" xfId="0" applyNumberFormat="1" applyFont="1" applyFill="1" applyBorder="1" applyAlignment="1">
      <alignment horizontal="right" vertical="center" wrapText="1"/>
    </xf>
    <xf numFmtId="0" fontId="58" fillId="35" borderId="71" xfId="0" applyFont="1" applyFill="1" applyBorder="1" applyAlignment="1">
      <alignment vertical="center" wrapText="1"/>
    </xf>
    <xf numFmtId="180" fontId="85" fillId="2" borderId="71" xfId="0" applyNumberFormat="1" applyFont="1" applyFill="1" applyBorder="1" applyAlignment="1">
      <alignment horizontal="right" wrapText="1"/>
    </xf>
    <xf numFmtId="6" fontId="114" fillId="2" borderId="71" xfId="0" applyNumberFormat="1" applyFont="1" applyFill="1" applyBorder="1" applyAlignment="1">
      <alignment horizontal="right" wrapText="1"/>
    </xf>
    <xf numFmtId="9" fontId="113" fillId="0" borderId="71" xfId="3" applyFont="1" applyBorder="1" applyAlignment="1" applyProtection="1">
      <alignment horizontal="right"/>
    </xf>
    <xf numFmtId="9" fontId="107" fillId="42" borderId="71" xfId="3" applyFont="1" applyFill="1" applyBorder="1" applyAlignment="1">
      <alignment vertical="center"/>
    </xf>
    <xf numFmtId="49" fontId="194" fillId="2" borderId="71" xfId="0" applyNumberFormat="1" applyFont="1" applyFill="1" applyBorder="1" applyAlignment="1">
      <alignment horizontal="right"/>
    </xf>
    <xf numFmtId="0" fontId="113" fillId="2" borderId="71" xfId="0" applyFont="1" applyFill="1" applyBorder="1" applyAlignment="1">
      <alignment horizontal="right"/>
    </xf>
    <xf numFmtId="49" fontId="113" fillId="2" borderId="71" xfId="0" applyNumberFormat="1" applyFont="1" applyFill="1" applyBorder="1" applyAlignment="1">
      <alignment horizontal="right"/>
    </xf>
    <xf numFmtId="49" fontId="85" fillId="2" borderId="71" xfId="0" applyNumberFormat="1" applyFont="1" applyFill="1" applyBorder="1" applyAlignment="1">
      <alignment horizontal="right"/>
    </xf>
    <xf numFmtId="49" fontId="117" fillId="2" borderId="71" xfId="0" applyNumberFormat="1" applyFont="1" applyFill="1" applyBorder="1" applyAlignment="1">
      <alignment horizontal="right"/>
    </xf>
    <xf numFmtId="49" fontId="117" fillId="0" borderId="71" xfId="3" applyNumberFormat="1" applyFont="1" applyBorder="1" applyAlignment="1" applyProtection="1">
      <alignment horizontal="right"/>
    </xf>
    <xf numFmtId="49" fontId="117" fillId="0" borderId="71" xfId="2" applyNumberFormat="1" applyFont="1" applyBorder="1" applyAlignment="1" applyProtection="1">
      <alignment horizontal="right" wrapText="1"/>
    </xf>
    <xf numFmtId="6" fontId="85" fillId="2" borderId="71" xfId="0" applyNumberFormat="1" applyFont="1" applyFill="1" applyBorder="1"/>
    <xf numFmtId="0" fontId="117" fillId="2" borderId="71" xfId="0" applyFont="1" applyFill="1" applyBorder="1" applyAlignment="1">
      <alignment horizontal="right"/>
    </xf>
    <xf numFmtId="9" fontId="117" fillId="0" borderId="71" xfId="3" applyFont="1" applyBorder="1" applyAlignment="1" applyProtection="1">
      <alignment horizontal="right"/>
    </xf>
    <xf numFmtId="168" fontId="117" fillId="0" borderId="71" xfId="2" applyNumberFormat="1" applyFont="1" applyBorder="1" applyAlignment="1" applyProtection="1">
      <alignment horizontal="right" vertical="center" wrapText="1"/>
    </xf>
    <xf numFmtId="0" fontId="118" fillId="2" borderId="71" xfId="0" applyFont="1" applyFill="1" applyBorder="1" applyAlignment="1">
      <alignment vertical="center" wrapText="1"/>
    </xf>
    <xf numFmtId="166" fontId="86" fillId="20" borderId="71" xfId="0" applyNumberFormat="1" applyFont="1" applyFill="1" applyBorder="1" applyAlignment="1">
      <alignment vertical="center"/>
    </xf>
    <xf numFmtId="3" fontId="118" fillId="0" borderId="71" xfId="0" applyNumberFormat="1" applyFont="1" applyBorder="1" applyAlignment="1">
      <alignment vertical="center" wrapText="1"/>
    </xf>
    <xf numFmtId="3" fontId="116" fillId="2" borderId="71" xfId="0" applyNumberFormat="1" applyFont="1" applyFill="1" applyBorder="1" applyAlignment="1">
      <alignment vertical="center" wrapText="1"/>
    </xf>
    <xf numFmtId="0" fontId="118" fillId="2" borderId="71" xfId="0" applyFont="1" applyFill="1" applyBorder="1" applyAlignment="1">
      <alignment horizontal="right" vertical="center" wrapText="1"/>
    </xf>
    <xf numFmtId="0" fontId="113" fillId="2" borderId="71" xfId="0" applyFont="1" applyFill="1" applyBorder="1" applyAlignment="1">
      <alignment horizontal="left" vertical="center" indent="2"/>
    </xf>
    <xf numFmtId="166" fontId="85" fillId="20" borderId="71" xfId="0" applyNumberFormat="1" applyFont="1" applyFill="1" applyBorder="1" applyAlignment="1">
      <alignment vertical="center"/>
    </xf>
    <xf numFmtId="166" fontId="117" fillId="0" borderId="71" xfId="0" applyNumberFormat="1" applyFont="1" applyBorder="1" applyAlignment="1">
      <alignment vertical="center"/>
    </xf>
    <xf numFmtId="166" fontId="113" fillId="2" borderId="71" xfId="0" applyNumberFormat="1" applyFont="1" applyFill="1" applyBorder="1" applyAlignment="1">
      <alignment vertical="center"/>
    </xf>
    <xf numFmtId="0" fontId="113" fillId="2" borderId="71" xfId="0" applyFont="1" applyFill="1" applyBorder="1" applyAlignment="1">
      <alignment horizontal="left" indent="4"/>
    </xf>
    <xf numFmtId="166" fontId="117" fillId="0" borderId="71" xfId="2" applyNumberFormat="1" applyFont="1" applyFill="1" applyBorder="1" applyAlignment="1" applyProtection="1">
      <alignment vertical="center"/>
    </xf>
    <xf numFmtId="166" fontId="114" fillId="0" borderId="71" xfId="2" applyNumberFormat="1" applyFont="1" applyBorder="1" applyAlignment="1" applyProtection="1">
      <alignment vertical="center"/>
    </xf>
    <xf numFmtId="166" fontId="114" fillId="2" borderId="71" xfId="2" applyNumberFormat="1" applyFont="1" applyFill="1" applyBorder="1" applyAlignment="1" applyProtection="1">
      <alignment vertical="center"/>
    </xf>
    <xf numFmtId="0" fontId="119" fillId="0" borderId="71" xfId="0" applyFont="1" applyBorder="1" applyAlignment="1">
      <alignment vertical="center"/>
    </xf>
    <xf numFmtId="0" fontId="119" fillId="20" borderId="71" xfId="0" applyFont="1" applyFill="1" applyBorder="1" applyAlignment="1">
      <alignment vertical="center"/>
    </xf>
    <xf numFmtId="0" fontId="113" fillId="0" borderId="71" xfId="0" applyFont="1" applyBorder="1" applyAlignment="1">
      <alignment horizontal="right" wrapText="1"/>
    </xf>
    <xf numFmtId="0" fontId="113" fillId="20" borderId="71" xfId="0" applyFont="1" applyFill="1" applyBorder="1" applyAlignment="1">
      <alignment horizontal="left" indent="2"/>
    </xf>
    <xf numFmtId="166" fontId="113" fillId="0" borderId="71" xfId="2" applyNumberFormat="1" applyFont="1" applyBorder="1" applyAlignment="1" applyProtection="1">
      <alignment horizontal="center" vertical="center" wrapText="1"/>
    </xf>
    <xf numFmtId="0" fontId="116" fillId="2" borderId="71" xfId="0" applyFont="1" applyFill="1" applyBorder="1" applyAlignment="1">
      <alignment horizontal="left" wrapText="1" indent="2"/>
    </xf>
    <xf numFmtId="0" fontId="116" fillId="20" borderId="71" xfId="0" applyFont="1" applyFill="1" applyBorder="1" applyAlignment="1">
      <alignment horizontal="left" wrapText="1" indent="2"/>
    </xf>
    <xf numFmtId="166" fontId="114" fillId="0" borderId="71" xfId="2" applyNumberFormat="1" applyFont="1" applyBorder="1" applyAlignment="1" applyProtection="1">
      <alignment horizontal="center" vertical="center" wrapText="1"/>
    </xf>
    <xf numFmtId="0" fontId="171" fillId="2" borderId="71" xfId="0" applyFont="1" applyFill="1" applyBorder="1" applyAlignment="1">
      <alignment horizontal="left" wrapText="1" indent="2"/>
    </xf>
    <xf numFmtId="0" fontId="114" fillId="20" borderId="71" xfId="0" applyFont="1" applyFill="1" applyBorder="1" applyAlignment="1">
      <alignment horizontal="center" vertical="center" wrapText="1"/>
    </xf>
    <xf numFmtId="9" fontId="113" fillId="0" borderId="71" xfId="3" applyFont="1" applyBorder="1" applyAlignment="1" applyProtection="1">
      <alignment horizontal="right" vertical="center" wrapText="1"/>
    </xf>
    <xf numFmtId="9" fontId="113" fillId="0" borderId="71" xfId="3" applyFont="1" applyBorder="1" applyAlignment="1" applyProtection="1">
      <alignment horizontal="center" vertical="center" wrapText="1"/>
    </xf>
    <xf numFmtId="0" fontId="171" fillId="0" borderId="71" xfId="0" applyFont="1" applyBorder="1" applyAlignment="1">
      <alignment vertical="center"/>
    </xf>
    <xf numFmtId="0" fontId="113" fillId="0" borderId="71" xfId="0" applyFont="1" applyBorder="1"/>
    <xf numFmtId="0" fontId="119" fillId="2" borderId="71" xfId="0" applyFont="1" applyFill="1" applyBorder="1" applyAlignment="1">
      <alignment horizontal="left" wrapText="1"/>
    </xf>
    <xf numFmtId="0" fontId="113" fillId="0" borderId="71" xfId="0" applyFont="1" applyBorder="1" applyAlignment="1">
      <alignment vertical="center" wrapText="1"/>
    </xf>
    <xf numFmtId="9" fontId="114" fillId="0" borderId="71" xfId="3" applyFont="1" applyBorder="1" applyAlignment="1" applyProtection="1">
      <alignment horizontal="right" vertical="center" wrapText="1"/>
    </xf>
    <xf numFmtId="9" fontId="198" fillId="20" borderId="71" xfId="3" applyFont="1" applyFill="1" applyBorder="1" applyAlignment="1">
      <alignment horizontal="right" wrapText="1"/>
    </xf>
    <xf numFmtId="2" fontId="104" fillId="2" borderId="0" xfId="0" applyNumberFormat="1" applyFont="1" applyFill="1"/>
    <xf numFmtId="0" fontId="7" fillId="0" borderId="30" xfId="0" applyFont="1" applyBorder="1" applyAlignment="1">
      <alignment vertical="center" wrapText="1"/>
    </xf>
    <xf numFmtId="0" fontId="7" fillId="0" borderId="71" xfId="0" applyFont="1" applyBorder="1" applyAlignment="1">
      <alignment horizontal="left" vertical="center" wrapText="1"/>
    </xf>
    <xf numFmtId="0" fontId="193" fillId="2" borderId="0" xfId="0" applyFont="1" applyFill="1" applyAlignment="1">
      <alignment vertical="center" wrapText="1"/>
    </xf>
    <xf numFmtId="0" fontId="194" fillId="2" borderId="30" xfId="0" applyFont="1" applyFill="1" applyBorder="1" applyAlignment="1">
      <alignment horizontal="left" vertical="center" wrapText="1" indent="3"/>
    </xf>
    <xf numFmtId="0" fontId="7" fillId="2" borderId="30" xfId="0" applyFont="1" applyFill="1" applyBorder="1" applyAlignment="1">
      <alignment vertical="center" wrapText="1"/>
    </xf>
    <xf numFmtId="0" fontId="146" fillId="37" borderId="0" xfId="0" applyFont="1" applyFill="1" applyAlignment="1">
      <alignment horizontal="center" vertical="center"/>
    </xf>
    <xf numFmtId="0" fontId="114" fillId="2" borderId="0" xfId="1" applyFont="1" applyFill="1" applyAlignment="1" applyProtection="1">
      <alignment horizontal="left" vertical="center" wrapText="1"/>
    </xf>
    <xf numFmtId="0" fontId="114" fillId="7" borderId="0" xfId="0" applyFont="1" applyFill="1" applyAlignment="1">
      <alignment horizontal="left" vertical="center" wrapText="1"/>
    </xf>
    <xf numFmtId="0" fontId="86" fillId="10" borderId="30" xfId="0" applyFont="1" applyFill="1" applyBorder="1" applyAlignment="1">
      <alignment horizontal="left" vertical="center"/>
    </xf>
    <xf numFmtId="0" fontId="86" fillId="10" borderId="30" xfId="0" applyFont="1" applyFill="1" applyBorder="1" applyAlignment="1">
      <alignment horizontal="left" vertical="center" wrapText="1"/>
    </xf>
    <xf numFmtId="0" fontId="86" fillId="10" borderId="31" xfId="0" applyFont="1" applyFill="1" applyBorder="1" applyAlignment="1">
      <alignment horizontal="left" vertical="center"/>
    </xf>
    <xf numFmtId="0" fontId="86" fillId="8" borderId="31" xfId="0" applyFont="1" applyFill="1" applyBorder="1" applyAlignment="1">
      <alignment horizontal="left" vertical="center"/>
    </xf>
    <xf numFmtId="0" fontId="101" fillId="4" borderId="0" xfId="0" applyFont="1" applyFill="1" applyAlignment="1">
      <alignment horizontal="left" vertical="top" wrapText="1" indent="1"/>
    </xf>
    <xf numFmtId="0" fontId="12" fillId="4" borderId="0" xfId="0" applyFont="1" applyFill="1" applyAlignment="1">
      <alignment horizontal="left" vertical="top" wrapText="1" indent="1"/>
    </xf>
    <xf numFmtId="0" fontId="7" fillId="35" borderId="0" xfId="0" applyFont="1" applyFill="1" applyAlignment="1">
      <alignment horizontal="left" vertical="top" wrapText="1"/>
    </xf>
    <xf numFmtId="0" fontId="50" fillId="35" borderId="0" xfId="0" applyFont="1" applyFill="1" applyAlignment="1">
      <alignment horizontal="left" vertical="center"/>
    </xf>
    <xf numFmtId="0" fontId="12" fillId="4" borderId="0" xfId="0" applyFont="1" applyFill="1" applyAlignment="1">
      <alignment horizontal="left" vertical="center" wrapText="1" indent="1"/>
    </xf>
    <xf numFmtId="0" fontId="12" fillId="4" borderId="0" xfId="0" applyFont="1" applyFill="1" applyAlignment="1">
      <alignment horizontal="left" vertical="top" wrapText="1"/>
    </xf>
    <xf numFmtId="0" fontId="12" fillId="4" borderId="0" xfId="0" applyFont="1" applyFill="1" applyAlignment="1">
      <alignment horizontal="left" vertical="top" wrapText="1" indent="3"/>
    </xf>
    <xf numFmtId="0" fontId="141" fillId="2" borderId="0" xfId="0" applyFont="1" applyFill="1" applyAlignment="1">
      <alignment horizontal="left" vertical="top" wrapText="1"/>
    </xf>
    <xf numFmtId="0" fontId="62" fillId="32" borderId="57" xfId="0" applyFont="1" applyFill="1" applyBorder="1" applyAlignment="1">
      <alignment horizontal="center" vertical="center"/>
    </xf>
    <xf numFmtId="0" fontId="62" fillId="32" borderId="58" xfId="0" applyFont="1" applyFill="1" applyBorder="1" applyAlignment="1">
      <alignment horizontal="center" vertical="center"/>
    </xf>
    <xf numFmtId="0" fontId="62" fillId="32" borderId="59" xfId="0" applyFont="1" applyFill="1" applyBorder="1" applyAlignment="1">
      <alignment horizontal="center" vertical="center"/>
    </xf>
    <xf numFmtId="0" fontId="62" fillId="36" borderId="57" xfId="0" applyFont="1" applyFill="1" applyBorder="1" applyAlignment="1">
      <alignment horizontal="center" vertical="center"/>
    </xf>
    <xf numFmtId="0" fontId="62" fillId="36" borderId="58" xfId="0" applyFont="1" applyFill="1" applyBorder="1" applyAlignment="1">
      <alignment horizontal="center" vertical="center"/>
    </xf>
    <xf numFmtId="0" fontId="21" fillId="31" borderId="54" xfId="0" applyFont="1" applyFill="1" applyBorder="1" applyAlignment="1">
      <alignment horizontal="left" vertical="center" indent="1"/>
    </xf>
    <xf numFmtId="0" fontId="21" fillId="31" borderId="55" xfId="0" applyFont="1" applyFill="1" applyBorder="1" applyAlignment="1">
      <alignment horizontal="left" vertical="center" indent="1"/>
    </xf>
    <xf numFmtId="0" fontId="188" fillId="12" borderId="31" xfId="0" applyFont="1" applyFill="1" applyBorder="1" applyAlignment="1">
      <alignment horizontal="left" vertical="center" wrapText="1"/>
    </xf>
    <xf numFmtId="0" fontId="188" fillId="12" borderId="32" xfId="0" applyFont="1" applyFill="1" applyBorder="1" applyAlignment="1">
      <alignment horizontal="left" vertical="center" wrapText="1"/>
    </xf>
    <xf numFmtId="0" fontId="186" fillId="0" borderId="31" xfId="0" applyFont="1" applyBorder="1" applyAlignment="1">
      <alignment horizontal="right" vertical="center"/>
    </xf>
    <xf numFmtId="0" fontId="186" fillId="0" borderId="32" xfId="0" applyFont="1" applyBorder="1" applyAlignment="1">
      <alignment horizontal="right" vertical="center"/>
    </xf>
    <xf numFmtId="0" fontId="116" fillId="12" borderId="31" xfId="0" applyFont="1" applyFill="1" applyBorder="1" applyAlignment="1">
      <alignment horizontal="left" vertical="center" wrapText="1"/>
    </xf>
    <xf numFmtId="0" fontId="116" fillId="12" borderId="32" xfId="0" applyFont="1" applyFill="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65" fillId="14" borderId="35" xfId="0" applyFont="1" applyFill="1" applyBorder="1" applyAlignment="1">
      <alignment horizontal="left" vertical="center" wrapText="1"/>
    </xf>
    <xf numFmtId="0" fontId="65" fillId="14" borderId="30" xfId="0" applyFont="1" applyFill="1" applyBorder="1" applyAlignment="1">
      <alignment horizontal="left" vertical="center" wrapText="1"/>
    </xf>
    <xf numFmtId="0" fontId="12" fillId="2" borderId="30" xfId="0" applyFont="1" applyFill="1" applyBorder="1" applyAlignment="1">
      <alignment horizontal="right" vertical="center" wrapText="1"/>
    </xf>
    <xf numFmtId="0" fontId="12" fillId="0" borderId="30" xfId="0" applyFont="1" applyBorder="1" applyAlignment="1">
      <alignment horizontal="right" vertical="center"/>
    </xf>
    <xf numFmtId="0" fontId="119" fillId="12" borderId="30" xfId="0" applyFont="1" applyFill="1" applyBorder="1" applyAlignment="1">
      <alignment horizontal="left" vertical="center" wrapText="1"/>
    </xf>
    <xf numFmtId="0" fontId="119" fillId="12" borderId="31" xfId="0" applyFont="1" applyFill="1" applyBorder="1" applyAlignment="1">
      <alignment horizontal="left" vertical="center" wrapText="1"/>
    </xf>
    <xf numFmtId="0" fontId="65" fillId="14" borderId="34" xfId="0" applyFont="1" applyFill="1" applyBorder="1" applyAlignment="1">
      <alignment horizontal="left" vertical="center" wrapText="1"/>
    </xf>
    <xf numFmtId="0" fontId="65" fillId="14" borderId="36" xfId="0" applyFont="1" applyFill="1" applyBorder="1" applyAlignment="1">
      <alignment horizontal="left" vertical="center" wrapTex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16" fillId="12" borderId="33" xfId="0" applyFont="1" applyFill="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3" fillId="0" borderId="33" xfId="0" applyFont="1" applyBorder="1" applyAlignment="1">
      <alignment horizontal="left" vertical="center" wrapText="1"/>
    </xf>
    <xf numFmtId="0" fontId="186" fillId="0" borderId="33" xfId="0" applyFont="1" applyBorder="1" applyAlignment="1">
      <alignment horizontal="right" vertical="center"/>
    </xf>
    <xf numFmtId="0" fontId="185" fillId="0" borderId="31" xfId="0" applyFont="1" applyBorder="1" applyAlignment="1">
      <alignment horizontal="left" vertical="center" wrapText="1"/>
    </xf>
    <xf numFmtId="0" fontId="185" fillId="0" borderId="32" xfId="0" applyFont="1" applyBorder="1" applyAlignment="1">
      <alignment horizontal="left" vertical="center" wrapText="1"/>
    </xf>
    <xf numFmtId="0" fontId="186" fillId="0" borderId="31" xfId="0" applyFont="1" applyBorder="1" applyAlignment="1">
      <alignment horizontal="left" vertical="center" wrapText="1"/>
    </xf>
    <xf numFmtId="0" fontId="186" fillId="0" borderId="32" xfId="0" applyFont="1" applyBorder="1" applyAlignment="1">
      <alignment horizontal="left" vertical="center" wrapText="1"/>
    </xf>
    <xf numFmtId="0" fontId="116" fillId="32" borderId="31" xfId="0" applyFont="1" applyFill="1" applyBorder="1" applyAlignment="1">
      <alignment horizontal="center" vertical="center"/>
    </xf>
    <xf numFmtId="0" fontId="116" fillId="32" borderId="33" xfId="0" applyFont="1" applyFill="1" applyBorder="1" applyAlignment="1">
      <alignment horizontal="center" vertical="center"/>
    </xf>
    <xf numFmtId="0" fontId="116" fillId="32" borderId="32" xfId="0" applyFont="1" applyFill="1" applyBorder="1" applyAlignment="1">
      <alignment horizontal="center" vertical="center"/>
    </xf>
    <xf numFmtId="0" fontId="116" fillId="36" borderId="31" xfId="0" applyFont="1" applyFill="1" applyBorder="1" applyAlignment="1">
      <alignment horizontal="center" vertical="center"/>
    </xf>
    <xf numFmtId="0" fontId="116" fillId="36" borderId="33" xfId="0" applyFont="1" applyFill="1" applyBorder="1" applyAlignment="1">
      <alignment horizontal="center" vertical="center"/>
    </xf>
    <xf numFmtId="0" fontId="116" fillId="36" borderId="32" xfId="0" applyFont="1" applyFill="1" applyBorder="1" applyAlignment="1">
      <alignment horizontal="center" vertical="center"/>
    </xf>
    <xf numFmtId="0" fontId="116" fillId="36" borderId="31" xfId="0" applyFont="1" applyFill="1" applyBorder="1" applyAlignment="1">
      <alignment horizontal="center" vertical="center" wrapText="1"/>
    </xf>
    <xf numFmtId="0" fontId="116" fillId="36" borderId="33" xfId="0" applyFont="1" applyFill="1" applyBorder="1" applyAlignment="1">
      <alignment horizontal="center" vertical="center" wrapText="1"/>
    </xf>
    <xf numFmtId="0" fontId="116" fillId="36" borderId="32" xfId="0" applyFont="1" applyFill="1" applyBorder="1" applyAlignment="1">
      <alignment horizontal="center" vertical="center" wrapText="1"/>
    </xf>
    <xf numFmtId="0" fontId="116" fillId="12" borderId="30" xfId="0" applyFont="1" applyFill="1" applyBorder="1" applyAlignment="1">
      <alignment horizontal="left" vertical="center" wrapText="1"/>
    </xf>
    <xf numFmtId="0" fontId="12" fillId="0" borderId="30" xfId="0" applyFont="1" applyBorder="1" applyAlignment="1">
      <alignment horizontal="right" vertical="center" wrapText="1"/>
    </xf>
    <xf numFmtId="0" fontId="64" fillId="0" borderId="30" xfId="0" applyFont="1" applyBorder="1" applyAlignment="1">
      <alignment horizontal="left" vertical="center" wrapText="1"/>
    </xf>
    <xf numFmtId="0" fontId="116" fillId="12" borderId="30" xfId="0" applyFont="1" applyFill="1" applyBorder="1" applyAlignment="1">
      <alignment horizontal="center" vertical="center" wrapText="1"/>
    </xf>
    <xf numFmtId="0" fontId="13" fillId="15" borderId="30" xfId="0" applyFont="1" applyFill="1" applyBorder="1" applyAlignment="1">
      <alignment horizontal="center" vertical="center"/>
    </xf>
    <xf numFmtId="0" fontId="12" fillId="0" borderId="30" xfId="1" applyFont="1" applyFill="1" applyBorder="1" applyAlignment="1" applyProtection="1">
      <alignment horizontal="right" vertical="center" wrapText="1"/>
    </xf>
    <xf numFmtId="0" fontId="187" fillId="0" borderId="31" xfId="0" applyFont="1" applyBorder="1" applyAlignment="1">
      <alignment horizontal="left" vertical="center" wrapText="1"/>
    </xf>
    <xf numFmtId="0" fontId="187" fillId="0" borderId="32" xfId="0" applyFont="1" applyBorder="1" applyAlignment="1">
      <alignment horizontal="left" vertical="center" wrapText="1"/>
    </xf>
    <xf numFmtId="0" fontId="59" fillId="2" borderId="0" xfId="0" applyFont="1" applyFill="1" applyAlignment="1">
      <alignment horizontal="left" vertical="center"/>
    </xf>
    <xf numFmtId="0" fontId="65" fillId="14" borderId="68" xfId="0" applyFont="1" applyFill="1" applyBorder="1" applyAlignment="1">
      <alignment horizontal="left" vertical="center" wrapText="1"/>
    </xf>
    <xf numFmtId="0" fontId="65" fillId="14" borderId="32" xfId="0" applyFont="1" applyFill="1" applyBorder="1" applyAlignment="1">
      <alignment horizontal="left" vertical="center" wrapText="1"/>
    </xf>
    <xf numFmtId="0" fontId="65" fillId="14" borderId="69" xfId="0" applyFont="1" applyFill="1" applyBorder="1" applyAlignment="1">
      <alignment horizontal="left" vertical="center" wrapText="1"/>
    </xf>
    <xf numFmtId="0" fontId="116" fillId="12" borderId="35" xfId="0" applyFont="1" applyFill="1" applyBorder="1" applyAlignment="1">
      <alignment horizontal="left" vertical="center" wrapText="1"/>
    </xf>
    <xf numFmtId="0" fontId="116" fillId="12" borderId="39" xfId="0" applyFont="1" applyFill="1" applyBorder="1" applyAlignment="1">
      <alignment horizontal="left" vertical="center" wrapText="1"/>
    </xf>
    <xf numFmtId="0" fontId="114" fillId="0" borderId="60" xfId="0" applyFont="1" applyBorder="1" applyAlignment="1">
      <alignment horizontal="left" vertical="center" wrapText="1"/>
    </xf>
    <xf numFmtId="0" fontId="114" fillId="0" borderId="60" xfId="0" applyFont="1" applyBorder="1" applyAlignment="1">
      <alignment vertical="center"/>
    </xf>
    <xf numFmtId="0" fontId="62" fillId="35" borderId="60" xfId="0" applyFont="1" applyFill="1" applyBorder="1" applyAlignment="1">
      <alignment horizontal="left" vertical="center" wrapText="1"/>
    </xf>
    <xf numFmtId="0" fontId="62" fillId="35" borderId="60" xfId="0" applyFont="1" applyFill="1" applyBorder="1" applyAlignment="1">
      <alignment horizontal="left" vertical="center"/>
    </xf>
    <xf numFmtId="0" fontId="103" fillId="35" borderId="31" xfId="0" applyFont="1" applyFill="1" applyBorder="1" applyAlignment="1">
      <alignment horizontal="center" vertical="center" wrapText="1"/>
    </xf>
    <xf numFmtId="0" fontId="116" fillId="32" borderId="30" xfId="0" applyFont="1" applyFill="1" applyBorder="1" applyAlignment="1">
      <alignment horizontal="center" vertical="center" wrapText="1"/>
    </xf>
    <xf numFmtId="0" fontId="116" fillId="32" borderId="44" xfId="0" applyFont="1" applyFill="1" applyBorder="1" applyAlignment="1">
      <alignment horizontal="center" vertical="center" wrapText="1"/>
    </xf>
    <xf numFmtId="0" fontId="79" fillId="31" borderId="48" xfId="0" applyFont="1" applyFill="1" applyBorder="1" applyAlignment="1">
      <alignment horizontal="center" vertical="center" wrapText="1"/>
    </xf>
    <xf numFmtId="0" fontId="116" fillId="32" borderId="31" xfId="0" applyFont="1" applyFill="1" applyBorder="1" applyAlignment="1">
      <alignment horizontal="center" vertical="center" wrapText="1"/>
    </xf>
    <xf numFmtId="0" fontId="116" fillId="32" borderId="46" xfId="0" applyFont="1" applyFill="1" applyBorder="1" applyAlignment="1">
      <alignment horizontal="center" vertical="center" wrapText="1"/>
    </xf>
    <xf numFmtId="0" fontId="13" fillId="0" borderId="30" xfId="0" applyFont="1" applyBorder="1" applyAlignment="1">
      <alignment horizontal="left" vertical="center" wrapText="1"/>
    </xf>
    <xf numFmtId="0" fontId="12" fillId="2" borderId="31" xfId="0" applyFont="1" applyFill="1" applyBorder="1" applyAlignment="1">
      <alignment horizontal="right" vertical="center" wrapText="1"/>
    </xf>
    <xf numFmtId="0" fontId="19" fillId="13" borderId="65" xfId="0" applyFont="1" applyFill="1" applyBorder="1" applyAlignment="1">
      <alignment horizontal="left" vertical="center"/>
    </xf>
    <xf numFmtId="0" fontId="19" fillId="13" borderId="66" xfId="0" applyFont="1" applyFill="1" applyBorder="1" applyAlignment="1">
      <alignment horizontal="left" vertical="center"/>
    </xf>
    <xf numFmtId="0" fontId="19" fillId="13" borderId="38" xfId="0" applyFont="1" applyFill="1" applyBorder="1" applyAlignment="1">
      <alignment horizontal="left" vertical="center"/>
    </xf>
    <xf numFmtId="0" fontId="19" fillId="13" borderId="67" xfId="0" applyFont="1" applyFill="1" applyBorder="1" applyAlignment="1">
      <alignment horizontal="left" vertical="center"/>
    </xf>
    <xf numFmtId="0" fontId="12" fillId="0" borderId="33" xfId="0" applyFont="1" applyBorder="1" applyAlignment="1">
      <alignment horizontal="right" vertical="center"/>
    </xf>
    <xf numFmtId="0" fontId="12" fillId="0" borderId="32" xfId="0" applyFont="1" applyBorder="1" applyAlignment="1">
      <alignment horizontal="right" vertical="center"/>
    </xf>
    <xf numFmtId="0" fontId="12" fillId="0" borderId="31" xfId="0" applyFont="1" applyBorder="1" applyAlignment="1">
      <alignment horizontal="right" vertical="center" wrapText="1"/>
    </xf>
    <xf numFmtId="0" fontId="12" fillId="0" borderId="32" xfId="0" applyFont="1" applyBorder="1" applyAlignment="1">
      <alignment horizontal="right" vertical="center" wrapText="1"/>
    </xf>
    <xf numFmtId="0" fontId="113" fillId="2" borderId="0" xfId="0" applyFont="1" applyFill="1" applyAlignment="1">
      <alignment horizontal="left" vertical="center" wrapText="1"/>
    </xf>
    <xf numFmtId="0" fontId="115" fillId="2" borderId="0" xfId="0" applyFont="1" applyFill="1" applyAlignment="1">
      <alignment horizontal="center" vertical="center" wrapText="1"/>
    </xf>
    <xf numFmtId="0" fontId="115" fillId="2" borderId="0" xfId="0" applyFont="1" applyFill="1" applyAlignment="1">
      <alignment horizontal="left" vertical="center" wrapText="1"/>
    </xf>
    <xf numFmtId="0" fontId="19" fillId="35" borderId="30" xfId="0" applyFont="1" applyFill="1" applyBorder="1" applyAlignment="1">
      <alignment horizontal="left" vertical="center" wrapText="1"/>
    </xf>
    <xf numFmtId="0" fontId="19" fillId="13" borderId="39" xfId="0" applyFont="1" applyFill="1" applyBorder="1" applyAlignment="1">
      <alignment horizontal="left" vertical="center"/>
    </xf>
    <xf numFmtId="0" fontId="103" fillId="35" borderId="30" xfId="0" applyFont="1" applyFill="1" applyBorder="1" applyAlignment="1">
      <alignment horizontal="center" vertical="center" wrapText="1"/>
    </xf>
    <xf numFmtId="0" fontId="19" fillId="35" borderId="30" xfId="0" applyFont="1" applyFill="1" applyBorder="1" applyAlignment="1">
      <alignment horizontal="center" vertical="center" wrapText="1"/>
    </xf>
    <xf numFmtId="0" fontId="13" fillId="15" borderId="30" xfId="0" applyFont="1" applyFill="1" applyBorder="1" applyAlignment="1">
      <alignment horizontal="center" vertical="center" wrapText="1"/>
    </xf>
    <xf numFmtId="0" fontId="12" fillId="15" borderId="37" xfId="0" applyFont="1" applyFill="1" applyBorder="1" applyAlignment="1">
      <alignment horizontal="center" vertical="center" wrapText="1"/>
    </xf>
    <xf numFmtId="0" fontId="12" fillId="15" borderId="31" xfId="0" applyFont="1" applyFill="1" applyBorder="1" applyAlignment="1">
      <alignment horizontal="center" vertical="center" wrapText="1"/>
    </xf>
    <xf numFmtId="0" fontId="12" fillId="15" borderId="47" xfId="0" applyFont="1" applyFill="1" applyBorder="1" applyAlignment="1">
      <alignment horizontal="center" vertical="center" wrapText="1"/>
    </xf>
    <xf numFmtId="0" fontId="12" fillId="15" borderId="44" xfId="0" applyFont="1" applyFill="1" applyBorder="1" applyAlignment="1">
      <alignment horizontal="center" vertical="center" wrapText="1"/>
    </xf>
    <xf numFmtId="0" fontId="119" fillId="12" borderId="44" xfId="0" applyFont="1" applyFill="1" applyBorder="1" applyAlignment="1">
      <alignment horizontal="left" vertical="center" wrapText="1"/>
    </xf>
    <xf numFmtId="0" fontId="79" fillId="2" borderId="0" xfId="0" applyFont="1" applyFill="1" applyAlignment="1">
      <alignment horizontal="center" vertical="center" wrapText="1"/>
    </xf>
    <xf numFmtId="0" fontId="116" fillId="32" borderId="33" xfId="0" applyFont="1" applyFill="1" applyBorder="1" applyAlignment="1">
      <alignment horizontal="center" vertical="center" wrapText="1"/>
    </xf>
    <xf numFmtId="0" fontId="116" fillId="32" borderId="32" xfId="0" applyFont="1" applyFill="1" applyBorder="1" applyAlignment="1">
      <alignment horizontal="center" vertical="center" wrapText="1"/>
    </xf>
    <xf numFmtId="0" fontId="79" fillId="31" borderId="31" xfId="0" applyFont="1" applyFill="1" applyBorder="1" applyAlignment="1">
      <alignment horizontal="center" vertical="center" wrapText="1"/>
    </xf>
    <xf numFmtId="0" fontId="79" fillId="31" borderId="32" xfId="0" applyFont="1" applyFill="1" applyBorder="1" applyAlignment="1">
      <alignment horizontal="center" vertical="center" wrapText="1"/>
    </xf>
    <xf numFmtId="0" fontId="12" fillId="0" borderId="31" xfId="0" applyFont="1" applyBorder="1" applyAlignment="1">
      <alignment horizontal="right" vertical="center"/>
    </xf>
    <xf numFmtId="0" fontId="116" fillId="31" borderId="31" xfId="0" applyFont="1" applyFill="1" applyBorder="1" applyAlignment="1">
      <alignment horizontal="center" vertical="center" wrapText="1"/>
    </xf>
    <xf numFmtId="0" fontId="116" fillId="31" borderId="33" xfId="0" applyFont="1" applyFill="1" applyBorder="1" applyAlignment="1">
      <alignment horizontal="center" vertical="center" wrapText="1"/>
    </xf>
    <xf numFmtId="0" fontId="116" fillId="31" borderId="32" xfId="0" applyFont="1" applyFill="1" applyBorder="1" applyAlignment="1">
      <alignment horizontal="center" vertical="center" wrapText="1"/>
    </xf>
    <xf numFmtId="0" fontId="186" fillId="0" borderId="31" xfId="0" applyFont="1" applyBorder="1" applyAlignment="1">
      <alignment horizontal="right" vertical="center" wrapText="1"/>
    </xf>
    <xf numFmtId="0" fontId="186" fillId="0" borderId="32" xfId="0" applyFont="1" applyBorder="1" applyAlignment="1">
      <alignment horizontal="right" vertical="center" wrapText="1"/>
    </xf>
    <xf numFmtId="0" fontId="189" fillId="0" borderId="31" xfId="0" applyFont="1" applyBorder="1" applyAlignment="1">
      <alignment horizontal="right" vertical="center" wrapText="1"/>
    </xf>
    <xf numFmtId="0" fontId="189" fillId="0" borderId="32" xfId="0" applyFont="1" applyBorder="1" applyAlignment="1">
      <alignment horizontal="right" vertical="center" wrapText="1"/>
    </xf>
    <xf numFmtId="0" fontId="185" fillId="0" borderId="33" xfId="0" applyFont="1" applyBorder="1" applyAlignment="1">
      <alignment horizontal="left" vertical="center" wrapText="1"/>
    </xf>
    <xf numFmtId="0" fontId="188" fillId="12" borderId="33" xfId="0" applyFont="1" applyFill="1" applyBorder="1" applyAlignment="1">
      <alignment horizontal="left" vertical="center" wrapText="1"/>
    </xf>
    <xf numFmtId="0" fontId="186" fillId="0" borderId="31" xfId="0" applyFont="1" applyBorder="1" applyAlignment="1">
      <alignment horizontal="center" vertical="center" wrapText="1"/>
    </xf>
    <xf numFmtId="0" fontId="186" fillId="0" borderId="32" xfId="0" applyFont="1" applyBorder="1" applyAlignment="1">
      <alignment horizontal="center" vertical="center" wrapText="1"/>
    </xf>
    <xf numFmtId="0" fontId="185" fillId="0" borderId="31" xfId="0" applyFont="1" applyBorder="1" applyAlignment="1">
      <alignment horizontal="center" vertical="center" wrapText="1"/>
    </xf>
    <xf numFmtId="0" fontId="185" fillId="0" borderId="32" xfId="0" applyFont="1" applyBorder="1" applyAlignment="1">
      <alignment horizontal="center" vertical="center" wrapText="1"/>
    </xf>
    <xf numFmtId="0" fontId="186" fillId="0" borderId="33" xfId="0" applyFont="1" applyBorder="1" applyAlignment="1">
      <alignment horizontal="right" vertical="center" wrapText="1"/>
    </xf>
    <xf numFmtId="0" fontId="116" fillId="2" borderId="42" xfId="0" applyFont="1" applyFill="1" applyBorder="1" applyAlignment="1">
      <alignment horizontal="left" vertical="center" wrapText="1"/>
    </xf>
    <xf numFmtId="0" fontId="116" fillId="2" borderId="7" xfId="0" applyFont="1" applyFill="1" applyBorder="1" applyAlignment="1">
      <alignment horizontal="left" vertical="center"/>
    </xf>
    <xf numFmtId="0" fontId="116" fillId="2" borderId="43" xfId="0" applyFont="1" applyFill="1" applyBorder="1" applyAlignment="1">
      <alignment horizontal="left" vertical="center"/>
    </xf>
    <xf numFmtId="0" fontId="59" fillId="0" borderId="0" xfId="0" applyFont="1" applyAlignment="1">
      <alignment horizontal="left" vertical="center"/>
    </xf>
    <xf numFmtId="0" fontId="107" fillId="2" borderId="0" xfId="0" applyFont="1" applyFill="1" applyAlignment="1">
      <alignment horizontal="left" vertical="top" wrapText="1"/>
    </xf>
    <xf numFmtId="0" fontId="193" fillId="2" borderId="31" xfId="0" applyFont="1" applyFill="1" applyBorder="1" applyAlignment="1">
      <alignment horizontal="left" vertical="center"/>
    </xf>
    <xf numFmtId="0" fontId="193" fillId="2" borderId="33" xfId="0" applyFont="1" applyFill="1" applyBorder="1" applyAlignment="1">
      <alignment horizontal="left" vertical="center"/>
    </xf>
    <xf numFmtId="0" fontId="193" fillId="2" borderId="32" xfId="0" applyFont="1" applyFill="1" applyBorder="1" applyAlignment="1">
      <alignment horizontal="left" vertical="center"/>
    </xf>
    <xf numFmtId="0" fontId="197" fillId="0" borderId="31" xfId="0" applyFont="1" applyBorder="1" applyAlignment="1">
      <alignment horizontal="left" vertical="center" wrapText="1"/>
    </xf>
    <xf numFmtId="0" fontId="197" fillId="0" borderId="33" xfId="0" applyFont="1" applyBorder="1" applyAlignment="1">
      <alignment horizontal="left" vertical="center" wrapText="1"/>
    </xf>
    <xf numFmtId="0" fontId="197" fillId="0" borderId="32" xfId="0" applyFont="1" applyBorder="1" applyAlignment="1">
      <alignment horizontal="left" vertical="center" wrapText="1"/>
    </xf>
    <xf numFmtId="0" fontId="193" fillId="2" borderId="31" xfId="0" applyFont="1" applyFill="1" applyBorder="1" applyAlignment="1">
      <alignment horizontal="center" vertical="center"/>
    </xf>
    <xf numFmtId="0" fontId="193" fillId="2" borderId="32" xfId="0" applyFont="1" applyFill="1" applyBorder="1" applyAlignment="1">
      <alignment horizontal="center" vertical="center"/>
    </xf>
    <xf numFmtId="0" fontId="27" fillId="2" borderId="0" xfId="0" applyFont="1" applyFill="1" applyAlignment="1">
      <alignment horizontal="left" vertical="center" wrapText="1"/>
    </xf>
    <xf numFmtId="0" fontId="65" fillId="0" borderId="30" xfId="0" applyFont="1" applyBorder="1" applyAlignment="1">
      <alignment horizontal="left" vertical="center" wrapText="1"/>
    </xf>
    <xf numFmtId="0" fontId="65" fillId="2" borderId="30" xfId="0" applyFont="1" applyFill="1" applyBorder="1" applyAlignment="1">
      <alignment horizontal="left" vertical="center" wrapText="1"/>
    </xf>
    <xf numFmtId="0" fontId="13" fillId="0" borderId="30" xfId="0" applyFont="1" applyBorder="1" applyAlignment="1">
      <alignment horizontal="left"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86" fillId="0" borderId="33" xfId="0" applyFont="1" applyBorder="1" applyAlignment="1">
      <alignment horizontal="left" vertical="center" wrapText="1"/>
    </xf>
    <xf numFmtId="0" fontId="186" fillId="0" borderId="31" xfId="0" applyFont="1" applyBorder="1" applyAlignment="1">
      <alignment horizontal="left" vertical="center"/>
    </xf>
    <xf numFmtId="0" fontId="186" fillId="0" borderId="33" xfId="0" applyFont="1" applyBorder="1" applyAlignment="1">
      <alignment horizontal="left" vertical="center"/>
    </xf>
    <xf numFmtId="0" fontId="186" fillId="0" borderId="32" xfId="0" applyFont="1" applyBorder="1" applyAlignment="1">
      <alignment horizontal="left" vertical="center"/>
    </xf>
    <xf numFmtId="0" fontId="65" fillId="4" borderId="30" xfId="0" applyFont="1" applyFill="1" applyBorder="1" applyAlignment="1">
      <alignment horizontal="left" vertical="center"/>
    </xf>
    <xf numFmtId="0" fontId="13" fillId="19" borderId="30" xfId="0" applyFont="1" applyFill="1" applyBorder="1" applyAlignment="1">
      <alignment horizontal="left" vertical="center" wrapText="1"/>
    </xf>
    <xf numFmtId="0" fontId="65" fillId="4" borderId="30"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07" fillId="4" borderId="30" xfId="0" applyFont="1" applyFill="1" applyBorder="1" applyAlignment="1">
      <alignment horizontal="right" vertical="center" wrapText="1"/>
    </xf>
    <xf numFmtId="0" fontId="13" fillId="2" borderId="30" xfId="0" applyFont="1" applyFill="1" applyBorder="1" applyAlignment="1">
      <alignment horizontal="left" vertical="center"/>
    </xf>
    <xf numFmtId="0" fontId="147" fillId="2" borderId="30" xfId="1" applyFont="1" applyFill="1" applyBorder="1" applyAlignment="1" applyProtection="1">
      <alignment horizontal="right" vertical="center" wrapText="1"/>
    </xf>
    <xf numFmtId="0" fontId="1" fillId="2" borderId="31" xfId="1" applyFill="1" applyBorder="1" applyAlignment="1" applyProtection="1">
      <alignment horizontal="right" vertical="center" wrapText="1"/>
    </xf>
    <xf numFmtId="0" fontId="1" fillId="2" borderId="32" xfId="1" applyFill="1" applyBorder="1" applyAlignment="1" applyProtection="1">
      <alignment horizontal="right" vertical="center" wrapText="1"/>
    </xf>
    <xf numFmtId="0" fontId="114" fillId="10" borderId="34" xfId="0" applyFont="1" applyFill="1" applyBorder="1" applyAlignment="1">
      <alignment horizontal="center" vertical="center"/>
    </xf>
    <xf numFmtId="0" fontId="114" fillId="10" borderId="36" xfId="0" applyFont="1" applyFill="1" applyBorder="1" applyAlignment="1">
      <alignment horizontal="center" vertical="center"/>
    </xf>
    <xf numFmtId="0" fontId="114" fillId="10" borderId="35" xfId="0" applyFont="1" applyFill="1" applyBorder="1" applyAlignment="1">
      <alignment horizontal="center" vertical="center"/>
    </xf>
    <xf numFmtId="0" fontId="113" fillId="8" borderId="64" xfId="0" applyFont="1" applyFill="1" applyBorder="1" applyAlignment="1">
      <alignment horizontal="center" vertical="center" wrapText="1"/>
    </xf>
    <xf numFmtId="0" fontId="86" fillId="10" borderId="64" xfId="0" applyFont="1" applyFill="1" applyBorder="1" applyAlignment="1">
      <alignment horizontal="left" vertical="center"/>
    </xf>
    <xf numFmtId="0" fontId="86" fillId="8" borderId="32" xfId="0" applyFont="1" applyFill="1" applyBorder="1" applyAlignment="1">
      <alignment horizontal="left" vertical="center"/>
    </xf>
    <xf numFmtId="0" fontId="114" fillId="8" borderId="31" xfId="0" applyFont="1" applyFill="1" applyBorder="1" applyAlignment="1">
      <alignment horizontal="center" vertical="center"/>
    </xf>
    <xf numFmtId="0" fontId="114" fillId="8" borderId="32" xfId="0" applyFont="1" applyFill="1" applyBorder="1" applyAlignment="1">
      <alignment horizontal="center" vertical="center"/>
    </xf>
    <xf numFmtId="0" fontId="86" fillId="10" borderId="34" xfId="0" applyFont="1" applyFill="1" applyBorder="1" applyAlignment="1">
      <alignment horizontal="center" vertical="center"/>
    </xf>
    <xf numFmtId="0" fontId="86" fillId="10" borderId="36" xfId="0" applyFont="1" applyFill="1" applyBorder="1" applyAlignment="1">
      <alignment horizontal="center" vertical="center"/>
    </xf>
    <xf numFmtId="0" fontId="86" fillId="10" borderId="35" xfId="0" applyFont="1" applyFill="1" applyBorder="1" applyAlignment="1">
      <alignment horizontal="center" vertical="center"/>
    </xf>
    <xf numFmtId="0" fontId="143" fillId="10" borderId="34" xfId="0" applyFont="1" applyFill="1" applyBorder="1" applyAlignment="1">
      <alignment horizontal="center" vertical="center" wrapText="1"/>
    </xf>
    <xf numFmtId="0" fontId="143" fillId="10" borderId="36" xfId="0" applyFont="1" applyFill="1" applyBorder="1" applyAlignment="1">
      <alignment horizontal="center" vertical="center" wrapText="1"/>
    </xf>
    <xf numFmtId="0" fontId="143" fillId="10" borderId="35" xfId="0" applyFont="1" applyFill="1" applyBorder="1" applyAlignment="1">
      <alignment horizontal="center" vertical="center" wrapText="1"/>
    </xf>
    <xf numFmtId="0" fontId="86" fillId="8" borderId="31" xfId="0" applyFont="1" applyFill="1" applyBorder="1" applyAlignment="1">
      <alignment horizontal="center" vertical="center"/>
    </xf>
    <xf numFmtId="0" fontId="86" fillId="8" borderId="32" xfId="0" applyFont="1" applyFill="1" applyBorder="1" applyAlignment="1">
      <alignment horizontal="center" vertical="center"/>
    </xf>
    <xf numFmtId="0" fontId="114" fillId="0" borderId="0" xfId="0" applyFont="1" applyAlignment="1">
      <alignment horizontal="left" vertical="center" wrapText="1"/>
    </xf>
    <xf numFmtId="0" fontId="86" fillId="10" borderId="32" xfId="0" applyFont="1" applyFill="1" applyBorder="1" applyAlignment="1">
      <alignment horizontal="left" vertical="center"/>
    </xf>
    <xf numFmtId="0" fontId="7" fillId="0" borderId="0" xfId="0" applyFont="1" applyAlignment="1">
      <alignment horizontal="left" vertical="center" wrapText="1"/>
    </xf>
    <xf numFmtId="0" fontId="10" fillId="10" borderId="30" xfId="0" applyFont="1" applyFill="1" applyBorder="1" applyAlignment="1">
      <alignment horizontal="left" vertical="center" wrapText="1"/>
    </xf>
    <xf numFmtId="0" fontId="59" fillId="5" borderId="0" xfId="0" applyFont="1" applyFill="1" applyAlignment="1">
      <alignment horizontal="left"/>
    </xf>
    <xf numFmtId="0" fontId="166" fillId="2" borderId="0" xfId="1" applyFont="1" applyFill="1" applyAlignment="1" applyProtection="1">
      <alignment horizontal="left" wrapText="1"/>
    </xf>
    <xf numFmtId="0" fontId="12" fillId="2" borderId="0" xfId="0" applyFont="1" applyFill="1" applyAlignment="1">
      <alignment horizontal="left" wrapText="1"/>
    </xf>
    <xf numFmtId="2" fontId="191" fillId="4" borderId="31" xfId="0" applyNumberFormat="1" applyFont="1" applyFill="1" applyBorder="1" applyAlignment="1">
      <alignment horizontal="center" vertical="center" wrapText="1"/>
    </xf>
    <xf numFmtId="2" fontId="191" fillId="4" borderId="33" xfId="0" applyNumberFormat="1" applyFont="1" applyFill="1" applyBorder="1" applyAlignment="1">
      <alignment horizontal="center" vertical="center"/>
    </xf>
    <xf numFmtId="2" fontId="191" fillId="4" borderId="32" xfId="0" applyNumberFormat="1" applyFont="1" applyFill="1" applyBorder="1" applyAlignment="1">
      <alignment horizontal="center" vertical="center"/>
    </xf>
    <xf numFmtId="166" fontId="13" fillId="2" borderId="0" xfId="2" applyNumberFormat="1" applyFont="1" applyFill="1" applyBorder="1" applyAlignment="1">
      <alignment horizontal="center" wrapText="1"/>
    </xf>
    <xf numFmtId="0" fontId="206" fillId="34" borderId="77" xfId="0" applyFont="1" applyFill="1" applyBorder="1" applyAlignment="1">
      <alignment horizontal="center" vertical="center" wrapText="1"/>
    </xf>
    <xf numFmtId="0" fontId="206" fillId="34" borderId="78" xfId="0" applyFont="1" applyFill="1" applyBorder="1" applyAlignment="1">
      <alignment horizontal="center" vertical="center" wrapText="1"/>
    </xf>
    <xf numFmtId="0" fontId="206" fillId="34" borderId="79" xfId="0" applyFont="1" applyFill="1" applyBorder="1" applyAlignment="1">
      <alignment horizontal="center" vertical="center" wrapText="1"/>
    </xf>
    <xf numFmtId="0" fontId="104" fillId="34" borderId="80" xfId="0" applyFont="1" applyFill="1" applyBorder="1" applyAlignment="1">
      <alignment horizontal="center" vertical="center"/>
    </xf>
    <xf numFmtId="0" fontId="104" fillId="34" borderId="76" xfId="0" applyFont="1" applyFill="1" applyBorder="1" applyAlignment="1">
      <alignment horizontal="center" vertical="center"/>
    </xf>
    <xf numFmtId="0" fontId="207" fillId="34" borderId="80" xfId="0" applyFont="1" applyFill="1" applyBorder="1" applyAlignment="1">
      <alignment horizontal="center" vertical="center"/>
    </xf>
    <xf numFmtId="0" fontId="207" fillId="34" borderId="76" xfId="0" applyFont="1" applyFill="1" applyBorder="1" applyAlignment="1">
      <alignment horizontal="center" vertical="center"/>
    </xf>
    <xf numFmtId="0" fontId="52" fillId="22" borderId="10" xfId="0" applyFont="1" applyFill="1" applyBorder="1" applyAlignment="1">
      <alignment horizontal="center" vertical="center" wrapText="1"/>
    </xf>
    <xf numFmtId="0" fontId="52" fillId="22" borderId="11" xfId="0" applyFont="1" applyFill="1" applyBorder="1" applyAlignment="1">
      <alignment horizontal="center" vertical="center" wrapText="1"/>
    </xf>
    <xf numFmtId="0" fontId="52" fillId="22" borderId="12" xfId="0" applyFont="1" applyFill="1" applyBorder="1" applyAlignment="1">
      <alignment horizontal="center" vertical="center" wrapText="1"/>
    </xf>
    <xf numFmtId="0" fontId="80" fillId="22" borderId="10" xfId="0" applyFont="1" applyFill="1" applyBorder="1" applyAlignment="1">
      <alignment horizontal="center" vertical="center"/>
    </xf>
    <xf numFmtId="0" fontId="80" fillId="22" borderId="11" xfId="0" applyFont="1" applyFill="1" applyBorder="1" applyAlignment="1">
      <alignment horizontal="center" vertical="center"/>
    </xf>
    <xf numFmtId="0" fontId="80" fillId="22" borderId="12" xfId="0" applyFont="1" applyFill="1" applyBorder="1" applyAlignment="1">
      <alignment horizontal="center" vertical="center"/>
    </xf>
    <xf numFmtId="0" fontId="80" fillId="22" borderId="7" xfId="0" applyFont="1" applyFill="1" applyBorder="1" applyAlignment="1">
      <alignment horizontal="center" vertical="center"/>
    </xf>
    <xf numFmtId="0" fontId="37" fillId="5" borderId="0" xfId="0" applyFont="1" applyFill="1" applyAlignment="1">
      <alignment vertical="top" wrapText="1"/>
    </xf>
    <xf numFmtId="0" fontId="52" fillId="10" borderId="7" xfId="0" applyFont="1" applyFill="1" applyBorder="1" applyAlignment="1">
      <alignment horizontal="center" vertical="center" wrapText="1"/>
    </xf>
    <xf numFmtId="0" fontId="43" fillId="6" borderId="0" xfId="0" applyFont="1" applyFill="1" applyAlignment="1">
      <alignment horizontal="center" vertical="center"/>
    </xf>
    <xf numFmtId="0" fontId="43" fillId="6" borderId="0" xfId="0" applyFont="1" applyFill="1" applyAlignment="1">
      <alignment horizontal="center"/>
    </xf>
    <xf numFmtId="0" fontId="80" fillId="10" borderId="7" xfId="0" applyFont="1" applyFill="1" applyBorder="1" applyAlignment="1">
      <alignment horizontal="center" vertical="center"/>
    </xf>
    <xf numFmtId="0" fontId="56" fillId="2" borderId="0" xfId="0" applyFont="1" applyFill="1" applyAlignment="1">
      <alignment horizontal="left" vertical="center" wrapText="1" indent="1"/>
    </xf>
    <xf numFmtId="0" fontId="59" fillId="5" borderId="0" xfId="0" applyFont="1" applyFill="1" applyAlignment="1">
      <alignment horizontal="left" vertical="center"/>
    </xf>
    <xf numFmtId="0" fontId="82" fillId="10" borderId="7" xfId="0" applyFont="1" applyFill="1" applyBorder="1" applyAlignment="1">
      <alignment horizontal="left" vertical="center"/>
    </xf>
    <xf numFmtId="0" fontId="52" fillId="10" borderId="7" xfId="0" applyFont="1" applyFill="1" applyBorder="1" applyAlignment="1">
      <alignment horizontal="left" vertical="center" wrapText="1"/>
    </xf>
    <xf numFmtId="0" fontId="52" fillId="10" borderId="8" xfId="0" applyFont="1" applyFill="1" applyBorder="1" applyAlignment="1">
      <alignment horizontal="center" vertical="center"/>
    </xf>
    <xf numFmtId="0" fontId="52" fillId="10" borderId="9" xfId="0" applyFont="1" applyFill="1" applyBorder="1" applyAlignment="1">
      <alignment horizontal="center" vertical="center"/>
    </xf>
    <xf numFmtId="169" fontId="104" fillId="35" borderId="30" xfId="0" applyNumberFormat="1" applyFont="1" applyFill="1" applyBorder="1" applyAlignment="1">
      <alignment horizontal="center" vertical="center" wrapText="1"/>
    </xf>
    <xf numFmtId="169" fontId="103" fillId="35" borderId="30" xfId="0" applyNumberFormat="1" applyFont="1" applyFill="1" applyBorder="1" applyAlignment="1">
      <alignment horizontal="left" vertical="center"/>
    </xf>
    <xf numFmtId="49" fontId="103" fillId="35" borderId="34" xfId="0" applyNumberFormat="1" applyFont="1" applyFill="1" applyBorder="1" applyAlignment="1">
      <alignment horizontal="center" vertical="center" wrapText="1"/>
    </xf>
    <xf numFmtId="49" fontId="103" fillId="35" borderId="35" xfId="0" applyNumberFormat="1" applyFont="1" applyFill="1" applyBorder="1" applyAlignment="1">
      <alignment horizontal="center" vertical="center" wrapText="1"/>
    </xf>
    <xf numFmtId="0" fontId="64" fillId="2" borderId="0" xfId="0" applyFont="1" applyFill="1" applyAlignment="1">
      <alignment horizontal="center" vertical="top"/>
    </xf>
    <xf numFmtId="0" fontId="59" fillId="5" borderId="0" xfId="0" applyFont="1" applyFill="1" applyAlignment="1">
      <alignment horizontal="left" vertical="center" wrapText="1"/>
    </xf>
    <xf numFmtId="49" fontId="104" fillId="35" borderId="34" xfId="0" applyNumberFormat="1" applyFont="1" applyFill="1" applyBorder="1" applyAlignment="1">
      <alignment horizontal="center" vertical="center" wrapText="1"/>
    </xf>
    <xf numFmtId="49" fontId="104" fillId="35" borderId="35" xfId="0" applyNumberFormat="1" applyFont="1" applyFill="1" applyBorder="1" applyAlignment="1">
      <alignment horizontal="center" vertical="center" wrapText="1"/>
    </xf>
    <xf numFmtId="0" fontId="213" fillId="2" borderId="0" xfId="1" applyFont="1" applyFill="1" applyAlignment="1">
      <alignment horizontal="left" vertical="center" wrapText="1"/>
    </xf>
    <xf numFmtId="0" fontId="139" fillId="5" borderId="0" xfId="0" applyFont="1" applyFill="1" applyAlignment="1">
      <alignment horizontal="left" vertical="center" wrapText="1"/>
    </xf>
    <xf numFmtId="0" fontId="57" fillId="35" borderId="30" xfId="0" applyFont="1" applyFill="1" applyBorder="1" applyAlignment="1">
      <alignment horizontal="left" vertical="center"/>
    </xf>
    <xf numFmtId="0" fontId="131" fillId="37" borderId="30" xfId="0" applyFont="1" applyFill="1" applyBorder="1" applyAlignment="1">
      <alignment vertical="center"/>
    </xf>
    <xf numFmtId="0" fontId="62" fillId="35" borderId="30" xfId="0" applyFont="1" applyFill="1" applyBorder="1" applyAlignment="1">
      <alignment horizontal="left" vertical="center"/>
    </xf>
    <xf numFmtId="0" fontId="7" fillId="0" borderId="0" xfId="0" applyFont="1" applyAlignment="1">
      <alignment horizontal="left" vertical="top" wrapText="1"/>
    </xf>
    <xf numFmtId="0" fontId="27" fillId="0" borderId="38" xfId="0" applyFont="1" applyBorder="1" applyAlignment="1">
      <alignment horizontal="left" wrapText="1"/>
    </xf>
    <xf numFmtId="0" fontId="185" fillId="2" borderId="0" xfId="0" applyFont="1" applyFill="1" applyAlignment="1">
      <alignment wrapText="1"/>
    </xf>
    <xf numFmtId="0" fontId="214" fillId="2" borderId="0" xfId="0" applyFont="1" applyFill="1" applyAlignment="1">
      <alignment wrapText="1"/>
    </xf>
    <xf numFmtId="0" fontId="16" fillId="35" borderId="71" xfId="0" applyFont="1" applyFill="1" applyBorder="1" applyAlignment="1">
      <alignment horizontal="center" vertical="center" wrapText="1"/>
    </xf>
    <xf numFmtId="0" fontId="25" fillId="35" borderId="71" xfId="0" applyFont="1" applyFill="1" applyBorder="1" applyAlignment="1">
      <alignment horizontal="center" vertical="center" wrapText="1"/>
    </xf>
    <xf numFmtId="166" fontId="114" fillId="0" borderId="71" xfId="2" applyNumberFormat="1" applyFont="1" applyBorder="1" applyAlignment="1" applyProtection="1">
      <alignment horizontal="right" vertical="center" wrapText="1"/>
    </xf>
    <xf numFmtId="9" fontId="117" fillId="0" borderId="71" xfId="3" applyFont="1" applyFill="1" applyBorder="1" applyAlignment="1" applyProtection="1">
      <alignment horizontal="right" vertical="center" wrapText="1"/>
    </xf>
    <xf numFmtId="9" fontId="114" fillId="2" borderId="71" xfId="2" applyNumberFormat="1" applyFont="1" applyFill="1" applyBorder="1" applyAlignment="1" applyProtection="1">
      <alignment horizontal="center" vertical="center" wrapText="1"/>
    </xf>
    <xf numFmtId="0" fontId="58" fillId="26" borderId="71" xfId="0" applyFont="1" applyFill="1" applyBorder="1" applyAlignment="1">
      <alignment horizontal="left" vertical="center" wrapText="1"/>
    </xf>
    <xf numFmtId="0" fontId="16" fillId="26" borderId="71" xfId="0" applyFont="1" applyFill="1" applyBorder="1" applyAlignment="1">
      <alignment horizontal="center" vertical="center" wrapText="1"/>
    </xf>
    <xf numFmtId="0" fontId="21" fillId="0" borderId="0" xfId="0" applyFont="1" applyAlignment="1">
      <alignment horizontal="center" vertical="center" wrapText="1"/>
    </xf>
    <xf numFmtId="166" fontId="113" fillId="0" borderId="71" xfId="2" applyNumberFormat="1" applyFont="1" applyBorder="1" applyAlignment="1" applyProtection="1">
      <alignment horizontal="center" vertical="center" wrapText="1"/>
    </xf>
    <xf numFmtId="9" fontId="25" fillId="2" borderId="0" xfId="0" applyNumberFormat="1" applyFont="1" applyFill="1" applyAlignment="1">
      <alignment horizontal="center" vertical="center" wrapText="1"/>
    </xf>
    <xf numFmtId="9" fontId="6" fillId="2" borderId="0" xfId="0" applyNumberFormat="1" applyFont="1" applyFill="1" applyAlignment="1">
      <alignment horizontal="center" vertical="center" wrapText="1"/>
    </xf>
    <xf numFmtId="166" fontId="114" fillId="2" borderId="71" xfId="2" applyNumberFormat="1" applyFont="1" applyFill="1" applyBorder="1" applyAlignment="1" applyProtection="1">
      <alignment horizontal="right" vertical="center" wrapText="1"/>
    </xf>
    <xf numFmtId="0" fontId="25" fillId="26" borderId="71" xfId="0" applyFont="1" applyFill="1" applyBorder="1" applyAlignment="1">
      <alignment horizontal="center" vertical="center" wrapText="1"/>
    </xf>
    <xf numFmtId="0" fontId="58" fillId="40" borderId="30" xfId="0" applyFont="1" applyFill="1" applyBorder="1" applyAlignment="1">
      <alignment horizontal="left" vertical="center" wrapText="1"/>
    </xf>
    <xf numFmtId="0" fontId="16" fillId="35" borderId="34" xfId="0" applyFont="1" applyFill="1" applyBorder="1" applyAlignment="1">
      <alignment horizontal="center" vertical="center" wrapText="1"/>
    </xf>
    <xf numFmtId="0" fontId="16" fillId="35" borderId="36" xfId="0" applyFont="1" applyFill="1" applyBorder="1" applyAlignment="1">
      <alignment horizontal="center" vertical="center" wrapText="1"/>
    </xf>
    <xf numFmtId="0" fontId="16" fillId="35" borderId="35" xfId="0" applyFont="1" applyFill="1" applyBorder="1" applyAlignment="1">
      <alignment horizontal="center" vertical="center" wrapText="1"/>
    </xf>
    <xf numFmtId="0" fontId="16" fillId="35" borderId="30" xfId="0" applyFont="1" applyFill="1" applyBorder="1" applyAlignment="1">
      <alignment horizontal="center" vertical="center" wrapText="1"/>
    </xf>
    <xf numFmtId="0" fontId="13" fillId="2" borderId="0" xfId="0" applyFont="1" applyFill="1" applyAlignment="1">
      <alignment horizontal="left" vertical="top" wrapText="1"/>
    </xf>
    <xf numFmtId="9" fontId="113" fillId="39" borderId="71" xfId="3" applyFont="1" applyFill="1" applyBorder="1" applyAlignment="1" applyProtection="1">
      <alignment horizontal="center" vertical="center"/>
    </xf>
    <xf numFmtId="168" fontId="114" fillId="2" borderId="71" xfId="2" applyNumberFormat="1" applyFont="1" applyFill="1" applyBorder="1" applyAlignment="1" applyProtection="1">
      <alignment horizontal="center" vertical="center" wrapText="1"/>
    </xf>
    <xf numFmtId="0" fontId="58" fillId="35" borderId="71" xfId="0" applyFont="1" applyFill="1" applyBorder="1" applyAlignment="1">
      <alignment horizontal="left" vertical="center"/>
    </xf>
    <xf numFmtId="0" fontId="16" fillId="26" borderId="71" xfId="0" applyFont="1" applyFill="1" applyBorder="1" applyAlignment="1">
      <alignment horizontal="center" vertical="center"/>
    </xf>
    <xf numFmtId="0" fontId="25" fillId="26" borderId="71" xfId="0" applyFont="1" applyFill="1" applyBorder="1" applyAlignment="1">
      <alignment horizontal="center" vertical="center"/>
    </xf>
    <xf numFmtId="0" fontId="16" fillId="34" borderId="71" xfId="0" applyFont="1" applyFill="1" applyBorder="1" applyAlignment="1">
      <alignment horizontal="center"/>
    </xf>
    <xf numFmtId="0" fontId="12" fillId="2" borderId="0" xfId="0" applyFont="1" applyFill="1" applyAlignment="1">
      <alignment horizontal="left" vertical="top" wrapText="1"/>
    </xf>
    <xf numFmtId="0" fontId="8" fillId="0" borderId="31" xfId="0" applyFont="1" applyBorder="1" applyAlignment="1">
      <alignment horizontal="left" vertical="center" wrapText="1"/>
    </xf>
    <xf numFmtId="0" fontId="16" fillId="35" borderId="75" xfId="0" applyFont="1" applyFill="1" applyBorder="1" applyAlignment="1">
      <alignment horizontal="left" vertical="center"/>
    </xf>
    <xf numFmtId="0" fontId="16" fillId="35" borderId="73" xfId="0" applyFont="1" applyFill="1" applyBorder="1" applyAlignment="1">
      <alignment horizontal="left" vertical="center"/>
    </xf>
    <xf numFmtId="0" fontId="197" fillId="0" borderId="71" xfId="0" applyFont="1" applyBorder="1" applyAlignment="1">
      <alignment horizontal="left" vertical="top" wrapText="1"/>
    </xf>
    <xf numFmtId="0" fontId="197" fillId="0" borderId="34" xfId="0" applyFont="1" applyBorder="1" applyAlignment="1">
      <alignment horizontal="center" vertical="top" wrapText="1"/>
    </xf>
    <xf numFmtId="0" fontId="197" fillId="0" borderId="36" xfId="0" applyFont="1" applyBorder="1" applyAlignment="1">
      <alignment horizontal="center" vertical="top" wrapText="1"/>
    </xf>
    <xf numFmtId="0" fontId="197" fillId="0" borderId="35" xfId="0" applyFont="1" applyBorder="1" applyAlignment="1">
      <alignment horizontal="center" vertical="top" wrapText="1"/>
    </xf>
    <xf numFmtId="0" fontId="185" fillId="0" borderId="34" xfId="0" applyFont="1" applyBorder="1" applyAlignment="1">
      <alignment horizontal="left" vertical="top" wrapText="1"/>
    </xf>
    <xf numFmtId="0" fontId="185" fillId="0" borderId="36" xfId="0" applyFont="1" applyBorder="1" applyAlignment="1">
      <alignment horizontal="left" vertical="top" wrapText="1"/>
    </xf>
    <xf numFmtId="0" fontId="185" fillId="0" borderId="35" xfId="0" applyFont="1" applyBorder="1" applyAlignment="1">
      <alignment horizontal="left" vertical="top" wrapText="1"/>
    </xf>
    <xf numFmtId="0" fontId="197" fillId="0" borderId="34" xfId="0" applyFont="1" applyBorder="1" applyAlignment="1">
      <alignment horizontal="left" vertical="top" wrapText="1"/>
    </xf>
    <xf numFmtId="0" fontId="197" fillId="0" borderId="36" xfId="0" applyFont="1" applyBorder="1" applyAlignment="1">
      <alignment horizontal="left" vertical="top" wrapText="1"/>
    </xf>
    <xf numFmtId="0" fontId="196" fillId="5" borderId="0" xfId="0" applyFont="1" applyFill="1" applyAlignment="1">
      <alignment horizontal="left" vertical="center"/>
    </xf>
    <xf numFmtId="0" fontId="187" fillId="2" borderId="0" xfId="0" applyFont="1" applyFill="1" applyAlignment="1">
      <alignment horizontal="left" vertical="top"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8" fillId="0" borderId="32" xfId="0" applyFont="1" applyBorder="1" applyAlignment="1">
      <alignment horizontal="left" vertical="center" wrapText="1"/>
    </xf>
    <xf numFmtId="0" fontId="87" fillId="5"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12" fillId="0" borderId="0" xfId="0" applyFont="1" applyAlignment="1">
      <alignment horizontal="left" vertical="center" wrapText="1"/>
    </xf>
    <xf numFmtId="0" fontId="88" fillId="5" borderId="0" xfId="0" applyFont="1" applyFill="1" applyAlignment="1">
      <alignment horizontal="left" vertical="center"/>
    </xf>
    <xf numFmtId="0" fontId="85" fillId="5" borderId="0" xfId="0" applyFont="1" applyFill="1" applyAlignment="1">
      <alignment vertical="center" wrapText="1"/>
    </xf>
    <xf numFmtId="0" fontId="37" fillId="5" borderId="0" xfId="0" applyFont="1" applyFill="1" applyAlignment="1">
      <alignment vertical="center" wrapText="1"/>
    </xf>
    <xf numFmtId="0" fontId="52" fillId="22" borderId="7" xfId="0" applyFont="1" applyFill="1" applyBorder="1" applyAlignment="1">
      <alignment horizontal="center" vertical="center" wrapText="1"/>
    </xf>
    <xf numFmtId="0" fontId="58" fillId="26" borderId="27" xfId="0" applyFont="1" applyFill="1" applyBorder="1" applyAlignment="1">
      <alignment horizontal="left" vertical="center" wrapText="1"/>
    </xf>
    <xf numFmtId="0" fontId="58" fillId="26" borderId="28" xfId="0" applyFont="1" applyFill="1" applyBorder="1" applyAlignment="1">
      <alignment horizontal="left" vertical="center" wrapText="1"/>
    </xf>
    <xf numFmtId="0" fontId="25" fillId="26" borderId="27" xfId="0" applyFont="1" applyFill="1" applyBorder="1" applyAlignment="1">
      <alignment horizontal="center" vertical="center"/>
    </xf>
    <xf numFmtId="0" fontId="25" fillId="26" borderId="28" xfId="0" applyFont="1" applyFill="1" applyBorder="1" applyAlignment="1">
      <alignment horizontal="center" vertical="center"/>
    </xf>
    <xf numFmtId="0" fontId="25" fillId="26" borderId="10" xfId="0" applyFont="1" applyFill="1" applyBorder="1" applyAlignment="1">
      <alignment horizontal="center" vertical="center"/>
    </xf>
    <xf numFmtId="0" fontId="25" fillId="26" borderId="12" xfId="0" applyFont="1" applyFill="1" applyBorder="1" applyAlignment="1">
      <alignment horizontal="center" vertical="center"/>
    </xf>
    <xf numFmtId="0" fontId="25" fillId="26" borderId="13" xfId="0" applyFont="1" applyFill="1" applyBorder="1" applyAlignment="1">
      <alignment horizontal="center" vertical="center"/>
    </xf>
    <xf numFmtId="0" fontId="98" fillId="0" borderId="16" xfId="0" applyFont="1" applyBorder="1" applyAlignment="1">
      <alignment vertical="center" wrapText="1"/>
    </xf>
    <xf numFmtId="0" fontId="64" fillId="0" borderId="16" xfId="0" applyFont="1" applyBorder="1" applyAlignment="1">
      <alignment vertical="center" wrapText="1"/>
    </xf>
    <xf numFmtId="0" fontId="16" fillId="19" borderId="8" xfId="0" applyFont="1" applyFill="1" applyBorder="1" applyAlignment="1">
      <alignment horizontal="center" vertical="center" wrapText="1"/>
    </xf>
    <xf numFmtId="0" fontId="10" fillId="19" borderId="8" xfId="0" applyFont="1" applyFill="1" applyBorder="1" applyAlignment="1">
      <alignment horizontal="center" vertical="center" wrapText="1"/>
    </xf>
    <xf numFmtId="0" fontId="8" fillId="30" borderId="0" xfId="0" applyFont="1" applyFill="1" applyAlignment="1">
      <alignment horizontal="center" wrapText="1"/>
    </xf>
    <xf numFmtId="0" fontId="12" fillId="19" borderId="26" xfId="0" applyFont="1" applyFill="1" applyBorder="1" applyAlignment="1">
      <alignment horizontal="left" vertical="center" wrapText="1"/>
    </xf>
    <xf numFmtId="0" fontId="12" fillId="19" borderId="29" xfId="0" applyFont="1" applyFill="1" applyBorder="1" applyAlignment="1">
      <alignment horizontal="left" vertical="center" wrapText="1"/>
    </xf>
    <xf numFmtId="0" fontId="12" fillId="19" borderId="22" xfId="0" applyFont="1" applyFill="1" applyBorder="1" applyAlignment="1">
      <alignment horizontal="left" vertical="center" wrapText="1"/>
    </xf>
    <xf numFmtId="0" fontId="13" fillId="2" borderId="16" xfId="0" applyFont="1" applyFill="1" applyBorder="1" applyAlignment="1">
      <alignment horizontal="left" vertical="center" wrapText="1"/>
    </xf>
    <xf numFmtId="166" fontId="6" fillId="19" borderId="16" xfId="2" applyNumberFormat="1" applyFont="1" applyFill="1" applyBorder="1" applyAlignment="1">
      <alignment horizontal="center" vertical="center"/>
    </xf>
    <xf numFmtId="9" fontId="6" fillId="19" borderId="17" xfId="3" applyFont="1" applyFill="1" applyBorder="1" applyAlignment="1">
      <alignment horizontal="center" vertical="center"/>
    </xf>
    <xf numFmtId="9" fontId="6" fillId="19" borderId="18" xfId="3" applyFont="1" applyFill="1" applyBorder="1" applyAlignment="1">
      <alignment horizontal="center" vertical="center"/>
    </xf>
    <xf numFmtId="166" fontId="6" fillId="19" borderId="17" xfId="2" applyNumberFormat="1" applyFont="1" applyFill="1" applyBorder="1" applyAlignment="1">
      <alignment horizontal="center" vertical="center"/>
    </xf>
    <xf numFmtId="166" fontId="6" fillId="19" borderId="18" xfId="2" applyNumberFormat="1" applyFont="1" applyFill="1" applyBorder="1" applyAlignment="1">
      <alignment horizontal="center" vertical="center"/>
    </xf>
    <xf numFmtId="0" fontId="16" fillId="26" borderId="23" xfId="0" applyFont="1" applyFill="1" applyBorder="1" applyAlignment="1">
      <alignment horizontal="center" vertical="center" wrapText="1"/>
    </xf>
    <xf numFmtId="0" fontId="16" fillId="26" borderId="24" xfId="0" applyFont="1" applyFill="1" applyBorder="1" applyAlignment="1">
      <alignment horizontal="center" vertical="center" wrapText="1"/>
    </xf>
    <xf numFmtId="0" fontId="16" fillId="26" borderId="25" xfId="0" applyFont="1" applyFill="1" applyBorder="1" applyAlignment="1">
      <alignment horizontal="center" vertical="center" wrapText="1"/>
    </xf>
    <xf numFmtId="166" fontId="8" fillId="0" borderId="7" xfId="2" applyNumberFormat="1" applyFont="1" applyBorder="1" applyAlignment="1">
      <alignment horizontal="center" vertical="center" wrapText="1"/>
    </xf>
    <xf numFmtId="0" fontId="58" fillId="26" borderId="7" xfId="0" applyFont="1" applyFill="1" applyBorder="1" applyAlignment="1">
      <alignment horizontal="left" vertical="center" wrapText="1"/>
    </xf>
    <xf numFmtId="0" fontId="58" fillId="26" borderId="8" xfId="0" applyFont="1" applyFill="1" applyBorder="1" applyAlignment="1">
      <alignment horizontal="left" vertical="center" wrapText="1"/>
    </xf>
    <xf numFmtId="0" fontId="25" fillId="26" borderId="7" xfId="0" applyFont="1" applyFill="1" applyBorder="1" applyAlignment="1">
      <alignment horizontal="center" vertical="center" wrapText="1"/>
    </xf>
    <xf numFmtId="0" fontId="25" fillId="26" borderId="8" xfId="0" applyFont="1" applyFill="1" applyBorder="1" applyAlignment="1">
      <alignment horizontal="center" vertical="center" wrapText="1"/>
    </xf>
    <xf numFmtId="0" fontId="25" fillId="26" borderId="19" xfId="0" applyFont="1" applyFill="1" applyBorder="1" applyAlignment="1">
      <alignment horizontal="center" vertical="center" wrapText="1"/>
    </xf>
    <xf numFmtId="0" fontId="25" fillId="26" borderId="0" xfId="0" applyFont="1" applyFill="1" applyAlignment="1">
      <alignment horizontal="center" vertical="center" wrapText="1"/>
    </xf>
    <xf numFmtId="0" fontId="25" fillId="26" borderId="20" xfId="0" applyFont="1" applyFill="1" applyBorder="1" applyAlignment="1">
      <alignment horizontal="center" vertical="center" wrapText="1"/>
    </xf>
    <xf numFmtId="0" fontId="25" fillId="26" borderId="10" xfId="0" applyFont="1" applyFill="1" applyBorder="1" applyAlignment="1">
      <alignment horizontal="center" vertical="center" wrapText="1"/>
    </xf>
    <xf numFmtId="0" fontId="25" fillId="26" borderId="12" xfId="0" applyFont="1" applyFill="1" applyBorder="1" applyAlignment="1">
      <alignment horizontal="center" vertical="center" wrapText="1"/>
    </xf>
    <xf numFmtId="0" fontId="16" fillId="26" borderId="7" xfId="0" applyFont="1" applyFill="1" applyBorder="1" applyAlignment="1">
      <alignment horizontal="center" vertical="center" wrapText="1"/>
    </xf>
    <xf numFmtId="0" fontId="16" fillId="26" borderId="10" xfId="0" applyFont="1" applyFill="1" applyBorder="1" applyAlignment="1">
      <alignment horizontal="center" vertical="center" wrapText="1"/>
    </xf>
    <xf numFmtId="0" fontId="12" fillId="2" borderId="7" xfId="0" applyFont="1" applyFill="1" applyBorder="1" applyAlignment="1">
      <alignment horizontal="left" vertical="center" wrapText="1"/>
    </xf>
    <xf numFmtId="166" fontId="8" fillId="17" borderId="8" xfId="2" applyNumberFormat="1" applyFont="1" applyFill="1" applyBorder="1" applyAlignment="1">
      <alignment horizontal="center" vertical="center" wrapText="1"/>
    </xf>
    <xf numFmtId="166" fontId="8" fillId="17" borderId="9" xfId="2" applyNumberFormat="1" applyFont="1" applyFill="1" applyBorder="1" applyAlignment="1">
      <alignment horizontal="center" vertical="center" wrapText="1"/>
    </xf>
    <xf numFmtId="0" fontId="13" fillId="18" borderId="2" xfId="0" applyFont="1" applyFill="1" applyBorder="1" applyAlignment="1">
      <alignment vertical="center" wrapText="1"/>
    </xf>
    <xf numFmtId="0" fontId="8" fillId="2" borderId="0" xfId="0" applyFont="1" applyFill="1" applyAlignment="1">
      <alignment horizontal="center" vertical="center" wrapText="1"/>
    </xf>
    <xf numFmtId="0" fontId="13" fillId="2" borderId="7" xfId="0" applyFont="1" applyFill="1" applyBorder="1" applyAlignment="1">
      <alignment vertical="center" wrapText="1"/>
    </xf>
    <xf numFmtId="0" fontId="64" fillId="0" borderId="7" xfId="0" applyFont="1" applyBorder="1" applyAlignment="1">
      <alignment horizontal="left" vertical="center" wrapText="1"/>
    </xf>
    <xf numFmtId="166" fontId="6" fillId="27" borderId="10" xfId="2" applyNumberFormat="1" applyFont="1" applyFill="1" applyBorder="1" applyAlignment="1">
      <alignment horizontal="center" vertical="center" wrapText="1"/>
    </xf>
    <xf numFmtId="166" fontId="6" fillId="27" borderId="11" xfId="2" applyNumberFormat="1" applyFont="1" applyFill="1" applyBorder="1" applyAlignment="1">
      <alignment horizontal="center" vertical="center" wrapText="1"/>
    </xf>
    <xf numFmtId="166" fontId="6" fillId="27" borderId="12" xfId="2" applyNumberFormat="1" applyFont="1" applyFill="1" applyBorder="1" applyAlignment="1">
      <alignment horizontal="center" vertical="center" wrapText="1"/>
    </xf>
    <xf numFmtId="164" fontId="6" fillId="17" borderId="10" xfId="2" applyNumberFormat="1" applyFont="1" applyFill="1" applyBorder="1" applyAlignment="1">
      <alignment horizontal="center" vertical="center" wrapText="1"/>
    </xf>
    <xf numFmtId="164" fontId="6" fillId="17" borderId="11" xfId="2" applyNumberFormat="1" applyFont="1" applyFill="1" applyBorder="1" applyAlignment="1">
      <alignment horizontal="center" vertical="center" wrapText="1"/>
    </xf>
    <xf numFmtId="164" fontId="6" fillId="17" borderId="12" xfId="2" applyNumberFormat="1" applyFont="1" applyFill="1" applyBorder="1" applyAlignment="1">
      <alignment horizontal="center" vertical="center" wrapText="1"/>
    </xf>
    <xf numFmtId="164" fontId="6" fillId="27" borderId="10" xfId="2" applyNumberFormat="1" applyFont="1" applyFill="1" applyBorder="1" applyAlignment="1">
      <alignment horizontal="center" vertical="center" wrapText="1"/>
    </xf>
    <xf numFmtId="164" fontId="6" fillId="27" borderId="11" xfId="2" applyNumberFormat="1" applyFont="1" applyFill="1" applyBorder="1" applyAlignment="1">
      <alignment horizontal="center" vertical="center" wrapText="1"/>
    </xf>
    <xf numFmtId="164" fontId="6" fillId="27" borderId="12" xfId="2" applyNumberFormat="1" applyFont="1" applyFill="1" applyBorder="1" applyAlignment="1">
      <alignment horizontal="center" vertical="center" wrapText="1"/>
    </xf>
    <xf numFmtId="164" fontId="6" fillId="27" borderId="10" xfId="3" applyNumberFormat="1" applyFont="1" applyFill="1" applyBorder="1" applyAlignment="1">
      <alignment horizontal="center" vertical="center" wrapText="1"/>
    </xf>
    <xf numFmtId="164" fontId="6" fillId="27" borderId="11" xfId="3" applyNumberFormat="1" applyFont="1" applyFill="1" applyBorder="1" applyAlignment="1">
      <alignment horizontal="center" vertical="center" wrapText="1"/>
    </xf>
    <xf numFmtId="164" fontId="6" fillId="27" borderId="12" xfId="3" applyNumberFormat="1" applyFont="1" applyFill="1" applyBorder="1" applyAlignment="1">
      <alignment horizontal="center"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164" fontId="6" fillId="2" borderId="10" xfId="2" applyNumberFormat="1" applyFont="1" applyFill="1" applyBorder="1" applyAlignment="1">
      <alignment horizontal="center" vertical="center" wrapText="1"/>
    </xf>
    <xf numFmtId="164" fontId="6" fillId="2" borderId="11" xfId="2" applyNumberFormat="1" applyFont="1" applyFill="1" applyBorder="1" applyAlignment="1">
      <alignment horizontal="center" vertical="center" wrapText="1"/>
    </xf>
    <xf numFmtId="164" fontId="6" fillId="2" borderId="12" xfId="2" applyNumberFormat="1" applyFont="1" applyFill="1" applyBorder="1" applyAlignment="1">
      <alignment horizontal="center" vertical="center" wrapText="1"/>
    </xf>
    <xf numFmtId="166" fontId="7" fillId="0" borderId="17" xfId="2" applyNumberFormat="1" applyFont="1" applyBorder="1" applyAlignment="1">
      <alignment horizontal="center" vertical="center" wrapText="1"/>
    </xf>
    <xf numFmtId="166" fontId="7" fillId="0" borderId="18" xfId="2" applyNumberFormat="1" applyFont="1" applyBorder="1" applyAlignment="1">
      <alignment horizontal="center" vertical="center" wrapText="1"/>
    </xf>
    <xf numFmtId="0" fontId="25" fillId="2" borderId="0" xfId="0" applyFont="1" applyFill="1" applyAlignment="1">
      <alignment horizontal="center" vertical="center" wrapText="1"/>
    </xf>
    <xf numFmtId="166" fontId="7" fillId="18" borderId="8" xfId="2" applyNumberFormat="1" applyFont="1" applyFill="1" applyBorder="1" applyAlignment="1">
      <alignment horizontal="center" vertical="center" wrapText="1"/>
    </xf>
    <xf numFmtId="166" fontId="7" fillId="18" borderId="9" xfId="2" applyNumberFormat="1" applyFont="1" applyFill="1" applyBorder="1" applyAlignment="1">
      <alignment horizontal="center" vertical="center" wrapText="1"/>
    </xf>
    <xf numFmtId="0" fontId="63" fillId="0" borderId="16" xfId="0" applyFont="1" applyBorder="1" applyAlignment="1">
      <alignment horizontal="left" vertical="center" wrapText="1"/>
    </xf>
    <xf numFmtId="0" fontId="12" fillId="2" borderId="6" xfId="0" applyFont="1" applyFill="1" applyBorder="1" applyAlignment="1">
      <alignment horizontal="left" vertical="center" wrapText="1"/>
    </xf>
    <xf numFmtId="0" fontId="12" fillId="2" borderId="14" xfId="0" applyFont="1" applyFill="1" applyBorder="1" applyAlignment="1">
      <alignment horizontal="left" vertical="center" wrapText="1"/>
    </xf>
    <xf numFmtId="166" fontId="8" fillId="0" borderId="6" xfId="2" applyNumberFormat="1" applyFont="1" applyBorder="1" applyAlignment="1">
      <alignment horizontal="center" vertical="center" wrapText="1"/>
    </xf>
    <xf numFmtId="0" fontId="80" fillId="0" borderId="0" xfId="0" applyFont="1" applyAlignment="1">
      <alignment horizontal="left" vertical="center" wrapText="1"/>
    </xf>
    <xf numFmtId="0" fontId="16" fillId="11" borderId="7"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81" fillId="24" borderId="8" xfId="0" applyFont="1" applyFill="1" applyBorder="1" applyAlignment="1">
      <alignment horizontal="center" vertical="center" wrapText="1"/>
    </xf>
    <xf numFmtId="0" fontId="81" fillId="24" borderId="9"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114" fillId="0" borderId="30" xfId="0" applyFont="1" applyBorder="1" applyAlignment="1">
      <alignment horizontal="center" vertical="center"/>
    </xf>
    <xf numFmtId="0" fontId="114" fillId="0" borderId="31" xfId="0" applyFont="1" applyBorder="1" applyAlignment="1">
      <alignment horizontal="center" vertical="center"/>
    </xf>
    <xf numFmtId="0" fontId="114" fillId="0" borderId="32" xfId="0" applyFont="1" applyBorder="1" applyAlignment="1">
      <alignment horizontal="center" vertical="center"/>
    </xf>
    <xf numFmtId="0" fontId="114" fillId="0" borderId="31" xfId="0" applyFont="1" applyBorder="1" applyAlignment="1">
      <alignment horizontal="center" vertical="center" wrapText="1"/>
    </xf>
    <xf numFmtId="0" fontId="114" fillId="0" borderId="3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114" fillId="5" borderId="30" xfId="0" applyFont="1" applyFill="1" applyBorder="1" applyAlignment="1">
      <alignment horizontal="center" vertical="center" wrapText="1"/>
    </xf>
    <xf numFmtId="0" fontId="8" fillId="0" borderId="30" xfId="0" applyFont="1" applyBorder="1" applyAlignment="1">
      <alignment horizontal="center" vertical="center" wrapText="1"/>
    </xf>
    <xf numFmtId="0" fontId="117" fillId="5" borderId="34" xfId="0" applyFont="1" applyFill="1" applyBorder="1" applyAlignment="1">
      <alignment horizontal="center" vertical="center"/>
    </xf>
    <xf numFmtId="0" fontId="7" fillId="2" borderId="30" xfId="0" applyFont="1" applyFill="1" applyBorder="1" applyAlignment="1">
      <alignment horizontal="center" vertical="center" wrapText="1"/>
    </xf>
    <xf numFmtId="0" fontId="7" fillId="0" borderId="30" xfId="0" applyFont="1" applyBorder="1" applyAlignment="1">
      <alignment horizontal="center" vertical="center" wrapText="1"/>
    </xf>
    <xf numFmtId="0" fontId="117" fillId="0" borderId="30" xfId="0" applyFont="1" applyBorder="1" applyAlignment="1">
      <alignment horizontal="center" vertical="center" wrapText="1"/>
    </xf>
    <xf numFmtId="0" fontId="113" fillId="2" borderId="30" xfId="0" applyFont="1" applyFill="1" applyBorder="1" applyAlignment="1">
      <alignment horizontal="center" vertical="center"/>
    </xf>
    <xf numFmtId="0" fontId="114" fillId="2" borderId="30" xfId="0" applyFont="1" applyFill="1" applyBorder="1" applyAlignment="1">
      <alignment horizontal="center" vertical="center"/>
    </xf>
    <xf numFmtId="0" fontId="8" fillId="2" borderId="30" xfId="0" applyFont="1" applyFill="1" applyBorder="1" applyAlignment="1">
      <alignment horizontal="center" vertical="center" wrapText="1"/>
    </xf>
    <xf numFmtId="6" fontId="22" fillId="0" borderId="30" xfId="0" applyNumberFormat="1" applyFont="1" applyBorder="1" applyAlignment="1">
      <alignment horizontal="center" vertical="center" wrapText="1"/>
    </xf>
    <xf numFmtId="0" fontId="8" fillId="0" borderId="71" xfId="0" applyFont="1" applyBorder="1" applyAlignment="1">
      <alignment horizontal="center" vertical="center" wrapText="1"/>
    </xf>
    <xf numFmtId="0" fontId="7" fillId="0" borderId="71" xfId="0" applyFont="1" applyBorder="1" applyAlignment="1">
      <alignment horizontal="center" vertical="center" wrapText="1"/>
    </xf>
    <xf numFmtId="0" fontId="193" fillId="2" borderId="0" xfId="0" applyFont="1" applyFill="1" applyAlignment="1">
      <alignment horizontal="center" vertical="center" wrapText="1"/>
    </xf>
    <xf numFmtId="0" fontId="113" fillId="0" borderId="30" xfId="0" applyFont="1" applyBorder="1" applyAlignment="1">
      <alignment horizontal="center" vertical="center"/>
    </xf>
    <xf numFmtId="0" fontId="11" fillId="2" borderId="40" xfId="0" applyFont="1" applyFill="1" applyBorder="1" applyAlignment="1">
      <alignment vertical="center" wrapText="1"/>
    </xf>
    <xf numFmtId="0" fontId="11" fillId="2" borderId="40" xfId="0" applyFont="1" applyFill="1" applyBorder="1" applyAlignment="1">
      <alignment vertical="center"/>
    </xf>
    <xf numFmtId="0" fontId="179" fillId="2" borderId="0" xfId="0" applyFont="1" applyFill="1" applyAlignment="1">
      <alignment vertical="center" wrapText="1"/>
    </xf>
    <xf numFmtId="10" fontId="179" fillId="2" borderId="0" xfId="0" applyNumberFormat="1" applyFont="1" applyFill="1" applyAlignment="1">
      <alignment vertical="center" wrapText="1"/>
    </xf>
    <xf numFmtId="0" fontId="179" fillId="2" borderId="0" xfId="0" applyFont="1" applyFill="1" applyAlignment="1">
      <alignment vertical="center" wrapText="1"/>
    </xf>
    <xf numFmtId="3" fontId="179" fillId="2" borderId="0" xfId="0" applyNumberFormat="1" applyFont="1" applyFill="1" applyAlignment="1">
      <alignment vertical="center" wrapText="1"/>
    </xf>
  </cellXfs>
  <cellStyles count="7">
    <cellStyle name="Comma" xfId="2" builtinId="3"/>
    <cellStyle name="Comma 2" xfId="4" xr:uid="{6BB149D6-ADB6-45E3-811A-0649A7117E71}"/>
    <cellStyle name="Heading 2021 and previous" xfId="6" xr:uid="{C73379B3-2602-4C3C-8BA9-DE7929584B45}"/>
    <cellStyle name="Hyperlink" xfId="1" builtinId="8"/>
    <cellStyle name="Normal" xfId="0" builtinId="0"/>
    <cellStyle name="Percent" xfId="3" builtinId="5"/>
    <cellStyle name="T-Text-Thin-Centre" xfId="5" xr:uid="{4D7F230F-DA1B-49F8-8068-4DF72C375321}"/>
  </cellStyles>
  <dxfs count="0"/>
  <tableStyles count="0" defaultTableStyle="TableStyleMedium2" defaultPivotStyle="PivotStyleLight16"/>
  <colors>
    <mruColors>
      <color rgb="FF0000CC"/>
      <color rgb="FF1E22AA"/>
      <color rgb="FF00ACE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22/10/relationships/richValueRel" Target="richData/richValueRel.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eetMetadata" Target="metadata.xml"/><Relationship Id="rId30" Type="http://schemas.microsoft.com/office/2017/06/relationships/rdRichValueStructure" Target="richData/rdrichvaluestructure.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Sales from products contributing to our priority UN SDGs in 2025/26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946339852160441"/>
          <c:y val="0.24994599280362709"/>
          <c:w val="0.42107298593503711"/>
          <c:h val="0.66743056463319816"/>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062D-4E14-A042-01742985803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062D-4E14-A042-01742985803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062D-4E14-A042-01742985803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062D-4E14-A042-01742985803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062D-4E14-A042-01742985803D}"/>
              </c:ext>
            </c:extLst>
          </c:dPt>
          <c:dLbls>
            <c:dLbl>
              <c:idx val="0"/>
              <c:layout>
                <c:manualLayout>
                  <c:x val="0.15408804963200695"/>
                  <c:y val="2.117067218019651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62D-4E14-A042-01742985803D}"/>
                </c:ext>
              </c:extLst>
            </c:dLbl>
            <c:dLbl>
              <c:idx val="1"/>
              <c:layout>
                <c:manualLayout>
                  <c:x val="-0.13225851683819215"/>
                  <c:y val="0.1992623112395962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62D-4E14-A042-01742985803D}"/>
                </c:ext>
              </c:extLst>
            </c:dLbl>
            <c:dLbl>
              <c:idx val="2"/>
              <c:layout>
                <c:manualLayout>
                  <c:x val="-0.18188485372166643"/>
                  <c:y val="1.688431084401139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62D-4E14-A042-01742985803D}"/>
                </c:ext>
              </c:extLst>
            </c:dLbl>
            <c:dLbl>
              <c:idx val="3"/>
              <c:layout>
                <c:manualLayout>
                  <c:x val="-0.20671322072653242"/>
                  <c:y val="-0.1016750106510047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62D-4E14-A042-01742985803D}"/>
                </c:ext>
              </c:extLst>
            </c:dLbl>
            <c:dLbl>
              <c:idx val="4"/>
              <c:layout>
                <c:manualLayout>
                  <c:x val="-9.0828647238308496E-2"/>
                  <c:y val="-0.1020086807780906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62D-4E14-A042-01742985803D}"/>
                </c:ext>
              </c:extLst>
            </c:dLbl>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'UN SDGs'!$B$9:$B$13</c:f>
              <c:strCache>
                <c:ptCount val="5"/>
                <c:pt idx="0">
                  <c:v>SDG 3 - Good health and well-being</c:v>
                </c:pt>
                <c:pt idx="1">
                  <c:v>SDG 7 - Affordable and clean energy</c:v>
                </c:pt>
                <c:pt idx="2">
                  <c:v>SDG 12 - Responsible consumption and production</c:v>
                </c:pt>
                <c:pt idx="3">
                  <c:v>SDG 13 - Climate action</c:v>
                </c:pt>
                <c:pt idx="4">
                  <c:v>Unassigned</c:v>
                </c:pt>
              </c:strCache>
            </c:strRef>
          </c:cat>
          <c:val>
            <c:numRef>
              <c:f>'UN SDGs'!$D$9:$D$13</c:f>
              <c:numCache>
                <c:formatCode>0%</c:formatCode>
                <c:ptCount val="5"/>
                <c:pt idx="0">
                  <c:v>0.72726276753448971</c:v>
                </c:pt>
                <c:pt idx="1">
                  <c:v>7.7174894227730684E-3</c:v>
                </c:pt>
                <c:pt idx="2">
                  <c:v>8.7988719820571618E-2</c:v>
                </c:pt>
                <c:pt idx="3">
                  <c:v>2.7002476668909908E-2</c:v>
                </c:pt>
                <c:pt idx="4">
                  <c:v>0.15002854655325581</c:v>
                </c:pt>
              </c:numCache>
            </c:numRef>
          </c:val>
          <c:extLst>
            <c:ext xmlns:c16="http://schemas.microsoft.com/office/drawing/2014/chart" uri="{C3380CC4-5D6E-409C-BE32-E72D297353CC}">
              <c16:uniqueId val="{0000000C-062D-4E14-A042-01742985803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Energy Mix 2022/23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2101-4A4E-B7AB-09CE3DF38F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2101-4A4E-B7AB-09CE3DF38F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25E-4162-A4BB-C31470B88F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25E-4162-A4BB-C31470B88F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2-2101-4A4E-B7AB-09CE3DF38FE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25E-4162-A4BB-C31470B88F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25E-4162-A4BB-C31470B88F1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3-2101-4A4E-B7AB-09CE3DF38FE6}"/>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4-2101-4A4E-B7AB-09CE3DF38FE6}"/>
                </c:ext>
              </c:extLst>
            </c:dLbl>
            <c:dLbl>
              <c:idx val="4"/>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2-2101-4A4E-B7AB-09CE3DF38F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'Environment (original)'!$P$127:$P$133</c:f>
              <c:strCache>
                <c:ptCount val="7"/>
                <c:pt idx="0">
                  <c:v>Non-renewable, grid-supplied electricity</c:v>
                </c:pt>
                <c:pt idx="1">
                  <c:v>Certified renewable electricity from the grid</c:v>
                </c:pt>
                <c:pt idx="2">
                  <c:v>Renewable electricity generated locally</c:v>
                </c:pt>
                <c:pt idx="3">
                  <c:v>Natural gas used on site</c:v>
                </c:pt>
                <c:pt idx="4">
                  <c:v>Other fossil fuels used on site</c:v>
                </c:pt>
                <c:pt idx="5">
                  <c:v>Non-renewable steam procured</c:v>
                </c:pt>
                <c:pt idx="6">
                  <c:v>Fuel used on public roads by JM vehicles on company business</c:v>
                </c:pt>
              </c:strCache>
            </c:strRef>
          </c:cat>
          <c:val>
            <c:numRef>
              <c:f>'Environment (original)'!$R$127:$R$133</c:f>
              <c:numCache>
                <c:formatCode>0.0%</c:formatCode>
                <c:ptCount val="7"/>
                <c:pt idx="0">
                  <c:v>0.21822306628383506</c:v>
                </c:pt>
                <c:pt idx="1">
                  <c:v>0.16177662380033564</c:v>
                </c:pt>
                <c:pt idx="2">
                  <c:v>5.7859119365803987E-3</c:v>
                </c:pt>
                <c:pt idx="3">
                  <c:v>0.52230769061950255</c:v>
                </c:pt>
                <c:pt idx="4">
                  <c:v>5.7633774188488099E-2</c:v>
                </c:pt>
                <c:pt idx="5">
                  <c:v>3.0159026580493176E-2</c:v>
                </c:pt>
                <c:pt idx="6">
                  <c:v>4.1139065907651335E-3</c:v>
                </c:pt>
              </c:numCache>
            </c:numRef>
          </c:val>
          <c:extLst>
            <c:ext xmlns:c16="http://schemas.microsoft.com/office/drawing/2014/chart" uri="{C3380CC4-5D6E-409C-BE32-E72D297353CC}">
              <c16:uniqueId val="{00000000-2101-4A4E-B7AB-09CE3DF38FE6}"/>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F-E25E-4162-A4BB-C31470B88F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1-E25E-4162-A4BB-C31470B88F1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3-E25E-4162-A4BB-C31470B88F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5-E25E-4162-A4BB-C31470B88F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7-E25E-4162-A4BB-C31470B88F1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9-E25E-4162-A4BB-C31470B88F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B-E25E-4162-A4BB-C31470B88F1C}"/>
              </c:ext>
            </c:extLst>
          </c:dPt>
          <c:cat>
            <c:strRef>
              <c:f>'Environment (original)'!$P$127:$P$133</c:f>
              <c:strCache>
                <c:ptCount val="7"/>
                <c:pt idx="0">
                  <c:v>Non-renewable, grid-supplied electricity</c:v>
                </c:pt>
                <c:pt idx="1">
                  <c:v>Certified renewable electricity from the grid</c:v>
                </c:pt>
                <c:pt idx="2">
                  <c:v>Renewable electricity generated locally</c:v>
                </c:pt>
                <c:pt idx="3">
                  <c:v>Natural gas used on site</c:v>
                </c:pt>
                <c:pt idx="4">
                  <c:v>Other fossil fuels used on site</c:v>
                </c:pt>
                <c:pt idx="5">
                  <c:v>Non-renewable steam procured</c:v>
                </c:pt>
                <c:pt idx="6">
                  <c:v>Fuel used on public roads by JM vehicles on company business</c:v>
                </c:pt>
              </c:strCache>
            </c:strRef>
          </c:cat>
          <c:val>
            <c:numRef>
              <c:f>'Environment (original)'!$R$127:$R$133</c:f>
              <c:numCache>
                <c:formatCode>0.0%</c:formatCode>
                <c:ptCount val="7"/>
                <c:pt idx="0">
                  <c:v>0.21822306628383506</c:v>
                </c:pt>
                <c:pt idx="1">
                  <c:v>0.16177662380033564</c:v>
                </c:pt>
                <c:pt idx="2">
                  <c:v>5.7859119365803987E-3</c:v>
                </c:pt>
                <c:pt idx="3">
                  <c:v>0.52230769061950255</c:v>
                </c:pt>
                <c:pt idx="4">
                  <c:v>5.7633774188488099E-2</c:v>
                </c:pt>
                <c:pt idx="5">
                  <c:v>3.0159026580493176E-2</c:v>
                </c:pt>
                <c:pt idx="6">
                  <c:v>4.1139065907651335E-3</c:v>
                </c:pt>
              </c:numCache>
            </c:numRef>
          </c:val>
          <c:extLst>
            <c:ext xmlns:c16="http://schemas.microsoft.com/office/drawing/2014/chart" uri="{C3380CC4-5D6E-409C-BE32-E72D297353CC}">
              <c16:uniqueId val="{00000001-2101-4A4E-B7AB-09CE3DF38FE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employees in 2022/23</a:t>
            </a:r>
          </a:p>
        </c:rich>
      </c:tx>
      <c:layout>
        <c:manualLayout>
          <c:xMode val="edge"/>
          <c:yMode val="edge"/>
          <c:x val="0.2583861780047233"/>
          <c:y val="4.338934975574036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06078674105042"/>
          <c:y val="0.21766282711202872"/>
          <c:w val="0.4668475352414348"/>
          <c:h val="0.68600091518751505"/>
        </c:manualLayout>
      </c:layout>
      <c:doughnutChart>
        <c:varyColors val="1"/>
        <c:ser>
          <c:idx val="0"/>
          <c:order val="0"/>
          <c:tx>
            <c:strRef>
              <c:f>'People (Internal)'!$B$22</c:f>
              <c:strCache>
                <c:ptCount val="1"/>
                <c:pt idx="0">
                  <c:v>Total number of employees</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34D-4B20-B9A5-D9C65159927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34D-4B20-B9A5-D9C651599274}"/>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(Internal)'!$D$7:$E$7</c:f>
              <c:strCache>
                <c:ptCount val="2"/>
                <c:pt idx="0">
                  <c:v>Female</c:v>
                </c:pt>
                <c:pt idx="1">
                  <c:v>Male</c:v>
                </c:pt>
              </c:strCache>
            </c:strRef>
          </c:cat>
          <c:val>
            <c:numRef>
              <c:f>'People (Internal)'!$D$28:$E$28</c:f>
              <c:numCache>
                <c:formatCode>_-* #,##0_-;\-* #,##0_-;_-* "-"??_-;_-@_-</c:formatCode>
                <c:ptCount val="2"/>
                <c:pt idx="0">
                  <c:v>3773</c:v>
                </c:pt>
                <c:pt idx="1">
                  <c:v>8865</c:v>
                </c:pt>
              </c:numCache>
            </c:numRef>
          </c:val>
          <c:extLst>
            <c:ext xmlns:c16="http://schemas.microsoft.com/office/drawing/2014/chart" uri="{C3380CC4-5D6E-409C-BE32-E72D297353CC}">
              <c16:uniqueId val="{00000004-834D-4B20-B9A5-D9C651599274}"/>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Board in 2022/23</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69746408616373"/>
          <c:y val="0.15452954318782783"/>
          <c:w val="0.40039008831354761"/>
          <c:h val="0.73358399349871806"/>
        </c:manualLayout>
      </c:layout>
      <c:doughnutChart>
        <c:varyColors val="1"/>
        <c:ser>
          <c:idx val="0"/>
          <c:order val="0"/>
          <c:tx>
            <c:strRef>
              <c:f>'People (Internal)'!$B$30</c:f>
              <c:strCache>
                <c:ptCount val="1"/>
                <c:pt idx="0">
                  <c:v>Board</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C88-4A33-B816-80BDE33FD10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C88-4A33-B816-80BDE33FD108}"/>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(Internal)'!$D$7:$E$7</c:f>
              <c:strCache>
                <c:ptCount val="2"/>
                <c:pt idx="0">
                  <c:v>Female</c:v>
                </c:pt>
                <c:pt idx="1">
                  <c:v>Male</c:v>
                </c:pt>
              </c:strCache>
            </c:strRef>
          </c:cat>
          <c:val>
            <c:numRef>
              <c:f>'People (Internal)'!$D$30:$E$30</c:f>
              <c:numCache>
                <c:formatCode>_-* #,##0_-;\-* #,##0_-;_-* "-"??_-;_-@_-</c:formatCode>
                <c:ptCount val="2"/>
                <c:pt idx="0">
                  <c:v>3</c:v>
                </c:pt>
                <c:pt idx="1">
                  <c:v>6</c:v>
                </c:pt>
              </c:numCache>
            </c:numRef>
          </c:val>
          <c:extLst>
            <c:ext xmlns:c16="http://schemas.microsoft.com/office/drawing/2014/chart" uri="{C3380CC4-5D6E-409C-BE32-E72D297353CC}">
              <c16:uniqueId val="{00000004-2C88-4A33-B816-80BDE33FD108}"/>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GB"/>
              <a:t>Employees by region</a:t>
            </a:r>
          </a:p>
        </c:rich>
      </c:tx>
      <c:layout>
        <c:manualLayout>
          <c:xMode val="edge"/>
          <c:yMode val="edge"/>
          <c:x val="0.31820878582299378"/>
          <c:y val="0.13089205858086897"/>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9964832684014708"/>
          <c:y val="0.15269386228227844"/>
          <c:w val="0.44524035748141083"/>
          <c:h val="0.74137936697657858"/>
        </c:manualLayout>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D63-4099-B26C-26F5EE17FAB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D63-4099-B26C-26F5EE17FAB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D63-4099-B26C-26F5EE17FAB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D63-4099-B26C-26F5EE17FAB4}"/>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DD63-4099-B26C-26F5EE17FAB4}"/>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(Internal)'!$P$9:$P$13</c:f>
              <c:strCache>
                <c:ptCount val="5"/>
                <c:pt idx="0">
                  <c:v>UK </c:v>
                </c:pt>
                <c:pt idx="1">
                  <c:v>Rest of Europe</c:v>
                </c:pt>
                <c:pt idx="2">
                  <c:v>North America</c:v>
                </c:pt>
                <c:pt idx="3">
                  <c:v>Asia</c:v>
                </c:pt>
                <c:pt idx="4">
                  <c:v>Rest of World</c:v>
                </c:pt>
              </c:strCache>
            </c:strRef>
          </c:cat>
          <c:val>
            <c:numRef>
              <c:f>'People (Internal)'!$Q$9:$Q$13</c:f>
              <c:numCache>
                <c:formatCode>_-* #,##0_-;\-* #,##0_-;_-* "-"??_-;_-@_-</c:formatCode>
                <c:ptCount val="5"/>
                <c:pt idx="0">
                  <c:v>4079</c:v>
                </c:pt>
                <c:pt idx="1">
                  <c:v>2858</c:v>
                </c:pt>
                <c:pt idx="2">
                  <c:v>2186</c:v>
                </c:pt>
                <c:pt idx="3">
                  <c:v>2459</c:v>
                </c:pt>
                <c:pt idx="4">
                  <c:v>1056</c:v>
                </c:pt>
              </c:numCache>
            </c:numRef>
          </c:val>
          <c:extLst>
            <c:ext xmlns:c16="http://schemas.microsoft.com/office/drawing/2014/chart" uri="{C3380CC4-5D6E-409C-BE32-E72D297353CC}">
              <c16:uniqueId val="{0000000A-DD63-4099-B26C-26F5EE17FAB4}"/>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R&amp;D spend contributing to our priority UN SDGs in 2025/26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0777004735153235"/>
          <c:y val="0.23536045120610069"/>
          <c:w val="0.41739763032693938"/>
          <c:h val="0.66579445438467677"/>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659-41E2-A37E-BA07C8B18F1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659-41E2-A37E-BA07C8B18F1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659-41E2-A37E-BA07C8B18F1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659-41E2-A37E-BA07C8B18F1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659-41E2-A37E-BA07C8B18F14}"/>
              </c:ext>
            </c:extLst>
          </c:dPt>
          <c:dLbls>
            <c:dLbl>
              <c:idx val="0"/>
              <c:layout>
                <c:manualLayout>
                  <c:x val="0.13840973269229076"/>
                  <c:y val="-0.2561100910400793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59-41E2-A37E-BA07C8B18F14}"/>
                </c:ext>
              </c:extLst>
            </c:dLbl>
            <c:dLbl>
              <c:idx val="1"/>
              <c:layout>
                <c:manualLayout>
                  <c:x val="-0.21388294799196717"/>
                  <c:y val="3.938969297124055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59-41E2-A37E-BA07C8B18F14}"/>
                </c:ext>
              </c:extLst>
            </c:dLbl>
            <c:dLbl>
              <c:idx val="2"/>
              <c:layout>
                <c:manualLayout>
                  <c:x val="-0.22737243361954051"/>
                  <c:y val="-0.1155485091801770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59-41E2-A37E-BA07C8B18F14}"/>
                </c:ext>
              </c:extLst>
            </c:dLbl>
            <c:dLbl>
              <c:idx val="3"/>
              <c:layout>
                <c:manualLayout>
                  <c:x val="-0.15608336506641438"/>
                  <c:y val="-0.1195543988362148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59-41E2-A37E-BA07C8B18F14}"/>
                </c:ext>
              </c:extLst>
            </c:dLbl>
            <c:dLbl>
              <c:idx val="4"/>
              <c:layout>
                <c:manualLayout>
                  <c:x val="-0.10306231773782928"/>
                  <c:y val="-0.1024805881439560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659-41E2-A37E-BA07C8B18F14}"/>
                </c:ext>
              </c:extLst>
            </c:dLbl>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'UN SDGs'!$B$17:$B$21</c:f>
              <c:strCache>
                <c:ptCount val="5"/>
                <c:pt idx="0">
                  <c:v>SDG 3 - Good health and well-being</c:v>
                </c:pt>
                <c:pt idx="1">
                  <c:v>SDG 7 - Affordable and clean energy</c:v>
                </c:pt>
                <c:pt idx="2">
                  <c:v>SDG 12 - Responsible consumption and production</c:v>
                </c:pt>
                <c:pt idx="3">
                  <c:v>SDG 13 - Climate action</c:v>
                </c:pt>
                <c:pt idx="4">
                  <c:v>Unassigned</c:v>
                </c:pt>
              </c:strCache>
            </c:strRef>
          </c:cat>
          <c:val>
            <c:numRef>
              <c:f>'UN SDGs'!$D$17:$D$21</c:f>
              <c:numCache>
                <c:formatCode>0%</c:formatCode>
                <c:ptCount val="5"/>
                <c:pt idx="0">
                  <c:v>0.52482642313914984</c:v>
                </c:pt>
                <c:pt idx="1">
                  <c:v>4.5983282002680738E-2</c:v>
                </c:pt>
                <c:pt idx="2">
                  <c:v>0.13933371799426705</c:v>
                </c:pt>
                <c:pt idx="3">
                  <c:v>0.13684454239835778</c:v>
                </c:pt>
                <c:pt idx="4">
                  <c:v>0.15301203446554468</c:v>
                </c:pt>
              </c:numCache>
            </c:numRef>
          </c:val>
          <c:extLst>
            <c:ext xmlns:c16="http://schemas.microsoft.com/office/drawing/2014/chart" uri="{C3380CC4-5D6E-409C-BE32-E72D297353CC}">
              <c16:uniqueId val="{0000000A-6659-41E2-A37E-BA07C8B18F1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baseline="0">
                <a:solidFill>
                  <a:schemeClr val="tx2"/>
                </a:solidFill>
                <a:latin typeface="+mn-lt"/>
                <a:ea typeface="+mn-ea"/>
                <a:cs typeface="+mn-cs"/>
              </a:defRPr>
            </a:pPr>
            <a:r>
              <a:rPr lang="en-GB"/>
              <a:t>Total</a:t>
            </a:r>
          </a:p>
          <a:p>
            <a:pPr>
              <a:defRPr/>
            </a:pPr>
            <a:r>
              <a:rPr lang="en-GB"/>
              <a:t>greenhouse gas</a:t>
            </a:r>
          </a:p>
          <a:p>
            <a:pPr>
              <a:defRPr/>
            </a:pPr>
            <a:r>
              <a:rPr lang="en-GB"/>
              <a:t>emissions</a:t>
            </a:r>
            <a:br>
              <a:rPr lang="en-GB"/>
            </a:br>
            <a:r>
              <a:rPr lang="en-GB"/>
              <a:t>2025/26</a:t>
            </a:r>
          </a:p>
        </c:rich>
      </c:tx>
      <c:layout>
        <c:manualLayout>
          <c:xMode val="edge"/>
          <c:yMode val="edge"/>
          <c:x val="0.42926568088146771"/>
          <c:y val="0.4088537976868114"/>
        </c:manualLayout>
      </c:layout>
      <c:overlay val="0"/>
      <c:spPr>
        <a:noFill/>
        <a:ln>
          <a:noFill/>
        </a:ln>
        <a:effectLst/>
      </c:spPr>
      <c:txPr>
        <a:bodyPr rot="0" spcFirstLastPara="1" vertOverflow="ellipsis" vert="horz" wrap="square" anchor="ctr" anchorCtr="1"/>
        <a:lstStyle/>
        <a:p>
          <a:pPr>
            <a:defRPr sz="168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29732411683481574"/>
          <c:y val="0.17007045635237275"/>
          <c:w val="0.43866989818360524"/>
          <c:h val="0.72446742522000906"/>
        </c:manualLayout>
      </c:layout>
      <c:doughnut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1BE8-46EA-91D5-7C32FAA8E8AF}"/>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1BE8-46EA-91D5-7C32FAA8E8AF}"/>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1BE8-46EA-91D5-7C32FAA8E8A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1BE8-46EA-91D5-7C32FAA8E8AF}"/>
              </c:ext>
            </c:extLst>
          </c:dPt>
          <c:dLbls>
            <c:dLbl>
              <c:idx val="0"/>
              <c:layout>
                <c:manualLayout>
                  <c:x val="1.2393443584524468E-2"/>
                  <c:y val="-0.144454167981512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BE8-46EA-91D5-7C32FAA8E8AF}"/>
                </c:ext>
              </c:extLst>
            </c:dLbl>
            <c:dLbl>
              <c:idx val="1"/>
              <c:layout>
                <c:manualLayout>
                  <c:x val="0.21696801112656466"/>
                  <c:y val="-2.31481481481481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BE8-46EA-91D5-7C32FAA8E8AF}"/>
                </c:ext>
              </c:extLst>
            </c:dLbl>
            <c:dLbl>
              <c:idx val="2"/>
              <c:layout>
                <c:manualLayout>
                  <c:x val="0.32333666505678044"/>
                  <c:y val="-3.69382352973071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BE8-46EA-91D5-7C32FAA8E8AF}"/>
                </c:ext>
              </c:extLst>
            </c:dLbl>
            <c:dLbl>
              <c:idx val="3"/>
              <c:layout>
                <c:manualLayout>
                  <c:x val="-0.1872689533358467"/>
                  <c:y val="-0.1010336951284356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BE8-46EA-91D5-7C32FAA8E8AF}"/>
                </c:ext>
              </c:extLst>
            </c:dLbl>
            <c:numFmt formatCode="0%" sourceLinked="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n-lt"/>
                    <a:ea typeface="+mn-ea"/>
                    <a:cs typeface="+mn-cs"/>
                  </a:defRPr>
                </a:pPr>
                <a:endParaRPr lang="en-US"/>
              </a:p>
            </c:txPr>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Environment!$N$39:$N$42</c:f>
              <c:strCache>
                <c:ptCount val="4"/>
                <c:pt idx="0">
                  <c:v>Total Scope 1 GHG emissions</c:v>
                </c:pt>
                <c:pt idx="1">
                  <c:v>Total Scope 2 GHG emissions (market-based)</c:v>
                </c:pt>
                <c:pt idx="2">
                  <c:v>Scope 3 - Total Scope 3 (Category 1) Purchased goods and services GHG emissions</c:v>
                </c:pt>
                <c:pt idx="3">
                  <c:v>Scope 3 - All other categories</c:v>
                </c:pt>
              </c:strCache>
            </c:strRef>
          </c:cat>
          <c:val>
            <c:numRef>
              <c:f>Environment!$O$39:$O$42</c:f>
              <c:numCache>
                <c:formatCode>0%</c:formatCode>
                <c:ptCount val="4"/>
                <c:pt idx="0">
                  <c:v>6.3050933754153118E-2</c:v>
                </c:pt>
                <c:pt idx="1">
                  <c:v>5.4698856872578104E-3</c:v>
                </c:pt>
                <c:pt idx="2">
                  <c:v>0.84222758693510802</c:v>
                </c:pt>
                <c:pt idx="3">
                  <c:v>8.9251593623481049E-2</c:v>
                </c:pt>
              </c:numCache>
            </c:numRef>
          </c:val>
          <c:extLst>
            <c:ext xmlns:c16="http://schemas.microsoft.com/office/drawing/2014/chart" uri="{C3380CC4-5D6E-409C-BE32-E72D297353CC}">
              <c16:uniqueId val="{00000008-1BE8-46EA-91D5-7C32FAA8E8AF}"/>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ayout>
        <c:manualLayout>
          <c:xMode val="edge"/>
          <c:yMode val="edge"/>
          <c:x val="3.8031267478768938E-4"/>
          <c:y val="0.39443915798028045"/>
          <c:w val="0.32659103439426712"/>
          <c:h val="0.46404426947284616"/>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Safety'!$P$29</c:f>
              <c:strCache>
                <c:ptCount val="1"/>
                <c:pt idx="0">
                  <c:v>ICCA - Process Safety Event Severity Rate (PSESR)</c:v>
                </c:pt>
              </c:strCache>
            </c:strRef>
          </c:tx>
          <c:spPr>
            <a:solidFill>
              <a:schemeClr val="accent1"/>
            </a:solidFill>
            <a:ln>
              <a:noFill/>
            </a:ln>
            <a:effectLst/>
          </c:spPr>
          <c:invertIfNegative val="0"/>
          <c:dPt>
            <c:idx val="4"/>
            <c:invertIfNegative val="0"/>
            <c:bubble3D val="0"/>
            <c:spPr>
              <a:solidFill>
                <a:srgbClr val="1E22AA"/>
              </a:solidFill>
              <a:ln>
                <a:noFill/>
              </a:ln>
              <a:effectLst/>
            </c:spPr>
            <c:extLst>
              <c:ext xmlns:c16="http://schemas.microsoft.com/office/drawing/2014/chart" uri="{C3380CC4-5D6E-409C-BE32-E72D297353CC}">
                <c16:uniqueId val="{00000000-66BD-41AD-A7B1-EEF4C2FDBA79}"/>
              </c:ext>
            </c:extLst>
          </c:dPt>
          <c:dPt>
            <c:idx val="5"/>
            <c:invertIfNegative val="0"/>
            <c:bubble3D val="0"/>
            <c:spPr>
              <a:solidFill>
                <a:srgbClr val="1E22AA"/>
              </a:solidFill>
              <a:ln>
                <a:noFill/>
              </a:ln>
              <a:effectLst/>
            </c:spPr>
            <c:extLst>
              <c:ext xmlns:c16="http://schemas.microsoft.com/office/drawing/2014/chart" uri="{C3380CC4-5D6E-409C-BE32-E72D297353CC}">
                <c16:uniqueId val="{00000002-E230-4283-9637-D8F0EB59BD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Safety'!$Q$21:$X$21</c:f>
              <c:strCache>
                <c:ptCount val="8"/>
                <c:pt idx="0">
                  <c:v>2018/19</c:v>
                </c:pt>
                <c:pt idx="1">
                  <c:v>2019/20</c:v>
                </c:pt>
                <c:pt idx="2">
                  <c:v>2020/21</c:v>
                </c:pt>
                <c:pt idx="3">
                  <c:v>2021/22</c:v>
                </c:pt>
                <c:pt idx="4">
                  <c:v>2022/23</c:v>
                </c:pt>
                <c:pt idx="5">
                  <c:v>2023/24</c:v>
                </c:pt>
                <c:pt idx="6">
                  <c:v>2024/25</c:v>
                </c:pt>
                <c:pt idx="7">
                  <c:v>2025/26</c:v>
                </c:pt>
              </c:strCache>
            </c:strRef>
          </c:cat>
          <c:val>
            <c:numRef>
              <c:f>'Health and Safety'!$Q$29:$X$29</c:f>
              <c:numCache>
                <c:formatCode>0.00</c:formatCode>
                <c:ptCount val="8"/>
                <c:pt idx="0">
                  <c:v>1.5349999999999999</c:v>
                </c:pt>
                <c:pt idx="1">
                  <c:v>1.1819999999999999</c:v>
                </c:pt>
                <c:pt idx="2">
                  <c:v>0.77</c:v>
                </c:pt>
                <c:pt idx="3">
                  <c:v>1.3220000000000001</c:v>
                </c:pt>
                <c:pt idx="4">
                  <c:v>1.0149999999999999</c:v>
                </c:pt>
                <c:pt idx="5">
                  <c:v>0.88</c:v>
                </c:pt>
                <c:pt idx="6">
                  <c:v>0.82599999999999996</c:v>
                </c:pt>
                <c:pt idx="7">
                  <c:v>0.63</c:v>
                </c:pt>
              </c:numCache>
            </c:numRef>
          </c:val>
          <c:extLst>
            <c:ext xmlns:c16="http://schemas.microsoft.com/office/drawing/2014/chart" uri="{C3380CC4-5D6E-409C-BE32-E72D297353CC}">
              <c16:uniqueId val="{00000000-75DC-40F7-BE8E-E75CCA7402E6}"/>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PSESR/200,000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Safety'!$P$25</c:f>
              <c:strCache>
                <c:ptCount val="1"/>
                <c:pt idx="0">
                  <c:v>Total Recordable Injury and Illness Rate (TRIIR)
employees + contractors</c:v>
                </c:pt>
              </c:strCache>
            </c:strRef>
          </c:tx>
          <c:spPr>
            <a:solidFill>
              <a:schemeClr val="accent1"/>
            </a:solidFill>
            <a:ln>
              <a:noFill/>
            </a:ln>
            <a:effectLst/>
          </c:spPr>
          <c:invertIfNegative val="0"/>
          <c:dPt>
            <c:idx val="4"/>
            <c:invertIfNegative val="0"/>
            <c:bubble3D val="0"/>
            <c:spPr>
              <a:solidFill>
                <a:schemeClr val="accent1"/>
              </a:solidFill>
              <a:ln>
                <a:noFill/>
              </a:ln>
              <a:effectLst/>
            </c:spPr>
            <c:extLst>
              <c:ext xmlns:c16="http://schemas.microsoft.com/office/drawing/2014/chart" uri="{C3380CC4-5D6E-409C-BE32-E72D297353CC}">
                <c16:uniqueId val="{00000000-271C-4477-A74D-CFC83283BFCC}"/>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2-112C-4458-9096-D620BFF958C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Safety'!$Q$21:$X$21</c:f>
              <c:strCache>
                <c:ptCount val="8"/>
                <c:pt idx="0">
                  <c:v>2018/19</c:v>
                </c:pt>
                <c:pt idx="1">
                  <c:v>2019/20</c:v>
                </c:pt>
                <c:pt idx="2">
                  <c:v>2020/21</c:v>
                </c:pt>
                <c:pt idx="3">
                  <c:v>2021/22</c:v>
                </c:pt>
                <c:pt idx="4">
                  <c:v>2022/23</c:v>
                </c:pt>
                <c:pt idx="5">
                  <c:v>2023/24</c:v>
                </c:pt>
                <c:pt idx="6">
                  <c:v>2024/25</c:v>
                </c:pt>
                <c:pt idx="7">
                  <c:v>2025/26</c:v>
                </c:pt>
              </c:strCache>
            </c:strRef>
          </c:cat>
          <c:val>
            <c:numRef>
              <c:f>'Health and Safety'!$Q$25:$X$25</c:f>
              <c:numCache>
                <c:formatCode>General</c:formatCode>
                <c:ptCount val="8"/>
                <c:pt idx="0">
                  <c:v>0.97</c:v>
                </c:pt>
                <c:pt idx="1">
                  <c:v>0.79</c:v>
                </c:pt>
                <c:pt idx="2">
                  <c:v>0.55000000000000004</c:v>
                </c:pt>
                <c:pt idx="3">
                  <c:v>0.59</c:v>
                </c:pt>
                <c:pt idx="4">
                  <c:v>0.47</c:v>
                </c:pt>
                <c:pt idx="5">
                  <c:v>0.36</c:v>
                </c:pt>
                <c:pt idx="6" formatCode="0.00">
                  <c:v>0.35717850817456592</c:v>
                </c:pt>
                <c:pt idx="7" formatCode="0.00">
                  <c:v>0.46696270261630135</c:v>
                </c:pt>
              </c:numCache>
            </c:numRef>
          </c:val>
          <c:extLst>
            <c:ext xmlns:c16="http://schemas.microsoft.com/office/drawing/2014/chart" uri="{C3380CC4-5D6E-409C-BE32-E72D297353CC}">
              <c16:uniqueId val="{00000000-FB9A-4933-AC77-44BDDFA6BC6C}"/>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n/200,000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Safety'!$P$22</c:f>
              <c:strCache>
                <c:ptCount val="1"/>
                <c:pt idx="0">
                  <c:v>Lost Time Injury and Illness Rate (LTIIR) 
employees + contractors</c:v>
                </c:pt>
              </c:strCache>
            </c:strRef>
          </c:tx>
          <c:spPr>
            <a:solidFill>
              <a:schemeClr val="accent1"/>
            </a:solidFill>
            <a:ln>
              <a:noFill/>
            </a:ln>
            <a:effectLst/>
          </c:spPr>
          <c:invertIfNegative val="0"/>
          <c:dPt>
            <c:idx val="4"/>
            <c:invertIfNegative val="0"/>
            <c:bubble3D val="0"/>
            <c:spPr>
              <a:solidFill>
                <a:srgbClr val="1E22AA"/>
              </a:solidFill>
              <a:ln>
                <a:noFill/>
              </a:ln>
              <a:effectLst/>
            </c:spPr>
            <c:extLst>
              <c:ext xmlns:c16="http://schemas.microsoft.com/office/drawing/2014/chart" uri="{C3380CC4-5D6E-409C-BE32-E72D297353CC}">
                <c16:uniqueId val="{00000000-EB91-46CB-A3AD-821085B4151F}"/>
              </c:ext>
            </c:extLst>
          </c:dPt>
          <c:dPt>
            <c:idx val="5"/>
            <c:invertIfNegative val="0"/>
            <c:bubble3D val="0"/>
            <c:spPr>
              <a:solidFill>
                <a:srgbClr val="1E22AA"/>
              </a:solidFill>
              <a:ln>
                <a:noFill/>
              </a:ln>
              <a:effectLst/>
            </c:spPr>
            <c:extLst>
              <c:ext xmlns:c16="http://schemas.microsoft.com/office/drawing/2014/chart" uri="{C3380CC4-5D6E-409C-BE32-E72D297353CC}">
                <c16:uniqueId val="{00000002-6258-4332-AF79-3B0ACC3F796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Safety'!$Q$21:$X$21</c:f>
              <c:strCache>
                <c:ptCount val="8"/>
                <c:pt idx="0">
                  <c:v>2018/19</c:v>
                </c:pt>
                <c:pt idx="1">
                  <c:v>2019/20</c:v>
                </c:pt>
                <c:pt idx="2">
                  <c:v>2020/21</c:v>
                </c:pt>
                <c:pt idx="3">
                  <c:v>2021/22</c:v>
                </c:pt>
                <c:pt idx="4">
                  <c:v>2022/23</c:v>
                </c:pt>
                <c:pt idx="5">
                  <c:v>2023/24</c:v>
                </c:pt>
                <c:pt idx="6">
                  <c:v>2024/25</c:v>
                </c:pt>
                <c:pt idx="7">
                  <c:v>2025/26</c:v>
                </c:pt>
              </c:strCache>
            </c:strRef>
          </c:cat>
          <c:val>
            <c:numRef>
              <c:f>'Health and Safety'!$Q$22:$X$22</c:f>
              <c:numCache>
                <c:formatCode>General</c:formatCode>
                <c:ptCount val="8"/>
                <c:pt idx="0">
                  <c:v>0.56000000000000005</c:v>
                </c:pt>
                <c:pt idx="1">
                  <c:v>0.34</c:v>
                </c:pt>
                <c:pt idx="2">
                  <c:v>0.28000000000000003</c:v>
                </c:pt>
                <c:pt idx="3" formatCode="0.00">
                  <c:v>0.3</c:v>
                </c:pt>
                <c:pt idx="4">
                  <c:v>0.24</c:v>
                </c:pt>
                <c:pt idx="5">
                  <c:v>0.17</c:v>
                </c:pt>
                <c:pt idx="6" formatCode="0.00">
                  <c:v>0.17008500389265047</c:v>
                </c:pt>
                <c:pt idx="7" formatCode="0.00">
                  <c:v>0.22890328559622614</c:v>
                </c:pt>
              </c:numCache>
            </c:numRef>
          </c:val>
          <c:extLst>
            <c:ext xmlns:c16="http://schemas.microsoft.com/office/drawing/2014/chart" uri="{C3380CC4-5D6E-409C-BE32-E72D297353CC}">
              <c16:uniqueId val="{00000000-E8D7-45DE-B5DC-52F6186D339C}"/>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n/200,000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GB"/>
              <a:t># of Speak Up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'Ethics and Compliance'!$W$15:$AC$15</c:f>
              <c:strCache>
                <c:ptCount val="7"/>
                <c:pt idx="0">
                  <c:v>2019/20</c:v>
                </c:pt>
                <c:pt idx="1">
                  <c:v>2020/21</c:v>
                </c:pt>
                <c:pt idx="2">
                  <c:v>2021/22</c:v>
                </c:pt>
                <c:pt idx="3">
                  <c:v>2022/23</c:v>
                </c:pt>
                <c:pt idx="4">
                  <c:v>2023/24</c:v>
                </c:pt>
                <c:pt idx="5">
                  <c:v>2024/25</c:v>
                </c:pt>
                <c:pt idx="6">
                  <c:v>2025/26</c:v>
                </c:pt>
              </c:strCache>
            </c:strRef>
          </c:cat>
          <c:val>
            <c:numRef>
              <c:f>'Ethics and Compliance'!$W$16:$AC$16</c:f>
              <c:numCache>
                <c:formatCode>General</c:formatCode>
                <c:ptCount val="7"/>
                <c:pt idx="0">
                  <c:v>123</c:v>
                </c:pt>
                <c:pt idx="1">
                  <c:v>129</c:v>
                </c:pt>
                <c:pt idx="2">
                  <c:v>158</c:v>
                </c:pt>
                <c:pt idx="3">
                  <c:v>153</c:v>
                </c:pt>
                <c:pt idx="4">
                  <c:v>138</c:v>
                </c:pt>
                <c:pt idx="5">
                  <c:v>147</c:v>
                </c:pt>
                <c:pt idx="6">
                  <c:v>125</c:v>
                </c:pt>
              </c:numCache>
            </c:numRef>
          </c:val>
          <c:extLst>
            <c:ext xmlns:c16="http://schemas.microsoft.com/office/drawing/2014/chart" uri="{C3380CC4-5D6E-409C-BE32-E72D297353CC}">
              <c16:uniqueId val="{00000000-5686-457E-AF55-402608ABBE6B}"/>
            </c:ext>
          </c:extLst>
        </c:ser>
        <c:dLbls>
          <c:showLegendKey val="0"/>
          <c:showVal val="0"/>
          <c:showCatName val="0"/>
          <c:showSerName val="0"/>
          <c:showPercent val="0"/>
          <c:showBubbleSize val="0"/>
        </c:dLbls>
        <c:gapWidth val="219"/>
        <c:overlap val="-27"/>
        <c:axId val="397517071"/>
        <c:axId val="440696400"/>
      </c:barChart>
      <c:catAx>
        <c:axId val="39751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40696400"/>
        <c:crosses val="autoZero"/>
        <c:auto val="1"/>
        <c:lblAlgn val="ctr"/>
        <c:lblOffset val="100"/>
        <c:noMultiLvlLbl val="0"/>
      </c:catAx>
      <c:valAx>
        <c:axId val="440696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975170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b="1">
                <a:latin typeface="Verdana" panose="020B0604030504040204" pitchFamily="34" charset="0"/>
                <a:ea typeface="Verdana" panose="020B0604030504040204" pitchFamily="34" charset="0"/>
              </a:rPr>
              <a:t>Global footprint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30221585291162451"/>
          <c:y val="0.22063730361905981"/>
          <c:w val="0.40828980218936045"/>
          <c:h val="0.7155495183732816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232-4AAF-9EFC-50AAC69600B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232-4AAF-9EFC-50AAC69600B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232-4AAF-9EFC-50AAC69600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232-4AAF-9EFC-50AAC69600B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232-4AAF-9EFC-50AAC69600B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232-4AAF-9EFC-50AAC69600B8}"/>
              </c:ext>
            </c:extLst>
          </c:dPt>
          <c:dLbls>
            <c:dLbl>
              <c:idx val="4"/>
              <c:layout>
                <c:manualLayout>
                  <c:x val="-4.4901227744844674E-2"/>
                  <c:y val="-8.146323362212118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232-4AAF-9EFC-50AAC69600B8}"/>
                </c:ext>
              </c:extLst>
            </c:dLbl>
            <c:dLbl>
              <c:idx val="5"/>
              <c:layout>
                <c:manualLayout>
                  <c:x val="0.11837596405459058"/>
                  <c:y val="-4.073161681106078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232-4AAF-9EFC-50AAC69600B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People!$AE$33:$AE$38</c:f>
              <c:strCache>
                <c:ptCount val="6"/>
                <c:pt idx="0">
                  <c:v>UK </c:v>
                </c:pt>
                <c:pt idx="1">
                  <c:v>Rest of Europe</c:v>
                </c:pt>
                <c:pt idx="2">
                  <c:v>North America</c:v>
                </c:pt>
                <c:pt idx="3">
                  <c:v>Asia</c:v>
                </c:pt>
                <c:pt idx="4">
                  <c:v>South America</c:v>
                </c:pt>
                <c:pt idx="5">
                  <c:v>Rest of World</c:v>
                </c:pt>
              </c:strCache>
            </c:strRef>
          </c:cat>
          <c:val>
            <c:numRef>
              <c:f>People!$AG$33:$AG$38</c:f>
              <c:numCache>
                <c:formatCode>0%</c:formatCode>
                <c:ptCount val="6"/>
                <c:pt idx="0">
                  <c:v>0.3402170477294279</c:v>
                </c:pt>
                <c:pt idx="1">
                  <c:v>0.23264144979454221</c:v>
                </c:pt>
                <c:pt idx="2">
                  <c:v>0.19766094194500053</c:v>
                </c:pt>
                <c:pt idx="3">
                  <c:v>0.21314929933621327</c:v>
                </c:pt>
                <c:pt idx="4">
                  <c:v>1.4224001685807607E-2</c:v>
                </c:pt>
                <c:pt idx="5">
                  <c:v>2.1072595090085343E-3</c:v>
                </c:pt>
              </c:numCache>
            </c:numRef>
          </c:val>
          <c:extLst>
            <c:ext xmlns:c16="http://schemas.microsoft.com/office/drawing/2014/chart" uri="{C3380CC4-5D6E-409C-BE32-E72D297353CC}">
              <c16:uniqueId val="{0000000C-9232-4AAF-9EFC-50AAC69600B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GB" sz="1600"/>
              <a:t>Total GHG emissions 2022/23</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304-488E-A68B-A8D167A65B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304-488E-A68B-A8D167A65B4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304-488E-A68B-A8D167A65B4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304-488E-A68B-A8D167A65B4D}"/>
              </c:ext>
            </c:extLst>
          </c:dPt>
          <c:dLbls>
            <c:dLbl>
              <c:idx val="0"/>
              <c:layout>
                <c:manualLayout>
                  <c:x val="-3.0487580637631892E-2"/>
                  <c:y val="-1.951384942861523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4-488E-A68B-A8D167A65B4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'Environment (original)'!$B$36:$B$39</c:f>
              <c:strCache>
                <c:ptCount val="4"/>
                <c:pt idx="0">
                  <c:v>Total Scope 1 GHG emissions</c:v>
                </c:pt>
                <c:pt idx="1">
                  <c:v>Total Scope 2 GHG emissions (market-based)</c:v>
                </c:pt>
                <c:pt idx="2">
                  <c:v>Scope 3 - Total Scope 3 (Category 1) Purchased goods and services GHG emissions</c:v>
                </c:pt>
                <c:pt idx="3">
                  <c:v>Scope 3 - All other categories</c:v>
                </c:pt>
              </c:strCache>
            </c:strRef>
          </c:cat>
          <c:val>
            <c:numRef>
              <c:f>'Environment (original)'!$N$36:$N$39</c:f>
              <c:numCache>
                <c:formatCode>0.0%</c:formatCode>
                <c:ptCount val="4"/>
                <c:pt idx="0">
                  <c:v>7.0527397611580958E-2</c:v>
                </c:pt>
                <c:pt idx="1">
                  <c:v>3.941613915552334E-2</c:v>
                </c:pt>
                <c:pt idx="2">
                  <c:v>0.75439073105340759</c:v>
                </c:pt>
                <c:pt idx="3">
                  <c:v>0.13566573217948807</c:v>
                </c:pt>
              </c:numCache>
            </c:numRef>
          </c:val>
          <c:extLst>
            <c:ext xmlns:c16="http://schemas.microsoft.com/office/drawing/2014/chart" uri="{C3380CC4-5D6E-409C-BE32-E72D297353CC}">
              <c16:uniqueId val="{00000000-A6DB-4275-82A8-46D782AEB52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0.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chart" Target="../charts/chart1.xml"/><Relationship Id="rId1" Type="http://schemas.openxmlformats.org/officeDocument/2006/relationships/image" Target="../media/image9.png"/><Relationship Id="rId4" Type="http://schemas.openxmlformats.org/officeDocument/2006/relationships/chart" Target="../charts/chart2.xml"/></Relationships>
</file>

<file path=xl/drawings/_rels/drawing11.xml.rels><?xml version="1.0" encoding="UTF-8" standalone="yes"?>
<Relationships xmlns="http://schemas.openxmlformats.org/package/2006/relationships"><Relationship Id="rId1" Type="http://schemas.openxmlformats.org/officeDocument/2006/relationships/hyperlink" Target="#Home!A1"/></Relationships>
</file>

<file path=xl/drawings/_rels/drawing12.xml.rels><?xml version="1.0" encoding="UTF-8" standalone="yes"?>
<Relationships xmlns="http://schemas.openxmlformats.org/package/2006/relationships"><Relationship Id="rId1" Type="http://schemas.openxmlformats.org/officeDocument/2006/relationships/hyperlink" Target="#Home!A1"/></Relationships>
</file>

<file path=xl/drawings/_rels/drawing1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Home!A1"/></Relationships>
</file>

<file path=xl/drawings/_rels/drawing1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Home!A1"/></Relationships>
</file>

<file path=xl/drawings/_rels/drawing1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Home!A1"/></Relationships>
</file>

<file path=xl/drawings/_rels/drawing1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Home!A1"/></Relationships>
</file>

<file path=xl/drawings/_rels/drawing18.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0.png"/></Relationships>
</file>

<file path=xl/drawings/_rels/drawing19.xml.rels><?xml version="1.0" encoding="UTF-8" standalone="yes"?>
<Relationships xmlns="http://schemas.openxmlformats.org/package/2006/relationships"><Relationship Id="rId1" Type="http://schemas.openxmlformats.org/officeDocument/2006/relationships/hyperlink" Target="#Home!A1"/></Relationships>
</file>

<file path=xl/drawings/_rels/drawing2.xml.rels><?xml version="1.0" encoding="UTF-8" standalone="yes"?>
<Relationships xmlns="http://schemas.openxmlformats.org/package/2006/relationships"><Relationship Id="rId1" Type="http://schemas.openxmlformats.org/officeDocument/2006/relationships/hyperlink" Target="#'ERM CVS Assured metrics'!Print_Area"/></Relationships>
</file>

<file path=xl/drawings/_rels/drawing20.xml.rels><?xml version="1.0" encoding="UTF-8" standalone="yes"?>
<Relationships xmlns="http://schemas.openxmlformats.org/package/2006/relationships"><Relationship Id="rId1" Type="http://schemas.openxmlformats.org/officeDocument/2006/relationships/hyperlink" Target="#Home!A1"/></Relationships>
</file>

<file path=xl/drawings/_rels/drawing21.xml.rels><?xml version="1.0" encoding="UTF-8" standalone="yes"?>
<Relationships xmlns="http://schemas.openxmlformats.org/package/2006/relationships"><Relationship Id="rId1" Type="http://schemas.openxmlformats.org/officeDocument/2006/relationships/hyperlink" Target="#Home!A1"/></Relationships>
</file>

<file path=xl/drawings/_rels/drawing2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Home!A1"/></Relationships>
</file>

<file path=xl/drawings/_rels/drawing23.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Home!A1"/><Relationship Id="rId4" Type="http://schemas.openxmlformats.org/officeDocument/2006/relationships/image" Target="../media/image13.pn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80031</xdr:colOff>
      <xdr:row>37</xdr:row>
      <xdr:rowOff>152400</xdr:rowOff>
    </xdr:to>
    <xdr:pic>
      <xdr:nvPicPr>
        <xdr:cNvPr id="2" name="Picture 1">
          <a:extLst>
            <a:ext uri="{FF2B5EF4-FFF2-40B4-BE49-F238E27FC236}">
              <a16:creationId xmlns:a16="http://schemas.microsoft.com/office/drawing/2014/main" id="{C756BA9C-96EB-4DC1-B1E7-9995748A6080}"/>
            </a:ext>
          </a:extLst>
        </xdr:cNvPr>
        <xdr:cNvPicPr>
          <a:picLocks noChangeAspect="1"/>
        </xdr:cNvPicPr>
      </xdr:nvPicPr>
      <xdr:blipFill>
        <a:blip xmlns:r="http://schemas.openxmlformats.org/officeDocument/2006/relationships" r:embed="rId1"/>
        <a:stretch>
          <a:fillRect/>
        </a:stretch>
      </xdr:blipFill>
      <xdr:spPr>
        <a:xfrm>
          <a:off x="0" y="0"/>
          <a:ext cx="8719206" cy="6848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3197672</xdr:colOff>
      <xdr:row>3</xdr:row>
      <xdr:rowOff>144759</xdr:rowOff>
    </xdr:to>
    <xdr:pic>
      <xdr:nvPicPr>
        <xdr:cNvPr id="2" name="Picture 1">
          <a:extLst>
            <a:ext uri="{FF2B5EF4-FFF2-40B4-BE49-F238E27FC236}">
              <a16:creationId xmlns:a16="http://schemas.microsoft.com/office/drawing/2014/main" id="{33107C59-79EB-E6E8-594F-7C94AC6A0CAE}"/>
            </a:ext>
          </a:extLst>
        </xdr:cNvPr>
        <xdr:cNvPicPr>
          <a:picLocks noChangeAspect="1"/>
        </xdr:cNvPicPr>
      </xdr:nvPicPr>
      <xdr:blipFill>
        <a:blip xmlns:r="http://schemas.openxmlformats.org/officeDocument/2006/relationships" r:embed="rId1"/>
        <a:stretch>
          <a:fillRect/>
        </a:stretch>
      </xdr:blipFill>
      <xdr:spPr>
        <a:xfrm>
          <a:off x="449036" y="721179"/>
          <a:ext cx="3200847" cy="495369"/>
        </a:xfrm>
        <a:prstGeom prst="rect">
          <a:avLst/>
        </a:prstGeom>
      </xdr:spPr>
    </xdr:pic>
    <xdr:clientData/>
  </xdr:twoCellAnchor>
  <xdr:twoCellAnchor>
    <xdr:from>
      <xdr:col>1</xdr:col>
      <xdr:colOff>257326</xdr:colOff>
      <xdr:row>23</xdr:row>
      <xdr:rowOff>44981</xdr:rowOff>
    </xdr:from>
    <xdr:to>
      <xdr:col>1</xdr:col>
      <xdr:colOff>4865159</xdr:colOff>
      <xdr:row>40</xdr:row>
      <xdr:rowOff>124662</xdr:rowOff>
    </xdr:to>
    <xdr:graphicFrame macro="">
      <xdr:nvGraphicFramePr>
        <xdr:cNvPr id="13" name="Chart 2">
          <a:extLst>
            <a:ext uri="{FF2B5EF4-FFF2-40B4-BE49-F238E27FC236}">
              <a16:creationId xmlns:a16="http://schemas.microsoft.com/office/drawing/2014/main" id="{EE9DA872-98D8-F929-8682-BC012649E5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488157</xdr:colOff>
      <xdr:row>1</xdr:row>
      <xdr:rowOff>285750</xdr:rowOff>
    </xdr:from>
    <xdr:to>
      <xdr:col>5</xdr:col>
      <xdr:colOff>895124</xdr:colOff>
      <xdr:row>2</xdr:row>
      <xdr:rowOff>148545</xdr:rowOff>
    </xdr:to>
    <xdr:sp macro="" textlink="">
      <xdr:nvSpPr>
        <xdr:cNvPr id="8" name="Rectangle: Rounded Corners 2">
          <a:hlinkClick xmlns:r="http://schemas.openxmlformats.org/officeDocument/2006/relationships" r:id="rId3"/>
          <a:extLst>
            <a:ext uri="{FF2B5EF4-FFF2-40B4-BE49-F238E27FC236}">
              <a16:creationId xmlns:a16="http://schemas.microsoft.com/office/drawing/2014/main" id="{8A53B764-0E0A-4120-B258-DF0459C00E36}"/>
            </a:ext>
          </a:extLst>
        </xdr:cNvPr>
        <xdr:cNvSpPr/>
      </xdr:nvSpPr>
      <xdr:spPr>
        <a:xfrm>
          <a:off x="8893970" y="452438"/>
          <a:ext cx="1299935" cy="410482"/>
        </a:xfrm>
        <a:prstGeom prst="round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xdr:from>
      <xdr:col>1</xdr:col>
      <xdr:colOff>5298280</xdr:colOff>
      <xdr:row>23</xdr:row>
      <xdr:rowOff>64292</xdr:rowOff>
    </xdr:from>
    <xdr:to>
      <xdr:col>6</xdr:col>
      <xdr:colOff>695324</xdr:colOff>
      <xdr:row>40</xdr:row>
      <xdr:rowOff>124925</xdr:rowOff>
    </xdr:to>
    <xdr:graphicFrame macro="">
      <xdr:nvGraphicFramePr>
        <xdr:cNvPr id="5" name="Chart 4">
          <a:extLst>
            <a:ext uri="{FF2B5EF4-FFF2-40B4-BE49-F238E27FC236}">
              <a16:creationId xmlns:a16="http://schemas.microsoft.com/office/drawing/2014/main" id="{0210A81E-56A7-4425-BF2C-301B7396FA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1450397</xdr:colOff>
      <xdr:row>1</xdr:row>
      <xdr:rowOff>61479</xdr:rowOff>
    </xdr:from>
    <xdr:to>
      <xdr:col>5</xdr:col>
      <xdr:colOff>8730</xdr:colOff>
      <xdr:row>2</xdr:row>
      <xdr:rowOff>138472</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6A573B1C-C3BE-4CF3-B0A4-4E65A60C7D54}"/>
            </a:ext>
          </a:extLst>
        </xdr:cNvPr>
        <xdr:cNvSpPr/>
      </xdr:nvSpPr>
      <xdr:spPr>
        <a:xfrm>
          <a:off x="11321761" y="234661"/>
          <a:ext cx="1537060" cy="371402"/>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317708</xdr:colOff>
      <xdr:row>1</xdr:row>
      <xdr:rowOff>105308</xdr:rowOff>
    </xdr:from>
    <xdr:to>
      <xdr:col>14</xdr:col>
      <xdr:colOff>146050</xdr:colOff>
      <xdr:row>2</xdr:row>
      <xdr:rowOff>23812</xdr:rowOff>
    </xdr:to>
    <xdr:sp macro="" textlink="">
      <xdr:nvSpPr>
        <xdr:cNvPr id="6" name="Rectangle: Rounded Corners 2">
          <a:hlinkClick xmlns:r="http://schemas.openxmlformats.org/officeDocument/2006/relationships" r:id="rId1"/>
          <a:extLst>
            <a:ext uri="{FF2B5EF4-FFF2-40B4-BE49-F238E27FC236}">
              <a16:creationId xmlns:a16="http://schemas.microsoft.com/office/drawing/2014/main" id="{3E261B2F-BE81-4A2F-97E3-5FB8DCF7FAEF}"/>
            </a:ext>
          </a:extLst>
        </xdr:cNvPr>
        <xdr:cNvSpPr/>
      </xdr:nvSpPr>
      <xdr:spPr>
        <a:xfrm>
          <a:off x="22784802" y="271996"/>
          <a:ext cx="1423779" cy="466191"/>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oneCellAnchor>
    <xdr:from>
      <xdr:col>3</xdr:col>
      <xdr:colOff>3247231</xdr:colOff>
      <xdr:row>2</xdr:row>
      <xdr:rowOff>0</xdr:rowOff>
    </xdr:from>
    <xdr:ext cx="184731" cy="264560"/>
    <xdr:sp macro="" textlink="">
      <xdr:nvSpPr>
        <xdr:cNvPr id="3" name="TextBox 2">
          <a:extLst>
            <a:ext uri="{FF2B5EF4-FFF2-40B4-BE49-F238E27FC236}">
              <a16:creationId xmlns:a16="http://schemas.microsoft.com/office/drawing/2014/main" id="{A36FADBB-1D3D-8496-EEC6-5FF8545577A9}"/>
            </a:ext>
          </a:extLst>
        </xdr:cNvPr>
        <xdr:cNvSpPr txBox="1"/>
      </xdr:nvSpPr>
      <xdr:spPr>
        <a:xfrm>
          <a:off x="7652544" y="83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11</xdr:col>
      <xdr:colOff>66222</xdr:colOff>
      <xdr:row>1</xdr:row>
      <xdr:rowOff>464911</xdr:rowOff>
    </xdr:from>
    <xdr:to>
      <xdr:col>11</xdr:col>
      <xdr:colOff>1362982</xdr:colOff>
      <xdr:row>2</xdr:row>
      <xdr:rowOff>191861</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743979C7-2AF2-4FA2-B21C-25A06EA53C4F}"/>
            </a:ext>
          </a:extLst>
        </xdr:cNvPr>
        <xdr:cNvSpPr/>
      </xdr:nvSpPr>
      <xdr:spPr>
        <a:xfrm>
          <a:off x="21268872" y="626836"/>
          <a:ext cx="1296760" cy="193675"/>
        </a:xfrm>
        <a:prstGeom prst="round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xdr:from>
      <xdr:col>12</xdr:col>
      <xdr:colOff>305035</xdr:colOff>
      <xdr:row>35</xdr:row>
      <xdr:rowOff>148287</xdr:rowOff>
    </xdr:from>
    <xdr:to>
      <xdr:col>21</xdr:col>
      <xdr:colOff>320798</xdr:colOff>
      <xdr:row>51</xdr:row>
      <xdr:rowOff>44450</xdr:rowOff>
    </xdr:to>
    <xdr:graphicFrame macro="">
      <xdr:nvGraphicFramePr>
        <xdr:cNvPr id="4" name="Chart 2">
          <a:extLst>
            <a:ext uri="{FF2B5EF4-FFF2-40B4-BE49-F238E27FC236}">
              <a16:creationId xmlns:a16="http://schemas.microsoft.com/office/drawing/2014/main" id="{062B5AFE-A8D5-4845-AFB4-80DE37B1CB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2</xdr:col>
      <xdr:colOff>914400</xdr:colOff>
      <xdr:row>1</xdr:row>
      <xdr:rowOff>190500</xdr:rowOff>
    </xdr:from>
    <xdr:ext cx="3137590" cy="264560"/>
    <xdr:sp macro="" textlink="">
      <xdr:nvSpPr>
        <xdr:cNvPr id="2" name="TextBox 1">
          <a:extLst>
            <a:ext uri="{FF2B5EF4-FFF2-40B4-BE49-F238E27FC236}">
              <a16:creationId xmlns:a16="http://schemas.microsoft.com/office/drawing/2014/main" id="{AF340EC5-CA7B-478F-8D3E-5D7FA844E006}"/>
            </a:ext>
          </a:extLst>
        </xdr:cNvPr>
        <xdr:cNvSpPr txBox="1"/>
      </xdr:nvSpPr>
      <xdr:spPr>
        <a:xfrm>
          <a:off x="6410325" y="371475"/>
          <a:ext cx="3137590" cy="26456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t>Owner</a:t>
          </a:r>
          <a:r>
            <a:rPr lang="en-GB" sz="1100" baseline="0"/>
            <a:t> - Tony Malone, Georgina Baker, Louise Todd</a:t>
          </a:r>
          <a:endParaRPr lang="en-GB" sz="1100"/>
        </a:p>
      </xdr:txBody>
    </xdr:sp>
    <xdr:clientData/>
  </xdr:oneCellAnchor>
  <xdr:twoCellAnchor>
    <xdr:from>
      <xdr:col>1</xdr:col>
      <xdr:colOff>436462</xdr:colOff>
      <xdr:row>3</xdr:row>
      <xdr:rowOff>1781857</xdr:rowOff>
    </xdr:from>
    <xdr:to>
      <xdr:col>3</xdr:col>
      <xdr:colOff>924949</xdr:colOff>
      <xdr:row>5</xdr:row>
      <xdr:rowOff>62595</xdr:rowOff>
    </xdr:to>
    <xdr:sp macro="" textlink="">
      <xdr:nvSpPr>
        <xdr:cNvPr id="3" name="TextBox 2">
          <a:extLst>
            <a:ext uri="{FF2B5EF4-FFF2-40B4-BE49-F238E27FC236}">
              <a16:creationId xmlns:a16="http://schemas.microsoft.com/office/drawing/2014/main" id="{8140C983-3BFC-9976-1E85-D5C41D83C3EF}"/>
            </a:ext>
          </a:extLst>
        </xdr:cNvPr>
        <xdr:cNvSpPr txBox="1"/>
      </xdr:nvSpPr>
      <xdr:spPr>
        <a:xfrm rot="21047830">
          <a:off x="1463045" y="2713190"/>
          <a:ext cx="13505987" cy="78898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a:t>DO NOT USE THESE NUMBERS</a:t>
          </a:r>
          <a:r>
            <a:rPr lang="en-GB" sz="2800" baseline="0"/>
            <a:t> IN THE ARA - HIDE TAB - FOR INTERNAL PURPOSES ONLY!!!</a:t>
          </a:r>
          <a:endParaRPr lang="en-GB" sz="28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1378256</xdr:colOff>
      <xdr:row>39</xdr:row>
      <xdr:rowOff>55000</xdr:rowOff>
    </xdr:from>
    <xdr:to>
      <xdr:col>7</xdr:col>
      <xdr:colOff>924056</xdr:colOff>
      <xdr:row>60</xdr:row>
      <xdr:rowOff>35500</xdr:rowOff>
    </xdr:to>
    <xdr:graphicFrame macro="">
      <xdr:nvGraphicFramePr>
        <xdr:cNvPr id="175" name="Chart 2">
          <a:extLst>
            <a:ext uri="{FF2B5EF4-FFF2-40B4-BE49-F238E27FC236}">
              <a16:creationId xmlns:a16="http://schemas.microsoft.com/office/drawing/2014/main" id="{AFA120A1-9F7D-1A42-F4C5-C17BC41342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64259</xdr:colOff>
      <xdr:row>39</xdr:row>
      <xdr:rowOff>47855</xdr:rowOff>
    </xdr:from>
    <xdr:to>
      <xdr:col>2</xdr:col>
      <xdr:colOff>981659</xdr:colOff>
      <xdr:row>60</xdr:row>
      <xdr:rowOff>28355</xdr:rowOff>
    </xdr:to>
    <xdr:graphicFrame macro="">
      <xdr:nvGraphicFramePr>
        <xdr:cNvPr id="158" name="Chart 3">
          <a:extLst>
            <a:ext uri="{FF2B5EF4-FFF2-40B4-BE49-F238E27FC236}">
              <a16:creationId xmlns:a16="http://schemas.microsoft.com/office/drawing/2014/main" id="{EA97AE52-2D1D-463E-BA15-03F501890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139893</xdr:colOff>
      <xdr:row>39</xdr:row>
      <xdr:rowOff>45357</xdr:rowOff>
    </xdr:from>
    <xdr:to>
      <xdr:col>13</xdr:col>
      <xdr:colOff>809643</xdr:colOff>
      <xdr:row>60</xdr:row>
      <xdr:rowOff>25857</xdr:rowOff>
    </xdr:to>
    <xdr:graphicFrame macro="">
      <xdr:nvGraphicFramePr>
        <xdr:cNvPr id="171" name="Chart 4">
          <a:extLst>
            <a:ext uri="{FF2B5EF4-FFF2-40B4-BE49-F238E27FC236}">
              <a16:creationId xmlns:a16="http://schemas.microsoft.com/office/drawing/2014/main" id="{94A6C88C-C0EF-484F-ACAE-4D9CA5F70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749422</xdr:colOff>
      <xdr:row>1</xdr:row>
      <xdr:rowOff>294277</xdr:rowOff>
    </xdr:from>
    <xdr:to>
      <xdr:col>16</xdr:col>
      <xdr:colOff>641261</xdr:colOff>
      <xdr:row>2</xdr:row>
      <xdr:rowOff>254000</xdr:rowOff>
    </xdr:to>
    <xdr:sp macro="" textlink="">
      <xdr:nvSpPr>
        <xdr:cNvPr id="174" name="Rectangle: Rounded Corners 6">
          <a:hlinkClick xmlns:r="http://schemas.openxmlformats.org/officeDocument/2006/relationships" r:id="rId4"/>
          <a:extLst>
            <a:ext uri="{FF2B5EF4-FFF2-40B4-BE49-F238E27FC236}">
              <a16:creationId xmlns:a16="http://schemas.microsoft.com/office/drawing/2014/main" id="{118A3D8D-AA14-475A-8441-348DA23A9874}"/>
            </a:ext>
          </a:extLst>
        </xdr:cNvPr>
        <xdr:cNvSpPr/>
      </xdr:nvSpPr>
      <xdr:spPr>
        <a:xfrm>
          <a:off x="22466422" y="463610"/>
          <a:ext cx="706756" cy="277223"/>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16033</xdr:colOff>
      <xdr:row>1</xdr:row>
      <xdr:rowOff>160497</xdr:rowOff>
    </xdr:from>
    <xdr:to>
      <xdr:col>8</xdr:col>
      <xdr:colOff>1174750</xdr:colOff>
      <xdr:row>1</xdr:row>
      <xdr:rowOff>508000</xdr:rowOff>
    </xdr:to>
    <xdr:sp macro="" textlink="">
      <xdr:nvSpPr>
        <xdr:cNvPr id="7" name="Rectangle: Rounded Corners 3">
          <a:hlinkClick xmlns:r="http://schemas.openxmlformats.org/officeDocument/2006/relationships" r:id="rId1"/>
          <a:extLst>
            <a:ext uri="{FF2B5EF4-FFF2-40B4-BE49-F238E27FC236}">
              <a16:creationId xmlns:a16="http://schemas.microsoft.com/office/drawing/2014/main" id="{C73CE76F-9381-4711-A3B7-9A56AB2B6933}"/>
            </a:ext>
          </a:extLst>
        </xdr:cNvPr>
        <xdr:cNvSpPr/>
      </xdr:nvSpPr>
      <xdr:spPr>
        <a:xfrm>
          <a:off x="18621533" y="335122"/>
          <a:ext cx="1158717" cy="347503"/>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xdr:from>
      <xdr:col>0</xdr:col>
      <xdr:colOff>298449</xdr:colOff>
      <xdr:row>39</xdr:row>
      <xdr:rowOff>0</xdr:rowOff>
    </xdr:from>
    <xdr:to>
      <xdr:col>4</xdr:col>
      <xdr:colOff>150767</xdr:colOff>
      <xdr:row>58</xdr:row>
      <xdr:rowOff>87880</xdr:rowOff>
    </xdr:to>
    <xdr:graphicFrame macro="">
      <xdr:nvGraphicFramePr>
        <xdr:cNvPr id="10" name="Chart 2">
          <a:extLst>
            <a:ext uri="{FF2B5EF4-FFF2-40B4-BE49-F238E27FC236}">
              <a16:creationId xmlns:a16="http://schemas.microsoft.com/office/drawing/2014/main" id="{D23C5DCA-4E8C-DA28-C0B9-538BF2EFC3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297656</xdr:colOff>
      <xdr:row>1</xdr:row>
      <xdr:rowOff>7027</xdr:rowOff>
    </xdr:from>
    <xdr:to>
      <xdr:col>12</xdr:col>
      <xdr:colOff>979353</xdr:colOff>
      <xdr:row>1</xdr:row>
      <xdr:rowOff>312736</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BA301082-3C67-4CC5-A7D9-DA91F070F10B}"/>
            </a:ext>
          </a:extLst>
        </xdr:cNvPr>
        <xdr:cNvSpPr/>
      </xdr:nvSpPr>
      <xdr:spPr>
        <a:xfrm>
          <a:off x="21433631" y="197527"/>
          <a:ext cx="662647" cy="305709"/>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xdr:from>
      <xdr:col>28</xdr:col>
      <xdr:colOff>1040616</xdr:colOff>
      <xdr:row>16</xdr:row>
      <xdr:rowOff>89765</xdr:rowOff>
    </xdr:from>
    <xdr:to>
      <xdr:col>38</xdr:col>
      <xdr:colOff>62840</xdr:colOff>
      <xdr:row>49</xdr:row>
      <xdr:rowOff>330284</xdr:rowOff>
    </xdr:to>
    <xdr:graphicFrame macro="">
      <xdr:nvGraphicFramePr>
        <xdr:cNvPr id="7" name="Chart 4">
          <a:extLst>
            <a:ext uri="{FF2B5EF4-FFF2-40B4-BE49-F238E27FC236}">
              <a16:creationId xmlns:a16="http://schemas.microsoft.com/office/drawing/2014/main" id="{BC601CA0-7B53-489D-AFE5-865281C449A3}"/>
            </a:ext>
            <a:ext uri="{147F2762-F138-4A5C-976F-8EAC2B608ADB}">
              <a16:predDERef xmlns:a16="http://schemas.microsoft.com/office/drawing/2014/main" pred="{CE4D3046-5E37-4196-91B8-36F5C6E016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9903</xdr:colOff>
      <xdr:row>28</xdr:row>
      <xdr:rowOff>35355</xdr:rowOff>
    </xdr:from>
    <xdr:to>
      <xdr:col>3</xdr:col>
      <xdr:colOff>1035162</xdr:colOff>
      <xdr:row>39</xdr:row>
      <xdr:rowOff>130591</xdr:rowOff>
    </xdr:to>
    <xdr:pic>
      <xdr:nvPicPr>
        <xdr:cNvPr id="3" name="Picture 2">
          <a:extLst>
            <a:ext uri="{FF2B5EF4-FFF2-40B4-BE49-F238E27FC236}">
              <a16:creationId xmlns:a16="http://schemas.microsoft.com/office/drawing/2014/main" id="{C66B3D88-F7AB-D2DE-62C7-F7ABB5C972C1}"/>
            </a:ext>
          </a:extLst>
        </xdr:cNvPr>
        <xdr:cNvPicPr>
          <a:picLocks noChangeAspect="1"/>
        </xdr:cNvPicPr>
      </xdr:nvPicPr>
      <xdr:blipFill>
        <a:blip xmlns:r="http://schemas.openxmlformats.org/officeDocument/2006/relationships" r:embed="rId1"/>
        <a:stretch>
          <a:fillRect/>
        </a:stretch>
      </xdr:blipFill>
      <xdr:spPr>
        <a:xfrm>
          <a:off x="184528" y="6909230"/>
          <a:ext cx="6143359" cy="1981186"/>
        </a:xfrm>
        <a:prstGeom prst="rect">
          <a:avLst/>
        </a:prstGeom>
      </xdr:spPr>
    </xdr:pic>
    <xdr:clientData/>
  </xdr:twoCellAnchor>
  <xdr:twoCellAnchor>
    <xdr:from>
      <xdr:col>10</xdr:col>
      <xdr:colOff>169863</xdr:colOff>
      <xdr:row>1</xdr:row>
      <xdr:rowOff>275430</xdr:rowOff>
    </xdr:from>
    <xdr:to>
      <xdr:col>10</xdr:col>
      <xdr:colOff>1164433</xdr:colOff>
      <xdr:row>3</xdr:row>
      <xdr:rowOff>63500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44F536BB-F50C-4C0E-BBF6-2C97D7936A72}"/>
            </a:ext>
          </a:extLst>
        </xdr:cNvPr>
        <xdr:cNvSpPr/>
      </xdr:nvSpPr>
      <xdr:spPr>
        <a:xfrm>
          <a:off x="12742863" y="444763"/>
          <a:ext cx="994570" cy="274904"/>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208756</xdr:colOff>
      <xdr:row>1</xdr:row>
      <xdr:rowOff>149225</xdr:rowOff>
    </xdr:from>
    <xdr:to>
      <xdr:col>13</xdr:col>
      <xdr:colOff>259557</xdr:colOff>
      <xdr:row>1</xdr:row>
      <xdr:rowOff>454026</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17927737-994B-4D51-B08C-1454D57B233C}"/>
            </a:ext>
          </a:extLst>
        </xdr:cNvPr>
        <xdr:cNvSpPr/>
      </xdr:nvSpPr>
      <xdr:spPr>
        <a:xfrm>
          <a:off x="12334081" y="320675"/>
          <a:ext cx="666751"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152331</xdr:colOff>
      <xdr:row>17</xdr:row>
      <xdr:rowOff>366719</xdr:rowOff>
    </xdr:from>
    <xdr:to>
      <xdr:col>4</xdr:col>
      <xdr:colOff>259557</xdr:colOff>
      <xdr:row>17</xdr:row>
      <xdr:rowOff>652198</xdr:rowOff>
    </xdr:to>
    <xdr:sp macro="" textlink="">
      <xdr:nvSpPr>
        <xdr:cNvPr id="3" name="TextBox 2">
          <a:hlinkClick xmlns:r="http://schemas.openxmlformats.org/officeDocument/2006/relationships" r:id="rId1"/>
          <a:extLst>
            <a:ext uri="{FF2B5EF4-FFF2-40B4-BE49-F238E27FC236}">
              <a16:creationId xmlns:a16="http://schemas.microsoft.com/office/drawing/2014/main" id="{1F3FFF3B-FBC1-463D-0EA3-59EED240DB8B}"/>
            </a:ext>
          </a:extLst>
        </xdr:cNvPr>
        <xdr:cNvSpPr txBox="1"/>
      </xdr:nvSpPr>
      <xdr:spPr>
        <a:xfrm>
          <a:off x="545237" y="6748469"/>
          <a:ext cx="2929008" cy="285479"/>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a:t>ERM CVS Limited</a:t>
          </a:r>
          <a:r>
            <a:rPr lang="en-GB" sz="1050" baseline="0"/>
            <a:t> assured selected metrics</a:t>
          </a:r>
          <a:endParaRPr lang="en-GB" sz="105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504938</xdr:colOff>
      <xdr:row>1</xdr:row>
      <xdr:rowOff>179614</xdr:rowOff>
    </xdr:from>
    <xdr:to>
      <xdr:col>8</xdr:col>
      <xdr:colOff>1151278</xdr:colOff>
      <xdr:row>1</xdr:row>
      <xdr:rowOff>484415</xdr:rowOff>
    </xdr:to>
    <xdr:sp macro="" textlink="">
      <xdr:nvSpPr>
        <xdr:cNvPr id="5" name="Rectangle: Rounded Corners 2">
          <a:hlinkClick xmlns:r="http://schemas.openxmlformats.org/officeDocument/2006/relationships" r:id="rId1"/>
          <a:extLst>
            <a:ext uri="{FF2B5EF4-FFF2-40B4-BE49-F238E27FC236}">
              <a16:creationId xmlns:a16="http://schemas.microsoft.com/office/drawing/2014/main" id="{F1CDAC9D-CFC4-4576-9B48-9B197D8A1814}"/>
            </a:ext>
          </a:extLst>
        </xdr:cNvPr>
        <xdr:cNvSpPr/>
      </xdr:nvSpPr>
      <xdr:spPr>
        <a:xfrm>
          <a:off x="15323117" y="356507"/>
          <a:ext cx="646340"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9028113</xdr:colOff>
      <xdr:row>1</xdr:row>
      <xdr:rowOff>150019</xdr:rowOff>
    </xdr:from>
    <xdr:to>
      <xdr:col>3</xdr:col>
      <xdr:colOff>9726613</xdr:colOff>
      <xdr:row>1</xdr:row>
      <xdr:rowOff>450057</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67E85A77-278C-4EE6-8DB3-D2D849D8ACE9}"/>
            </a:ext>
          </a:extLst>
        </xdr:cNvPr>
        <xdr:cNvSpPr/>
      </xdr:nvSpPr>
      <xdr:spPr>
        <a:xfrm>
          <a:off x="14362113" y="316707"/>
          <a:ext cx="698500" cy="300038"/>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497228</xdr:colOff>
      <xdr:row>24</xdr:row>
      <xdr:rowOff>1929</xdr:rowOff>
    </xdr:from>
    <xdr:to>
      <xdr:col>14</xdr:col>
      <xdr:colOff>544286</xdr:colOff>
      <xdr:row>44</xdr:row>
      <xdr:rowOff>191181</xdr:rowOff>
    </xdr:to>
    <xdr:graphicFrame macro="">
      <xdr:nvGraphicFramePr>
        <xdr:cNvPr id="98" name="Chart 2">
          <a:extLst>
            <a:ext uri="{FF2B5EF4-FFF2-40B4-BE49-F238E27FC236}">
              <a16:creationId xmlns:a16="http://schemas.microsoft.com/office/drawing/2014/main" id="{EF85B7F5-FAA5-CA79-6E34-3EEE753361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122919</xdr:colOff>
      <xdr:row>4</xdr:row>
      <xdr:rowOff>151361</xdr:rowOff>
    </xdr:from>
    <xdr:to>
      <xdr:col>1</xdr:col>
      <xdr:colOff>93014</xdr:colOff>
      <xdr:row>10</xdr:row>
      <xdr:rowOff>37711</xdr:rowOff>
    </xdr:to>
    <xdr:pic>
      <xdr:nvPicPr>
        <xdr:cNvPr id="50" name="Picture 7">
          <a:extLst>
            <a:ext uri="{FF2B5EF4-FFF2-40B4-BE49-F238E27FC236}">
              <a16:creationId xmlns:a16="http://schemas.microsoft.com/office/drawing/2014/main" id="{041C861C-F3F2-D245-7F43-1EBCB30FD5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19" y="2951711"/>
          <a:ext cx="1455995" cy="1410350"/>
        </a:xfrm>
        <a:prstGeom prst="rect">
          <a:avLst/>
        </a:prstGeom>
      </xdr:spPr>
    </xdr:pic>
    <xdr:clientData/>
  </xdr:twoCellAnchor>
  <xdr:twoCellAnchor editAs="oneCell">
    <xdr:from>
      <xdr:col>0</xdr:col>
      <xdr:colOff>0</xdr:colOff>
      <xdr:row>43</xdr:row>
      <xdr:rowOff>104775</xdr:rowOff>
    </xdr:from>
    <xdr:to>
      <xdr:col>0</xdr:col>
      <xdr:colOff>1409645</xdr:colOff>
      <xdr:row>49</xdr:row>
      <xdr:rowOff>140350</xdr:rowOff>
    </xdr:to>
    <xdr:pic>
      <xdr:nvPicPr>
        <xdr:cNvPr id="49" name="Picture 9">
          <a:extLst>
            <a:ext uri="{FF2B5EF4-FFF2-40B4-BE49-F238E27FC236}">
              <a16:creationId xmlns:a16="http://schemas.microsoft.com/office/drawing/2014/main" id="{4B56EA8C-A1BB-E78F-F563-DB98323B4B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6697325"/>
          <a:ext cx="1457270" cy="1410350"/>
        </a:xfrm>
        <a:prstGeom prst="rect">
          <a:avLst/>
        </a:prstGeom>
      </xdr:spPr>
    </xdr:pic>
    <xdr:clientData/>
  </xdr:twoCellAnchor>
  <xdr:twoCellAnchor>
    <xdr:from>
      <xdr:col>12</xdr:col>
      <xdr:colOff>1825625</xdr:colOff>
      <xdr:row>1</xdr:row>
      <xdr:rowOff>269875</xdr:rowOff>
    </xdr:from>
    <xdr:to>
      <xdr:col>13</xdr:col>
      <xdr:colOff>371476</xdr:colOff>
      <xdr:row>2</xdr:row>
      <xdr:rowOff>130176</xdr:rowOff>
    </xdr:to>
    <xdr:sp macro="" textlink="">
      <xdr:nvSpPr>
        <xdr:cNvPr id="52" name="Rectangle: Rounded Corners 3">
          <a:hlinkClick xmlns:r="http://schemas.openxmlformats.org/officeDocument/2006/relationships" r:id="rId4"/>
          <a:extLst>
            <a:ext uri="{FF2B5EF4-FFF2-40B4-BE49-F238E27FC236}">
              <a16:creationId xmlns:a16="http://schemas.microsoft.com/office/drawing/2014/main" id="{4B65A18E-0926-4173-8FBB-53A05A140924}"/>
            </a:ext>
          </a:extLst>
        </xdr:cNvPr>
        <xdr:cNvSpPr/>
      </xdr:nvSpPr>
      <xdr:spPr>
        <a:xfrm>
          <a:off x="36369625" y="444500"/>
          <a:ext cx="65722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xdr:from>
      <xdr:col>14</xdr:col>
      <xdr:colOff>458107</xdr:colOff>
      <xdr:row>125</xdr:row>
      <xdr:rowOff>137773</xdr:rowOff>
    </xdr:from>
    <xdr:to>
      <xdr:col>20</xdr:col>
      <xdr:colOff>181882</xdr:colOff>
      <xdr:row>138</xdr:row>
      <xdr:rowOff>95933</xdr:rowOff>
    </xdr:to>
    <xdr:graphicFrame macro="">
      <xdr:nvGraphicFramePr>
        <xdr:cNvPr id="104" name="Chart 4">
          <a:extLst>
            <a:ext uri="{FF2B5EF4-FFF2-40B4-BE49-F238E27FC236}">
              <a16:creationId xmlns:a16="http://schemas.microsoft.com/office/drawing/2014/main" id="{48B8429D-BFB1-3EC3-0D5F-13B5B60D8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20</xdr:col>
      <xdr:colOff>189080</xdr:colOff>
      <xdr:row>8</xdr:row>
      <xdr:rowOff>57150</xdr:rowOff>
    </xdr:from>
    <xdr:to>
      <xdr:col>27</xdr:col>
      <xdr:colOff>390525</xdr:colOff>
      <xdr:row>30</xdr:row>
      <xdr:rowOff>31297</xdr:rowOff>
    </xdr:to>
    <xdr:graphicFrame macro="">
      <xdr:nvGraphicFramePr>
        <xdr:cNvPr id="9" name="Chart 1">
          <a:extLst>
            <a:ext uri="{FF2B5EF4-FFF2-40B4-BE49-F238E27FC236}">
              <a16:creationId xmlns:a16="http://schemas.microsoft.com/office/drawing/2014/main" id="{50694A66-7234-4753-915B-6DF55400A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162380</xdr:colOff>
      <xdr:row>37</xdr:row>
      <xdr:rowOff>9979</xdr:rowOff>
    </xdr:from>
    <xdr:to>
      <xdr:col>22</xdr:col>
      <xdr:colOff>22680</xdr:colOff>
      <xdr:row>51</xdr:row>
      <xdr:rowOff>31750</xdr:rowOff>
    </xdr:to>
    <xdr:graphicFrame macro="">
      <xdr:nvGraphicFramePr>
        <xdr:cNvPr id="12" name="Chart 2">
          <a:extLst>
            <a:ext uri="{FF2B5EF4-FFF2-40B4-BE49-F238E27FC236}">
              <a16:creationId xmlns:a16="http://schemas.microsoft.com/office/drawing/2014/main" id="{1242BAD5-1AB1-4F48-8169-83AD292F6A1B}"/>
            </a:ext>
            <a:ext uri="{147F2762-F138-4A5C-976F-8EAC2B608ADB}">
              <a16:predDERef xmlns:a16="http://schemas.microsoft.com/office/drawing/2014/main" pred="{F9EEF4F5-F48E-D973-8E1E-1E0EA77E8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131190</xdr:colOff>
      <xdr:row>6</xdr:row>
      <xdr:rowOff>105340</xdr:rowOff>
    </xdr:from>
    <xdr:to>
      <xdr:col>21</xdr:col>
      <xdr:colOff>517524</xdr:colOff>
      <xdr:row>32</xdr:row>
      <xdr:rowOff>130175</xdr:rowOff>
    </xdr:to>
    <xdr:graphicFrame macro="">
      <xdr:nvGraphicFramePr>
        <xdr:cNvPr id="14" name="Chart 3">
          <a:extLst>
            <a:ext uri="{FF2B5EF4-FFF2-40B4-BE49-F238E27FC236}">
              <a16:creationId xmlns:a16="http://schemas.microsoft.com/office/drawing/2014/main" id="{0F409554-BE7A-4029-8667-2746907CE985}"/>
            </a:ext>
            <a:ext uri="{147F2762-F138-4A5C-976F-8EAC2B608ADB}">
              <a16:predDERef xmlns:a16="http://schemas.microsoft.com/office/drawing/2014/main" pred="{C2A215C7-52CD-4BF2-AFB8-DB0DE2792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61491</xdr:colOff>
      <xdr:row>0</xdr:row>
      <xdr:rowOff>124084</xdr:rowOff>
    </xdr:from>
    <xdr:to>
      <xdr:col>1</xdr:col>
      <xdr:colOff>930</xdr:colOff>
      <xdr:row>5</xdr:row>
      <xdr:rowOff>7099</xdr:rowOff>
    </xdr:to>
    <xdr:pic>
      <xdr:nvPicPr>
        <xdr:cNvPr id="5" name="Picture 3">
          <a:extLst>
            <a:ext uri="{FF2B5EF4-FFF2-40B4-BE49-F238E27FC236}">
              <a16:creationId xmlns:a16="http://schemas.microsoft.com/office/drawing/2014/main" id="{B59F77CD-4184-4360-848B-2CB3DD39AC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666" y="120909"/>
          <a:ext cx="1431689" cy="1375265"/>
        </a:xfrm>
        <a:prstGeom prst="rect">
          <a:avLst/>
        </a:prstGeom>
      </xdr:spPr>
    </xdr:pic>
    <xdr:clientData/>
  </xdr:twoCellAnchor>
  <xdr:twoCellAnchor>
    <xdr:from>
      <xdr:col>7</xdr:col>
      <xdr:colOff>571499</xdr:colOff>
      <xdr:row>0</xdr:row>
      <xdr:rowOff>380999</xdr:rowOff>
    </xdr:from>
    <xdr:to>
      <xdr:col>8</xdr:col>
      <xdr:colOff>194583</xdr:colOff>
      <xdr:row>1</xdr:row>
      <xdr:rowOff>247196</xdr:rowOff>
    </xdr:to>
    <xdr:sp macro="" textlink="">
      <xdr:nvSpPr>
        <xdr:cNvPr id="6" name="Rectangle: Rounded Corners 2">
          <a:hlinkClick xmlns:r="http://schemas.openxmlformats.org/officeDocument/2006/relationships" r:id="rId5"/>
          <a:extLst>
            <a:ext uri="{FF2B5EF4-FFF2-40B4-BE49-F238E27FC236}">
              <a16:creationId xmlns:a16="http://schemas.microsoft.com/office/drawing/2014/main" id="{6DC82246-D824-4F62-AE56-27828CC4D2FB}"/>
            </a:ext>
          </a:extLst>
        </xdr:cNvPr>
        <xdr:cNvSpPr/>
      </xdr:nvSpPr>
      <xdr:spPr>
        <a:xfrm>
          <a:off x="15801974" y="380999"/>
          <a:ext cx="664484" cy="29482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1650999</xdr:colOff>
      <xdr:row>1</xdr:row>
      <xdr:rowOff>141604</xdr:rowOff>
    </xdr:from>
    <xdr:to>
      <xdr:col>4</xdr:col>
      <xdr:colOff>2311400</xdr:colOff>
      <xdr:row>2</xdr:row>
      <xdr:rowOff>53975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525C60E5-BA95-4521-AC2C-4FCCF4171403}"/>
            </a:ext>
          </a:extLst>
        </xdr:cNvPr>
        <xdr:cNvSpPr/>
      </xdr:nvSpPr>
      <xdr:spPr>
        <a:xfrm>
          <a:off x="7648574" y="316229"/>
          <a:ext cx="666751" cy="29972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104775</xdr:colOff>
      <xdr:row>1</xdr:row>
      <xdr:rowOff>57150</xdr:rowOff>
    </xdr:from>
    <xdr:to>
      <xdr:col>16</xdr:col>
      <xdr:colOff>311604</xdr:colOff>
      <xdr:row>2</xdr:row>
      <xdr:rowOff>58058</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88451C5-4A6E-4825-802B-7B467FBD37DB}"/>
            </a:ext>
          </a:extLst>
        </xdr:cNvPr>
        <xdr:cNvSpPr/>
      </xdr:nvSpPr>
      <xdr:spPr>
        <a:xfrm>
          <a:off x="9248775" y="238125"/>
          <a:ext cx="816429" cy="31523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latin typeface="Verdana" panose="020B0604030504040204" pitchFamily="34" charset="0"/>
              <a:ea typeface="Verdana" panose="020B0604030504040204" pitchFamily="34" charset="0"/>
            </a:rPr>
            <a:t>Home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127793</xdr:colOff>
      <xdr:row>1</xdr:row>
      <xdr:rowOff>103982</xdr:rowOff>
    </xdr:from>
    <xdr:to>
      <xdr:col>8</xdr:col>
      <xdr:colOff>904762</xdr:colOff>
      <xdr:row>1</xdr:row>
      <xdr:rowOff>421709</xdr:rowOff>
    </xdr:to>
    <xdr:sp macro="" textlink="">
      <xdr:nvSpPr>
        <xdr:cNvPr id="3" name="Rectangle: Rounded Corners 5">
          <a:hlinkClick xmlns:r="http://schemas.openxmlformats.org/officeDocument/2006/relationships" r:id="rId1"/>
          <a:extLst>
            <a:ext uri="{FF2B5EF4-FFF2-40B4-BE49-F238E27FC236}">
              <a16:creationId xmlns:a16="http://schemas.microsoft.com/office/drawing/2014/main" id="{5EFE1545-ED07-453C-9E8F-E14EA3790AD0}"/>
            </a:ext>
          </a:extLst>
        </xdr:cNvPr>
        <xdr:cNvSpPr/>
      </xdr:nvSpPr>
      <xdr:spPr>
        <a:xfrm>
          <a:off x="18689637" y="318295"/>
          <a:ext cx="776969" cy="317727"/>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376874</xdr:colOff>
      <xdr:row>1</xdr:row>
      <xdr:rowOff>45562</xdr:rowOff>
    </xdr:from>
    <xdr:to>
      <xdr:col>4</xdr:col>
      <xdr:colOff>1067278</xdr:colOff>
      <xdr:row>2</xdr:row>
      <xdr:rowOff>38895</xdr:rowOff>
    </xdr:to>
    <xdr:sp macro="" textlink="">
      <xdr:nvSpPr>
        <xdr:cNvPr id="2" name="Rectangle: Rounded Corners 5">
          <a:hlinkClick xmlns:r="http://schemas.openxmlformats.org/officeDocument/2006/relationships" r:id="rId1"/>
          <a:extLst>
            <a:ext uri="{FF2B5EF4-FFF2-40B4-BE49-F238E27FC236}">
              <a16:creationId xmlns:a16="http://schemas.microsoft.com/office/drawing/2014/main" id="{C544749C-2D2A-4273-A870-D63017560729}"/>
            </a:ext>
          </a:extLst>
        </xdr:cNvPr>
        <xdr:cNvSpPr/>
      </xdr:nvSpPr>
      <xdr:spPr>
        <a:xfrm>
          <a:off x="12914155" y="212250"/>
          <a:ext cx="690404" cy="302895"/>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2456090</xdr:colOff>
      <xdr:row>1</xdr:row>
      <xdr:rowOff>73478</xdr:rowOff>
    </xdr:from>
    <xdr:to>
      <xdr:col>5</xdr:col>
      <xdr:colOff>3453040</xdr:colOff>
      <xdr:row>2</xdr:row>
      <xdr:rowOff>125638</xdr:rowOff>
    </xdr:to>
    <xdr:sp macro="" textlink="">
      <xdr:nvSpPr>
        <xdr:cNvPr id="4" name="Rectangle: Rounded Corners 5">
          <a:hlinkClick xmlns:r="http://schemas.openxmlformats.org/officeDocument/2006/relationships" r:id="rId1"/>
          <a:extLst>
            <a:ext uri="{FF2B5EF4-FFF2-40B4-BE49-F238E27FC236}">
              <a16:creationId xmlns:a16="http://schemas.microsoft.com/office/drawing/2014/main" id="{A54FF2BD-5C34-4D79-B506-1E8D5B66564D}"/>
            </a:ext>
          </a:extLst>
        </xdr:cNvPr>
        <xdr:cNvSpPr/>
      </xdr:nvSpPr>
      <xdr:spPr>
        <a:xfrm>
          <a:off x="17056554" y="250371"/>
          <a:ext cx="996950" cy="365124"/>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2945765</xdr:colOff>
      <xdr:row>1</xdr:row>
      <xdr:rowOff>72390</xdr:rowOff>
    </xdr:from>
    <xdr:to>
      <xdr:col>7</xdr:col>
      <xdr:colOff>3606801</xdr:colOff>
      <xdr:row>2</xdr:row>
      <xdr:rowOff>53976</xdr:rowOff>
    </xdr:to>
    <xdr:sp macro="" textlink="">
      <xdr:nvSpPr>
        <xdr:cNvPr id="9" name="Rectangle: Rounded Corners 8">
          <a:hlinkClick xmlns:r="http://schemas.openxmlformats.org/officeDocument/2006/relationships" r:id="rId1"/>
          <a:extLst>
            <a:ext uri="{FF2B5EF4-FFF2-40B4-BE49-F238E27FC236}">
              <a16:creationId xmlns:a16="http://schemas.microsoft.com/office/drawing/2014/main" id="{9694B841-B5A3-410A-B01B-F754DA130206}"/>
            </a:ext>
          </a:extLst>
        </xdr:cNvPr>
        <xdr:cNvSpPr/>
      </xdr:nvSpPr>
      <xdr:spPr>
        <a:xfrm>
          <a:off x="14109065" y="234315"/>
          <a:ext cx="661036" cy="29591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324303</xdr:colOff>
      <xdr:row>1</xdr:row>
      <xdr:rowOff>39916</xdr:rowOff>
    </xdr:from>
    <xdr:to>
      <xdr:col>17</xdr:col>
      <xdr:colOff>723447</xdr:colOff>
      <xdr:row>2</xdr:row>
      <xdr:rowOff>84819</xdr:rowOff>
    </xdr:to>
    <xdr:sp macro="" textlink="">
      <xdr:nvSpPr>
        <xdr:cNvPr id="2" name="Rectangle: Rounded Corners 5">
          <a:hlinkClick xmlns:r="http://schemas.openxmlformats.org/officeDocument/2006/relationships" r:id="rId1"/>
          <a:extLst>
            <a:ext uri="{FF2B5EF4-FFF2-40B4-BE49-F238E27FC236}">
              <a16:creationId xmlns:a16="http://schemas.microsoft.com/office/drawing/2014/main" id="{F58B9707-91B2-4539-A5FA-7ABDEF730679}"/>
            </a:ext>
          </a:extLst>
        </xdr:cNvPr>
        <xdr:cNvSpPr/>
      </xdr:nvSpPr>
      <xdr:spPr>
        <a:xfrm>
          <a:off x="16564428" y="214541"/>
          <a:ext cx="2399394" cy="36240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persons/person.xml><?xml version="1.0" encoding="utf-8"?>
<personList xmlns="http://schemas.microsoft.com/office/spreadsheetml/2018/threadedcomments" xmlns:x="http://schemas.openxmlformats.org/spreadsheetml/2006/main">
  <person displayName="Xin Ngfat" id="{F4220FD2-7558-4741-BBAB-9074C7EFAC39}" userId="xin.ngfat@matthey.com" providerId="PeoplePicker"/>
  <person displayName="Julie Bolam" id="{56837F4D-98AE-47A8-BBB8-DF4A5807D6FC}" userId="Julie.Bolam@matthey.com" providerId="PeoplePicker"/>
  <person displayName="Tony Malone" id="{A91117D3-B92D-49E3-BF2C-B525DE5A9950}" userId="Tony.Malone@matthey.com" providerId="PeoplePicker"/>
  <person displayName="Holly Scott" id="{120D46B2-DC5C-45FC-801C-D947D6172F47}" userId="holly.scott@matthey.com" providerId="PeoplePicker"/>
  <person displayName="Trevor Rouse" id="{DB587674-DFC6-40D1-B86F-A160DC484CC7}" userId="Trevor.Rouse@matthey.com" providerId="PeoplePicker"/>
  <person displayName="Victoria Barlow" id="{958ACA67-8A81-4DE0-9E77-085D6A961BE1}" userId="Victoria.BArlow@matthey.com" providerId="PeoplePicker"/>
  <person displayName="Xin Ngfat" id="{FFB89494-4C8C-4DF8-AB66-EF7261C141A5}" userId="S::xin.ngfat@matthey.com::42310b3c-a146-49d6-9822-712383918215" providerId="AD"/>
  <person displayName="Tony Malone" id="{E1623999-F9A8-4EC8-8D3B-00734938D900}" userId="S::Tony.Malone@matthey.com::9dc78bb7-226d-4a69-b201-0da6dc0f20f6" providerId="AD"/>
  <person displayName="Julie Bolam" id="{492F2C60-448D-4089-9B04-C8158CA34543}" userId="S::julie.bolam@matthey.com::9f012013-4cb9-420f-91f3-903ce311daba" providerId="AD"/>
  <person displayName="Tony Malone" id="{44DF744A-8902-4FBE-BABD-0F0ABEADB985}" userId="S::tony.malone@matthey.com::9dc78bb7-226d-4a69-b201-0da6dc0f20f6" providerId="AD"/>
  <person displayName="Trevor Rouse" id="{C017F7F4-BE32-4D0D-8779-D892A34AC297}" userId="S::trevor.rouse@matthey.com::51e38b27-88af-48ab-ba6d-c0686a6c1e52" providerId="AD"/>
  <person displayName="Victoria Barlow" id="{E8CA4EDD-2D17-4DEE-9F0D-2A16927BA2D7}" userId="S::victoria.barlow@matthey.com::7b7b1888-62ed-49b3-9f77-28fada238780"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7">
  <rv s="0">
    <v>0</v>
    <v>5</v>
  </rv>
  <rv s="0">
    <v>1</v>
    <v>5</v>
  </rv>
  <rv s="0">
    <v>2</v>
    <v>5</v>
  </rv>
  <rv s="0">
    <v>3</v>
    <v>5</v>
  </rv>
  <rv s="0">
    <v>4</v>
    <v>5</v>
  </rv>
  <rv s="0">
    <v>5</v>
    <v>5</v>
  </rv>
  <rv s="0">
    <v>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ichValueRels>
</file>

<file path=xl/theme/theme1.xml><?xml version="1.0" encoding="utf-8"?>
<a:theme xmlns:a="http://schemas.openxmlformats.org/drawingml/2006/main" name="Office Theme">
  <a:themeElements>
    <a:clrScheme name="JM - External">
      <a:dk1>
        <a:srgbClr val="000000"/>
      </a:dk1>
      <a:lt1>
        <a:srgbClr val="FFFFFF"/>
      </a:lt1>
      <a:dk2>
        <a:srgbClr val="1E22AA"/>
      </a:dk2>
      <a:lt2>
        <a:srgbClr val="575756"/>
      </a:lt2>
      <a:accent1>
        <a:srgbClr val="1E22AA"/>
      </a:accent1>
      <a:accent2>
        <a:srgbClr val="E50076"/>
      </a:accent2>
      <a:accent3>
        <a:srgbClr val="9DD3CB"/>
      </a:accent3>
      <a:accent4>
        <a:srgbClr val="00ACE9"/>
      </a:accent4>
      <a:accent5>
        <a:srgbClr val="6E368C"/>
      </a:accent5>
      <a:accent6>
        <a:srgbClr val="E3E3E3"/>
      </a:accent6>
      <a:hlink>
        <a:srgbClr val="575756"/>
      </a:hlink>
      <a:folHlink>
        <a:srgbClr val="57575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0" dT="2023-04-12T12:27:26.58" personId="{E1623999-F9A8-4EC8-8D3B-00734938D900}" id="{045CEAD6-44D5-4DE1-AE3A-0499C42C9616}">
    <text>Scope 1 value restated due to improbved accuracy in N2O reporting.</text>
  </threadedComment>
  <threadedComment ref="I10" dT="2023-04-12T12:27:36.79" personId="{E1623999-F9A8-4EC8-8D3B-00734938D900}" id="{D8177E34-4D20-4233-952E-063C50A69C81}">
    <text>Scope 1 value restated due to improbved accuracy in N2O reporting.</text>
  </threadedComment>
  <threadedComment ref="J10" dT="2023-04-12T12:27:45.86" personId="{E1623999-F9A8-4EC8-8D3B-00734938D900}" id="{EB1C496A-7E95-46CD-B1C4-2C14A77160C9}">
    <text>Scope 1 value restated due to improbved accuracy in N2O reporting.</text>
  </threadedComment>
  <threadedComment ref="K10" dT="2023-04-12T12:27:58.30" personId="{E1623999-F9A8-4EC8-8D3B-00734938D900}" id="{31588365-2E37-48C3-A341-F195A3CC917D}">
    <text>Scope 1 value restated due to improbved accuracy in N2O reporting.</text>
  </threadedComment>
  <threadedComment ref="L10" dT="2023-04-12T12:28:06.58" personId="{E1623999-F9A8-4EC8-8D3B-00734938D900}" id="{6DE5A362-2CB6-4CAE-918A-B45D7D1B215B}">
    <text>Scope 1 value restated due to improbved accuracy in N2O reporting.</text>
  </threadedComment>
  <threadedComment ref="M10" dT="2023-04-12T12:28:16.35" personId="{E1623999-F9A8-4EC8-8D3B-00734938D900}" id="{66A0C1D0-063F-46BA-B2B7-35584E49DB76}">
    <text>Scope 1 value restated due to improbved accuracy in N2O reporting.</text>
  </threadedComment>
  <threadedComment ref="N10" dT="2023-04-12T12:28:27.27" personId="{E1623999-F9A8-4EC8-8D3B-00734938D900}" id="{7395D06B-4809-436C-8613-C7B8EA4843EA}">
    <text>Scope 1 value restated due to improbved accuracy in N2O reporting.</text>
  </threadedComment>
  <threadedComment ref="H13" dT="2023-04-12T12:28:48.72" personId="{E1623999-F9A8-4EC8-8D3B-00734938D900}" id="{E2DACDBD-2CE9-404F-9CD1-EA1926F7E895}">
    <text>Scope 1 value restated due to improbved accuracy in N2O reporting.</text>
  </threadedComment>
  <threadedComment ref="I13" dT="2023-04-12T12:28:56.19" personId="{E1623999-F9A8-4EC8-8D3B-00734938D900}" id="{5BBA88AF-99A1-4EE5-A219-EE93D2238B34}">
    <text>Scope 1 value restated due to improbved accuracy in N2O reporting.</text>
  </threadedComment>
  <threadedComment ref="J13" dT="2023-04-12T12:29:04.39" personId="{E1623999-F9A8-4EC8-8D3B-00734938D900}" id="{2C43F909-8CE6-44CD-A9BD-F2A9F2136806}">
    <text>Scope 1 value restated due to improbved accuracy in N2O reporting.</text>
  </threadedComment>
  <threadedComment ref="K13" dT="2023-04-12T12:29:12.64" personId="{E1623999-F9A8-4EC8-8D3B-00734938D900}" id="{DCA6DCC2-4F95-4441-8A02-030ECD0194BB}">
    <text>Scope 1 value restated due to improbved accuracy in N2O reporting.</text>
  </threadedComment>
  <threadedComment ref="L13" dT="2023-04-12T12:29:21.44" personId="{E1623999-F9A8-4EC8-8D3B-00734938D900}" id="{E5EF1409-32A3-47D2-95CD-E380E26A28E5}">
    <text>Scope 1 value restated due to improbved accuracy in N2O reporting.</text>
  </threadedComment>
  <threadedComment ref="M13" dT="2023-04-12T12:29:32.19" personId="{E1623999-F9A8-4EC8-8D3B-00734938D900}" id="{B6AECDD5-0693-4415-B7BC-DF4F010AB5EF}">
    <text>Scope 1 value restated due to improbved accuracy in N2O reporting.</text>
  </threadedComment>
  <threadedComment ref="N13" dT="2023-04-12T12:29:41.81" personId="{E1623999-F9A8-4EC8-8D3B-00734938D900}" id="{FD31075B-9724-4D99-9246-CAB9D9771295}">
    <text>Scope 1 value restated due to improbved accuracy in N2O reporting.</text>
  </threadedComment>
  <threadedComment ref="H14" dT="2023-04-12T12:29:51.00" personId="{E1623999-F9A8-4EC8-8D3B-00734938D900}" id="{2D5D4FAA-F4DC-4012-BB10-693DB2B05DC8}">
    <text>Scope 1 value restated due to improbved accuracy in N2O reporting.</text>
  </threadedComment>
  <threadedComment ref="I14" dT="2023-04-12T12:29:59.63" personId="{E1623999-F9A8-4EC8-8D3B-00734938D900}" id="{05FA9193-32F8-40FA-BE15-690D7028CBCC}">
    <text>Scope 1 value restated due to improbved accuracy in N2O reporting.</text>
  </threadedComment>
  <threadedComment ref="J14" dT="2023-04-12T12:30:08.49" personId="{E1623999-F9A8-4EC8-8D3B-00734938D900}" id="{F313A705-16E2-42CA-911B-106A4110655C}">
    <text>Scope 1 value restated due to improbved accuracy in N2O reporting.</text>
  </threadedComment>
  <threadedComment ref="K14" dT="2023-04-12T12:30:15.63" personId="{E1623999-F9A8-4EC8-8D3B-00734938D900}" id="{0218E8B7-C208-4FBE-8BF2-6D8FB15A903F}">
    <text>Scope 1 value restated due to improbved accuracy in N2O reporting.</text>
  </threadedComment>
  <threadedComment ref="L14" dT="2023-04-12T12:30:24.77" personId="{E1623999-F9A8-4EC8-8D3B-00734938D900}" id="{1E44BA25-80ED-4FB3-9E92-571D4DF6C243}">
    <text>Scope 1 value restated due to improbved accuracy in N2O reporting.</text>
  </threadedComment>
  <threadedComment ref="M14" dT="2023-04-12T12:30:32.46" personId="{E1623999-F9A8-4EC8-8D3B-00734938D900}" id="{4B56B321-22A0-41E6-BEBD-72F8A1AB0AB7}">
    <text>Scope 1 value restated due to improbved accuracy in N2O reporting.</text>
  </threadedComment>
  <threadedComment ref="N14" dT="2023-04-12T12:30:40.17" personId="{E1623999-F9A8-4EC8-8D3B-00734938D900}" id="{C8765530-3B60-4CEF-A961-F5F29077E42B}">
    <text>Scope 1 value restated due to improbved accuracy in N2O reporting.</text>
  </threadedComment>
  <threadedComment ref="G100" dT="2022-04-14T12:32:10.40" personId="{E1623999-F9A8-4EC8-8D3B-00734938D900}" id="{56C32388-E193-46ED-9ACA-92FB0958F5BB}">
    <text>Original data was 298,955 kg</text>
  </threadedComment>
  <threadedComment ref="H100" dT="2022-04-14T12:34:15.87" personId="{E1623999-F9A8-4EC8-8D3B-00734938D900}" id="{E99AD1A7-DF42-4DF8-BA52-F02DF784972E}">
    <text>Original value was 301,869</text>
  </threadedComment>
  <threadedComment ref="K120" dT="2022-04-14T09:02:14.77" personId="{E1623999-F9A8-4EC8-8D3B-00734938D900}" id="{1E0FCF4C-9EEA-4D19-B7A5-51AF4D59D8FE}">
    <text>Original value before rstatement was 4107694</text>
  </threadedComment>
  <threadedComment ref="K122" dT="2022-04-14T09:06:39.21" personId="{E1623999-F9A8-4EC8-8D3B-00734938D900}" id="{ABC36D99-FAA2-463C-B701-6B82A6B210FA}">
    <text>Original value before restatement was 1224735</text>
  </threadedComment>
  <threadedComment ref="K125" dT="2022-04-14T09:12:14.27" personId="{E1623999-F9A8-4EC8-8D3B-00734938D900}" id="{07B07872-8C1B-4596-8DAE-D7873EADC94A}">
    <text>Original value before restatement was 615809</text>
  </threadedComment>
  <threadedComment ref="K130" dT="2022-04-14T08:24:52.39" personId="{E1623999-F9A8-4EC8-8D3B-00734938D900}" id="{29719286-53A7-48C2-8938-DF1D49675701}">
    <text>Original value last year of 141026138 changed after energy restatements for renewable energy</text>
  </threadedComment>
  <threadedComment ref="K132" dT="2022-04-14T08:23:52.68" personId="{E1623999-F9A8-4EC8-8D3B-00734938D900}" id="{1A878988-3E19-4FE6-A6B1-9181675A35CC}">
    <text>Original value from last year reported was 340204183 Following restatement has altered</text>
  </threadedComment>
  <threadedComment ref="K135" dT="2022-04-14T08:44:59.84" personId="{E1623999-F9A8-4EC8-8D3B-00734938D900}" id="{3E34FCC1-B6DB-4896-A1B4-C063FABAF873}">
    <text>Original value before correction was 171,057,996</text>
  </threadedComment>
  <threadedComment ref="K137" dT="2022-04-14T09:01:42.53" personId="{E1623999-F9A8-4EC8-8D3B-00734938D900}" id="{E2276F93-69E3-4439-8844-5EA8EE80479C}">
    <text>Original value was 30.9% before restatement of renewable electricity</text>
  </threadedComment>
</ThreadedComments>
</file>

<file path=xl/threadedComments/threadedComment2.xml><?xml version="1.0" encoding="utf-8"?>
<ThreadedComments xmlns="http://schemas.microsoft.com/office/spreadsheetml/2018/threadedcomments" xmlns:x="http://schemas.openxmlformats.org/spreadsheetml/2006/main">
  <threadedComment ref="F58" dT="2023-05-19T13:04:32.47" personId="{FFB89494-4C8C-4DF8-AB66-EF7261C141A5}" id="{D3D927BC-1CDB-4513-B406-DEBDB920A912}">
    <text>@Tony Malone I dunno if you have to replicate this on the "actual" tab now?</text>
    <mentions>
      <mention mentionpersonId="{A91117D3-B92D-49E3-BF2C-B525DE5A9950}" mentionId="{73E61544-9BFC-42F0-9982-F0C1A2405ABC}" startIndex="0" length="12"/>
    </mentions>
  </threadedComment>
  <threadedComment ref="N134" dT="2023-05-19T17:08:59.20" personId="{FFB89494-4C8C-4DF8-AB66-EF7261C141A5}" id="{4E702EDD-0DD4-4CC2-8471-CFD1D7BD8A98}">
    <text>@Tony Malone I've just subtracted and got this number, is it ok? It was zero in 2019/20?</text>
    <mentions>
      <mention mentionpersonId="{A91117D3-B92D-49E3-BF2C-B525DE5A9950}" mentionId="{DFD1E6D3-2606-42B2-BEEE-BE1E159B2FA4}" startIndex="0" length="12"/>
    </mentions>
  </threadedComment>
  <threadedComment ref="N134" dT="2023-05-22T15:19:10.53" personId="{44DF744A-8902-4FBE-BABD-0F0ABEADB985}" id="{D4C5FDC9-18DD-42DA-BC1F-751932AB76BE}" parentId="{4E702EDD-0DD4-4CC2-8471-CFD1D7BD8A98}">
    <text>@Xin Ngfat We were not recording this data at this point so we do not have a number for this indicator</text>
    <mentions>
      <mention mentionpersonId="{F4220FD2-7558-4741-BBAB-9074C7EFAC39}" mentionId="{D35D1A60-0CF8-4C03-B39E-A6510C1D2EBA}" startIndex="0" length="10"/>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B32" dT="2023-04-03T16:01:22.18" personId="{FFB89494-4C8C-4DF8-AB66-EF7261C141A5}" id="{88CFE28E-21D1-4056-9225-B05788A1C467}">
    <text>@Victoria Barlow - for your team to provide numbers once finalised. Thank you.</text>
    <mentions>
      <mention mentionpersonId="{958ACA67-8A81-4DE0-9E77-085D6A961BE1}" mentionId="{8DE731B3-12A2-4412-B751-4724357E6A54}" startIndex="0" length="16"/>
    </mentions>
  </threadedComment>
  <threadedComment ref="D33" dT="2023-04-26T12:57:17.92" personId="{FFB89494-4C8C-4DF8-AB66-EF7261C141A5}" id="{C02B732B-636A-4CEB-815E-3948C14291C4}">
    <text>@Trevor Rouse are these numbers as at 31st March 2023 or avg numbers over the financial year?</text>
    <mentions>
      <mention mentionpersonId="{DB587674-DFC6-40D1-B86F-A160DC484CC7}" mentionId="{8A792534-EE6E-4AA2-9238-5CC7F749CAA1}" startIndex="0" length="13"/>
    </mentions>
  </threadedComment>
  <threadedComment ref="D33" dT="2023-04-26T19:04:46.26" personId="{C017F7F4-BE32-4D0D-8779-D892A34AC297}" id="{B95CE716-357E-4556-8FF1-D28FE699C3FC}" parentId="{C02B732B-636A-4CEB-815E-3948C14291C4}">
    <text>As at 31st March 2023</text>
  </threadedComment>
  <threadedComment ref="C34" dT="2023-04-25T16:05:42.34" personId="{FFB89494-4C8C-4DF8-AB66-EF7261C141A5}" id="{02AD94CE-5BA5-4EDE-8525-A8931064BB55}">
    <text>@Trevor Rouse do you have a definition we can use here? preferably not with GG12+ as that won't mean anything externally</text>
    <mentions>
      <mention mentionpersonId="{DB587674-DFC6-40D1-B86F-A160DC484CC7}" mentionId="{BE4B5041-6781-4C7B-AACA-A1DE96D9C922}" startIndex="0" length="13"/>
    </mentions>
  </threadedComment>
  <threadedComment ref="C34" dT="2023-04-26T19:14:19.66" personId="{C017F7F4-BE32-4D0D-8779-D892A34AC297}" id="{FAD71C8B-32E8-40FF-9C17-A98740DC73F6}" parentId="{02AD94CE-5BA5-4EDE-8525-A8931064BB55}">
    <text>All employees whether they are a People manager or not at a minimum pay grade</text>
  </threadedComment>
  <threadedComment ref="M34" dT="2023-05-12T09:30:12.51" personId="{FFB89494-4C8C-4DF8-AB66-EF7261C141A5}" id="{BEFF355C-3301-4268-899F-0446A980FBF7}">
    <text>@Trevor Rouse please could you just confirm this number for me, make sure you are happy with the split and that this is 28% for 2022/23</text>
    <mentions>
      <mention mentionpersonId="{DB587674-DFC6-40D1-B86F-A160DC484CC7}" mentionId="{DAF17AEE-77B1-4DA5-ABAB-1DD7C90DB0EF}" startIndex="0" length="13"/>
    </mentions>
  </threadedComment>
  <threadedComment ref="M34" dT="2023-05-12T10:01:01.59" personId="{C017F7F4-BE32-4D0D-8779-D892A34AC297}" id="{D318FECB-6124-4784-8710-8FFCEBB0A164}" parentId="{BEFF355C-3301-4268-899F-0446A980FBF7}">
    <text>Yes - happy with the split and the 28%</text>
  </threadedComment>
  <threadedComment ref="B37" dT="2023-04-21T22:16:31.86" personId="{E8CA4EDD-2D17-4DEE-9F0D-2A16927BA2D7}" id="{6E85BAEE-3492-4EDB-A49D-4F4B86EF50CB}">
    <text>VB reviewed and confirmed 21/04/23</text>
  </threadedComment>
  <threadedComment ref="B37" dT="2023-04-27T11:11:39.24" personId="{FFB89494-4C8C-4DF8-AB66-EF7261C141A5}" id="{B4B7D574-9CD5-4C51-BAC2-011B86838721}" parentId="{6E85BAEE-3492-4EDB-A49D-4F4B86EF50CB}">
    <text>@Victoria Barlow thank you, do we have any historical data?</text>
    <mentions>
      <mention mentionpersonId="{958ACA67-8A81-4DE0-9E77-085D6A961BE1}" mentionId="{64E00A25-8E6A-4BA1-8350-AFB036124120}" startIndex="0" length="16"/>
    </mentions>
  </threadedComment>
  <threadedComment ref="B37" dT="2023-05-10T08:21:47.03" personId="{FFB89494-4C8C-4DF8-AB66-EF7261C141A5}" id="{FA9CB1B0-C70D-40CB-8CB3-CD824C556B83}" parentId="{6E85BAEE-3492-4EDB-A49D-4F4B86EF50CB}">
    <text>@Victoria Barlow is there any prior years data available?</text>
    <mentions>
      <mention mentionpersonId="{958ACA67-8A81-4DE0-9E77-085D6A961BE1}" mentionId="{E385FFE5-D557-4F13-A430-DA94CF6F3F2C}" startIndex="0" length="16"/>
    </mentions>
  </threadedComment>
  <threadedComment ref="B37" dT="2023-05-11T19:58:53.11" personId="{FFB89494-4C8C-4DF8-AB66-EF7261C141A5}" id="{BBD7D8A5-45F0-42A0-A0EC-916ADA495480}" parentId="{6E85BAEE-3492-4EDB-A49D-4F4B86EF50CB}">
    <text>@Holly Scott are you able to provide prior year ages?</text>
    <mentions>
      <mention mentionpersonId="{120D46B2-DC5C-45FC-801C-D947D6172F47}" mentionId="{A312E632-2606-48DE-A031-ECD08FF38EEE}" startIndex="0" length="12"/>
    </mentions>
  </threadedComment>
  <threadedComment ref="B37" dT="2023-05-12T23:06:31.18" personId="{E8CA4EDD-2D17-4DEE-9F0D-2A16927BA2D7}" id="{68C95814-9226-4D16-91C1-1AAB5EA0ABE0}" parentId="{6E85BAEE-3492-4EDB-A49D-4F4B86EF50CB}">
    <text>@Xin Ngfat added in</text>
    <mentions>
      <mention mentionpersonId="{F4220FD2-7558-4741-BBAB-9074C7EFAC39}" mentionId="{1E624491-19CC-4E96-9FF8-3F62509CACBA}" startIndex="0" length="10"/>
    </mentions>
  </threadedComment>
  <threadedComment ref="B37" dT="2023-05-18T17:35:25.95" personId="{FFB89494-4C8C-4DF8-AB66-EF7261C141A5}" id="{B28D149F-B327-44D0-8CFC-4C4E7B40A099}" parentId="{6E85BAEE-3492-4EDB-A49D-4F4B86EF50CB}">
    <text>@Victoria Barlow @Holly Scott definitely some numbers in there</text>
    <mentions>
      <mention mentionpersonId="{958ACA67-8A81-4DE0-9E77-085D6A961BE1}" mentionId="{025749E4-1F2F-4582-821C-94EA6C57061E}" startIndex="0" length="16"/>
      <mention mentionpersonId="{120D46B2-DC5C-45FC-801C-D947D6172F47}" mentionId="{D6445537-9B92-4504-931B-AD74E2FBE1B8}" startIndex="17" length="12"/>
    </mentions>
  </threadedComment>
  <threadedComment ref="C47" dT="2023-04-19T17:57:29.28" personId="{FFB89494-4C8C-4DF8-AB66-EF7261C141A5}" id="{001970F9-6B2E-4346-99A5-39219D8D021B}">
    <text>@Trevor Rouse why is this? Age details voluntary?</text>
    <mentions>
      <mention mentionpersonId="{DB587674-DFC6-40D1-B86F-A160DC484CC7}" mentionId="{B5EFF236-7D0C-49D2-A193-1B97666F3982}" startIndex="0" length="13"/>
    </mentions>
  </threadedComment>
  <threadedComment ref="C47" dT="2023-04-19T23:22:50.01" personId="{C017F7F4-BE32-4D0D-8779-D892A34AC297}" id="{B1D22F47-A607-49A1-B930-A1FBB28E6252}" parentId="{001970F9-6B2E-4346-99A5-39219D8D021B}">
    <text>Yes - age details voluntary</text>
  </threadedComment>
  <threadedComment ref="C51" dT="2023-04-26T10:38:57.18" personId="{FFB89494-4C8C-4DF8-AB66-EF7261C141A5}" id="{03841D26-5513-474E-A67B-CF977A8D9E33}">
    <text>@Trevor Rouse</text>
    <mentions>
      <mention mentionpersonId="{DB587674-DFC6-40D1-B86F-A160DC484CC7}" mentionId="{BD9E69CA-0901-4F8F-AB0D-7A41FC63275E}" startIndex="0" length="13"/>
    </mentions>
  </threadedComment>
  <threadedComment ref="C51" dT="2023-04-26T19:03:11.05" personId="{C017F7F4-BE32-4D0D-8779-D892A34AC297}" id="{E6D833B0-1799-44A1-9816-F35B50CFD5E2}" parentId="{03841D26-5513-474E-A67B-CF977A8D9E33}">
    <text>Employee turnover rate initiated by employer</text>
  </threadedComment>
  <threadedComment ref="C53" dT="2023-05-11T13:21:21.85" personId="{FFB89494-4C8C-4DF8-AB66-EF7261C141A5}" id="{E9077630-1FCD-49E0-8638-50CEE60F698E}">
    <text>@Trevor Rouse can we put in the calculation detail please of first day, last day etc</text>
    <mentions>
      <mention mentionpersonId="{DB587674-DFC6-40D1-B86F-A160DC484CC7}" mentionId="{3F9AA52A-7FBB-4882-AF2D-4FD84F5868B1}" startIndex="0" length="13"/>
    </mentions>
  </threadedComment>
  <threadedComment ref="C53" dT="2023-05-11T13:25:01.58" personId="{FFB89494-4C8C-4DF8-AB66-EF7261C141A5}" id="{6E1CF550-BBC2-49BF-9F0B-11E0128BE1B9}" parentId="{E9077630-1FCD-49E0-8638-50CEE60F698E}">
    <text>@Trevor Rouse and perm employee only</text>
    <mentions>
      <mention mentionpersonId="{DB587674-DFC6-40D1-B86F-A160DC484CC7}" mentionId="{396C589A-D717-45F3-98ED-2D723C25EBE3}" startIndex="0" length="13"/>
    </mentions>
  </threadedComment>
  <threadedComment ref="C53" dT="2023-05-11T14:08:02.29" personId="{C017F7F4-BE32-4D0D-8779-D892A34AC297}" id="{55EE225F-4C09-4EBB-A02C-9FECD4C40209}" parentId="{E9077630-1FCD-49E0-8638-50CEE60F698E}">
    <text>@Xin Ngfat - think you have this now - number of leavers over last 12 months divided by average headcount say as at data points 1 April 2022 and 31 March 2023</text>
    <mentions>
      <mention mentionpersonId="{F4220FD2-7558-4741-BBAB-9074C7EFAC39}" mentionId="{17438211-CD55-4B04-B85D-626B2E41E07E}" startIndex="0" length="10"/>
    </mentions>
  </threadedComment>
  <threadedComment ref="C54" dT="2023-04-26T10:38:57.18" personId="{FFB89494-4C8C-4DF8-AB66-EF7261C141A5}" id="{8D7664A8-D9AB-409E-BC7A-63330965D85C}">
    <text>@Trevor Rouse</text>
    <mentions>
      <mention mentionpersonId="{DB587674-DFC6-40D1-B86F-A160DC484CC7}" mentionId="{0A96DF18-0285-4C3A-B173-2747118ED4AF}" startIndex="0" length="13"/>
    </mentions>
  </threadedComment>
  <threadedComment ref="C54" dT="2023-04-26T19:03:11.05" personId="{C017F7F4-BE32-4D0D-8779-D892A34AC297}" id="{BA9456A9-14D6-4BE0-874F-DA6C731ABC2F}" parentId="{8D7664A8-D9AB-409E-BC7A-63330965D85C}">
    <text>Employee turnover rate initiated by employer</text>
  </threadedComment>
  <threadedComment ref="C94" dT="2023-05-11T12:32:18.27" personId="{FFB89494-4C8C-4DF8-AB66-EF7261C141A5}" id="{24774F3C-A95F-4E42-B59F-47A22CD07DB5}">
    <text>@Trevor Rouse could you provide this excl health please - I think it's 12510 this year, any idea for historical?</text>
    <mentions>
      <mention mentionpersonId="{DB587674-DFC6-40D1-B86F-A160DC484CC7}" mentionId="{F7A899CD-3D72-4A9E-98A8-5C4CE134CB44}" startIndex="0" length="13"/>
    </mentions>
  </threadedComment>
  <threadedComment ref="B115" dT="2023-05-16T15:59:05.34" personId="{FFB89494-4C8C-4DF8-AB66-EF7261C141A5}" id="{65C9ADAF-508A-4C6E-B538-0C965DAA136B}">
    <text>@Trevor Rouse is this something you can pull from Workday?</text>
    <mentions>
      <mention mentionpersonId="{DB587674-DFC6-40D1-B86F-A160DC484CC7}" mentionId="{95E82A99-462C-4A03-A131-40F5DE847644}" startIndex="0" length="13"/>
    </mentions>
  </threadedComment>
  <threadedComment ref="B124" dT="2023-05-16T15:59:05.34" personId="{FFB89494-4C8C-4DF8-AB66-EF7261C141A5}" id="{A2CA4E63-ED3C-426E-B8D2-FEF83A215810}">
    <text>@Trevor Rouse is this something you can pull from Workday?</text>
    <mentions>
      <mention mentionpersonId="{DB587674-DFC6-40D1-B86F-A160DC484CC7}" mentionId="{46891BC0-A160-484D-8220-659F81E33D34}" startIndex="0" length="13"/>
    </mentions>
  </threadedComment>
  <threadedComment ref="B132" dT="2023-05-16T15:59:05.34" personId="{FFB89494-4C8C-4DF8-AB66-EF7261C141A5}" id="{D0DCF2E0-067B-4DB8-8039-E4686F86BC52}">
    <text>@Trevor Rouse is this something you can pull from Workday?</text>
    <mentions>
      <mention mentionpersonId="{DB587674-DFC6-40D1-B86F-A160DC484CC7}" mentionId="{FA8501AD-3FDD-4468-8B7A-5924B7C8CC27}" startIndex="0" length="13"/>
    </mentions>
  </threadedComment>
  <threadedComment ref="B138" dT="2023-05-16T15:59:05.34" personId="{FFB89494-4C8C-4DF8-AB66-EF7261C141A5}" id="{FD15BE50-FFBA-48D5-AEB0-A413712E4AD2}">
    <text>@Trevor Rouse is this something you can pull from Workday?</text>
    <mentions>
      <mention mentionpersonId="{DB587674-DFC6-40D1-B86F-A160DC484CC7}" mentionId="{0C1F2AAA-FBCB-4364-92AD-3D35F19073A0}" startIndex="0" length="13"/>
    </mentions>
  </threadedComment>
  <threadedComment ref="C151" dT="2023-05-18T12:49:47.89" personId="{FFB89494-4C8C-4DF8-AB66-EF7261C141A5}" id="{728C9CDD-C922-4B62-BF8F-21E63D9803F2}">
    <text>@Julie Bolam to confirm once happy with the breakdown of numbers please.</text>
    <mentions>
      <mention mentionpersonId="{56837F4D-98AE-47A8-BBB8-DF4A5807D6FC}" mentionId="{C0FC51FF-49DB-4AC6-A51C-ABA43CC2FB5D}" startIndex="0" length="12"/>
    </mentions>
  </threadedComment>
  <threadedComment ref="C151" dT="2023-05-24T16:38:07.78" personId="{492F2C60-448D-4089-9B04-C8158CA34543}" id="{75EF2D87-9DE8-4ED1-8BC4-9CCCDCBF97BD}" parentId="{728C9CDD-C922-4B62-BF8F-21E63D9803F2}">
    <text xml:space="preserve">Only JM employees assigned Comp Law and ABAC. Code of Ethics to CW and JM . </text>
  </threadedComment>
  <threadedComment ref="C151" dT="2023-05-26T13:40:05.71" personId="{FFB89494-4C8C-4DF8-AB66-EF7261C141A5}" id="{BE704D9F-6DCD-4DC1-81E9-9037925AEC2A}" parentId="{728C9CDD-C922-4B62-BF8F-21E63D9803F2}">
    <text>@Julie Bolam 
So Comp law and ABC to permanent employees only
Code of Ethics to perm staff and temp staff with contracts over 3 months</text>
    <mentions>
      <mention mentionpersonId="{56837F4D-98AE-47A8-BBB8-DF4A5807D6FC}" mentionId="{A8A8465D-32EE-400F-844D-18633709ED36}" startIndex="0" length="12"/>
    </mentions>
  </threadedComment>
  <threadedComment ref="C182" dT="2023-05-18T12:49:47.89" personId="{FFB89494-4C8C-4DF8-AB66-EF7261C141A5}" id="{7E8A7E52-B244-4F21-B8F8-040ABF19BEC2}">
    <text>@Julie Bolam to confirm once happy with the breakdown of numbers please.</text>
    <mentions>
      <mention mentionpersonId="{56837F4D-98AE-47A8-BBB8-DF4A5807D6FC}" mentionId="{67F56105-CCE1-42F5-A21E-005B70CA8B95}" startIndex="0" length="12"/>
    </mentions>
  </threadedComment>
  <threadedComment ref="C182" dT="2023-05-24T16:38:07.78" personId="{492F2C60-448D-4089-9B04-C8158CA34543}" id="{0E818167-DF43-49E6-A93D-1E5FE727E1B4}" parentId="{7E8A7E52-B244-4F21-B8F8-040ABF19BEC2}">
    <text xml:space="preserve">Only JM employees assigned Comp Law and ABAC. Code of Ethics to CW and JM . </text>
  </threadedComment>
  <threadedComment ref="C182" dT="2023-05-26T13:40:05.71" personId="{FFB89494-4C8C-4DF8-AB66-EF7261C141A5}" id="{DE4D591F-6808-4F21-9E15-D1823A09AB6F}" parentId="{7E8A7E52-B244-4F21-B8F8-040ABF19BEC2}">
    <text>@Julie Bolam 
So Comp law and ABC to permanent employees only
Code of Ethics to perm staff and temp staff with contracts over 3 months</text>
    <mentions>
      <mention mentionpersonId="{56837F4D-98AE-47A8-BBB8-DF4A5807D6FC}" mentionId="{D33AB9D6-1F2E-410F-B955-2217618800E0}" startIndex="0" length="12"/>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s://matthey.com/en/about-us/partnering-with-us/supplier-code-of-conduct?assetCategoryIds=&amp;sort=ddm__keyword__232257__Date-"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2.xml"/><Relationship Id="rId1" Type="http://schemas.openxmlformats.org/officeDocument/2006/relationships/printerSettings" Target="../printerSettings/printerSettings22.bin"/><Relationship Id="rId5" Type="http://schemas.microsoft.com/office/2017/10/relationships/threadedComment" Target="../threadedComments/threadedComment2.xml"/><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3.xml"/><Relationship Id="rId1" Type="http://schemas.openxmlformats.org/officeDocument/2006/relationships/printerSettings" Target="../printerSettings/printerSettings23.bin"/><Relationship Id="rId5" Type="http://schemas.microsoft.com/office/2017/10/relationships/threadedComment" Target="../threadedComments/threadedComment3.xml"/><Relationship Id="rId4" Type="http://schemas.openxmlformats.org/officeDocument/2006/relationships/comments" Target="../comments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s://matthey.com/documents/161599/3025776/Johnson+Matthey+Biodiversity+Statement_Final.pdf/90c41ae0-fec6-9257-7aa3-6092de17b250?t=1717588061345" TargetMode="External"/><Relationship Id="rId18" Type="http://schemas.openxmlformats.org/officeDocument/2006/relationships/hyperlink" Target="https://matthey.com/careers/life-at-jm/rewards-and-benefits" TargetMode="External"/><Relationship Id="rId26" Type="http://schemas.openxmlformats.org/officeDocument/2006/relationships/hyperlink" Target="https://matthey.com/sustainability/people/communities" TargetMode="External"/><Relationship Id="rId39" Type="http://schemas.openxmlformats.org/officeDocument/2006/relationships/hyperlink" Target="https://matthey.com/sustainability/people/responsible-sourcing" TargetMode="External"/><Relationship Id="rId21" Type="http://schemas.openxmlformats.org/officeDocument/2006/relationships/hyperlink" Target="https://matthey.com/documents/161599/2096356/JM_Gender%20Pay%20Gap%20Report%202024_V6.pdf/776fa739-0d3e-c2eb-85cd-dccf8b3191a6?t=1743494242608" TargetMode="External"/><Relationship Id="rId34" Type="http://schemas.openxmlformats.org/officeDocument/2006/relationships/hyperlink" Target="https://matthey.com/en/sustainability/people/labour-and-human-rights" TargetMode="External"/><Relationship Id="rId42" Type="http://schemas.openxmlformats.org/officeDocument/2006/relationships/hyperlink" Target="https://matthey.com/sustainability/people/responsible-sourcing" TargetMode="External"/><Relationship Id="rId47" Type="http://schemas.openxmlformats.org/officeDocument/2006/relationships/hyperlink" Target="https://matthey.com/about-us/governance/code-of-ethics/code-of-ethics-23" TargetMode="External"/><Relationship Id="rId50" Type="http://schemas.openxmlformats.org/officeDocument/2006/relationships/hyperlink" Target="https://matthey.com/sustainability/nature-and-circularity" TargetMode="External"/><Relationship Id="rId55" Type="http://schemas.openxmlformats.org/officeDocument/2006/relationships/hyperlink" Target="https://matthey.com/careers/life-at-jm/rewards-and-benefits" TargetMode="External"/><Relationship Id="rId7" Type="http://schemas.openxmlformats.org/officeDocument/2006/relationships/hyperlink" Target="https://matthey.com/documents/161599/481702/Global%20Speak%20Up%20Policy%20-%20English.pdf/40ca267b-e6fb-38df-c078-f8b1d9827aa9?t=1742897215301" TargetMode="External"/><Relationship Id="rId2" Type="http://schemas.openxmlformats.org/officeDocument/2006/relationships/hyperlink" Target="https://matthey.com/en/sustainability/sustainability-governance" TargetMode="External"/><Relationship Id="rId16" Type="http://schemas.openxmlformats.org/officeDocument/2006/relationships/hyperlink" Target="https://matthey.com/documents/161599/481702/2022-06-07+Corporate+EHS+Policy+Statement+FINAL+%28Amended%29.pdf/5dd3eee5-76e0-8d4d-4854-42163d9a7447?t=1654961678367" TargetMode="External"/><Relationship Id="rId29" Type="http://schemas.openxmlformats.org/officeDocument/2006/relationships/hyperlink" Target="https://matthey.com/en/sustainability/people/labour-and-human-rights" TargetMode="External"/><Relationship Id="rId11" Type="http://schemas.openxmlformats.org/officeDocument/2006/relationships/hyperlink" Target="https://matthey.com/science-and-innovation/collaboration" TargetMode="External"/><Relationship Id="rId24" Type="http://schemas.openxmlformats.org/officeDocument/2006/relationships/hyperlink" Target="https://matthey.com/sustainability/people/communities" TargetMode="External"/><Relationship Id="rId32" Type="http://schemas.openxmlformats.org/officeDocument/2006/relationships/hyperlink" Target="https://matthey.com/careers/life-at-jm/rewards-and-benefits" TargetMode="External"/><Relationship Id="rId37" Type="http://schemas.openxmlformats.org/officeDocument/2006/relationships/hyperlink" Target="https://matthey.com/en/sustainability/people/labour-and-human-rights" TargetMode="External"/><Relationship Id="rId40" Type="http://schemas.openxmlformats.org/officeDocument/2006/relationships/hyperlink" Target="https://matthey.com/sustainability/people/responsible-sourcing" TargetMode="External"/><Relationship Id="rId45" Type="http://schemas.openxmlformats.org/officeDocument/2006/relationships/hyperlink" Target="https://matthey.com/documents/161599/481702/Global%20Speak%20Up%20Policy%20-%20English.pdf/40ca267b-e6fb-38df-c078-f8b1d9827aa9?t=1742897215301" TargetMode="External"/><Relationship Id="rId53" Type="http://schemas.openxmlformats.org/officeDocument/2006/relationships/hyperlink" Target="https://matthey.com/documents/161599/481702/Global%20Employee%20Leave%20Policy%20-%20English.pdf/46860b47-8a95-ad50-b6db-1fe57b358ca2?t=1742897045607" TargetMode="External"/><Relationship Id="rId58" Type="http://schemas.openxmlformats.org/officeDocument/2006/relationships/drawing" Target="../drawings/drawing5.xml"/><Relationship Id="rId5" Type="http://schemas.openxmlformats.org/officeDocument/2006/relationships/hyperlink" Target="https://matthey.com/en/sustainability/sustainability-governance" TargetMode="External"/><Relationship Id="rId19" Type="http://schemas.openxmlformats.org/officeDocument/2006/relationships/hyperlink" Target="https://matthey.com/documents/161599/481702/2022-06-07+Corporate+EHS+Policy+Statement+FINAL+%28Amended%29.pdf/5dd3eee5-76e0-8d4d-4854-42163d9a7447?t=1654961678367" TargetMode="External"/><Relationship Id="rId4" Type="http://schemas.openxmlformats.org/officeDocument/2006/relationships/hyperlink" Target="https://matthey.com/sustainability/policies-disclosures-and-position-statements/anti-bribery-and-corruption-policy" TargetMode="External"/><Relationship Id="rId9" Type="http://schemas.openxmlformats.org/officeDocument/2006/relationships/hyperlink" Target="https://matthey.com/documents/161599/481702/Global%20Speak%20Up%20Policy%20-%20English.pdf/40ca267b-e6fb-38df-c078-f8b1d9827aa9?t=1742897215301" TargetMode="External"/><Relationship Id="rId14" Type="http://schemas.openxmlformats.org/officeDocument/2006/relationships/hyperlink" Target="https://matthey.com/documents/161599/3025776/Johnson+Matthey+Biodiversity+Statement_Final.pdf/90c41ae0-fec6-9257-7aa3-6092de17b250?t=1717588061345" TargetMode="External"/><Relationship Id="rId22" Type="http://schemas.openxmlformats.org/officeDocument/2006/relationships/hyperlink" Target="https://matthey.com/documents/161599/2096356/JM_Modern_Slavery_Statement_FY23-24.pdf/bd783ad3-c82a-65b3-27c5-2a77730cb5a6?t=1725900743364" TargetMode="External"/><Relationship Id="rId27" Type="http://schemas.openxmlformats.org/officeDocument/2006/relationships/hyperlink" Target="https://matthey.com/sustainability/people/product-stewardship" TargetMode="External"/><Relationship Id="rId30" Type="http://schemas.openxmlformats.org/officeDocument/2006/relationships/hyperlink" Target="https://matthey.com/sustainability/people/how-we-collaborate-and-engage-with-stakeholders" TargetMode="External"/><Relationship Id="rId35" Type="http://schemas.openxmlformats.org/officeDocument/2006/relationships/hyperlink" Target="https://matthey.com/en/sustainability/people/labour-and-human-rights" TargetMode="External"/><Relationship Id="rId43" Type="http://schemas.openxmlformats.org/officeDocument/2006/relationships/hyperlink" Target="https://matthey.com/sustainability/people" TargetMode="External"/><Relationship Id="rId48" Type="http://schemas.openxmlformats.org/officeDocument/2006/relationships/hyperlink" Target="https://matthey.com/documents/d/guest/global-competition-law-policy-english-pdf-1" TargetMode="External"/><Relationship Id="rId56" Type="http://schemas.openxmlformats.org/officeDocument/2006/relationships/hyperlink" Target="https://matthey.com/en/sustainability/people/labour-and-human-rights" TargetMode="External"/><Relationship Id="rId8" Type="http://schemas.openxmlformats.org/officeDocument/2006/relationships/hyperlink" Target="https://matthey.com/documents/161599/481702/Global%20Human%20Rights%20Policy%20-%20English.pdf/03b39dba-12ce-3cf6-5f27-323fbd87d1d5?t=1742897132409" TargetMode="External"/><Relationship Id="rId51" Type="http://schemas.openxmlformats.org/officeDocument/2006/relationships/hyperlink" Target="https://matthey.com/sustainability/nature-and-circularity" TargetMode="External"/><Relationship Id="rId3" Type="http://schemas.openxmlformats.org/officeDocument/2006/relationships/hyperlink" Target="https://matthey.com/documents/161599/481702/Global+Tax+Policy.pdf/3fdd4cb2-b62b-e3f3-d170-affb18418399?t=1670345691972" TargetMode="External"/><Relationship Id="rId12" Type="http://schemas.openxmlformats.org/officeDocument/2006/relationships/hyperlink" Target="https://matthey.com/science-and-innovation/collaboration" TargetMode="External"/><Relationship Id="rId17" Type="http://schemas.openxmlformats.org/officeDocument/2006/relationships/hyperlink" Target="https://matthey.com/documents/161599/481702/2022-06-07+Corporate+EHS+Policy+Statement+FINAL+%28Amended%29.pdf/5dd3eee5-76e0-8d4d-4854-42163d9a7447?t=1654961678367" TargetMode="External"/><Relationship Id="rId25" Type="http://schemas.openxmlformats.org/officeDocument/2006/relationships/hyperlink" Target="https://matthey.com/sustainability/people/communities" TargetMode="External"/><Relationship Id="rId33" Type="http://schemas.openxmlformats.org/officeDocument/2006/relationships/hyperlink" Target="https://matthey.com/en/sustainability/people/labour-and-human-rights" TargetMode="External"/><Relationship Id="rId38" Type="http://schemas.openxmlformats.org/officeDocument/2006/relationships/hyperlink" Target="https://matthey.com/sustainability/people/product-stewardship" TargetMode="External"/><Relationship Id="rId46" Type="http://schemas.openxmlformats.org/officeDocument/2006/relationships/hyperlink" Target="https://matthey.com/about-us/partnering-with-us/terms-of-purchase?assetCategoryIds=&amp;sort=ddm__keyword__232257__Title" TargetMode="External"/><Relationship Id="rId20" Type="http://schemas.openxmlformats.org/officeDocument/2006/relationships/hyperlink" Target="https://matthey.com/careers/life-at-jm/learning-and-development" TargetMode="External"/><Relationship Id="rId41" Type="http://schemas.openxmlformats.org/officeDocument/2006/relationships/hyperlink" Target="https://matthey.com/sustainability/people/responsible-sourcing" TargetMode="External"/><Relationship Id="rId54" Type="http://schemas.openxmlformats.org/officeDocument/2006/relationships/hyperlink" Target="https://matthey.com/sustainability/people" TargetMode="External"/><Relationship Id="rId1" Type="http://schemas.openxmlformats.org/officeDocument/2006/relationships/hyperlink" Target="https://matthey.com/documents/161599/481702/Global%20Conflicts%20of%20Interest%20Policy%20-%20English.pdf/931d9633-df43-a8e8-11a3-5801399e7b9e?t=1742896918143" TargetMode="External"/><Relationship Id="rId6" Type="http://schemas.openxmlformats.org/officeDocument/2006/relationships/hyperlink" Target="https://matthey.com/about-us" TargetMode="External"/><Relationship Id="rId15" Type="http://schemas.openxmlformats.org/officeDocument/2006/relationships/hyperlink" Target="https://matthey.com/documents/161599/481702/2022-06-07+Corporate+EHS+Policy+Statement+FINAL+%28Amended%29.pdf/5dd3eee5-76e0-8d4d-4854-42163d9a7447?t=1654961678367" TargetMode="External"/><Relationship Id="rId23" Type="http://schemas.openxmlformats.org/officeDocument/2006/relationships/hyperlink" Target="https://matthey.com/documents/161599/2096356/JM_Modern_Slavery_Statement_FY23-24.pdf/bd783ad3-c82a-65b3-27c5-2a77730cb5a6?t=1725900743364" TargetMode="External"/><Relationship Id="rId28" Type="http://schemas.openxmlformats.org/officeDocument/2006/relationships/hyperlink" Target="https://matthey.com/documents/161599/3025776/Tax%20Strategy%20FY2425.pdf/d7f6cc91-1a33-498d-e663-6d1dee889c5e?t=1727445410178" TargetMode="External"/><Relationship Id="rId36" Type="http://schemas.openxmlformats.org/officeDocument/2006/relationships/hyperlink" Target="https://matthey.com/en/sustainability/people/labour-and-human-rights" TargetMode="External"/><Relationship Id="rId49" Type="http://schemas.openxmlformats.org/officeDocument/2006/relationships/hyperlink" Target="https://matthey.com/sustainability/people/how-we-collaborate-and-engage-with-stakeholders" TargetMode="External"/><Relationship Id="rId57" Type="http://schemas.openxmlformats.org/officeDocument/2006/relationships/printerSettings" Target="../printerSettings/printerSettings5.bin"/><Relationship Id="rId10" Type="http://schemas.openxmlformats.org/officeDocument/2006/relationships/hyperlink" Target="https://matthey.com/about-us/governance/code-of-ethics/code-of-ethics-23" TargetMode="External"/><Relationship Id="rId31" Type="http://schemas.openxmlformats.org/officeDocument/2006/relationships/hyperlink" Target="https://matthey.com/sustainability/people/how-we-collaborate-and-engage-with-stakeholders" TargetMode="External"/><Relationship Id="rId44" Type="http://schemas.openxmlformats.org/officeDocument/2006/relationships/hyperlink" Target="https://matthey.com/investors/governance" TargetMode="External"/><Relationship Id="rId52" Type="http://schemas.openxmlformats.org/officeDocument/2006/relationships/hyperlink" Target="https://matthey.com/sustainability/nature-and-circula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matthey.com/sustainability/people" TargetMode="External"/><Relationship Id="rId7" Type="http://schemas.openxmlformats.org/officeDocument/2006/relationships/drawing" Target="../drawings/drawing7.xml"/><Relationship Id="rId2" Type="http://schemas.openxmlformats.org/officeDocument/2006/relationships/hyperlink" Target="https://matthey.com/sustainability/people/communities" TargetMode="External"/><Relationship Id="rId1" Type="http://schemas.openxmlformats.org/officeDocument/2006/relationships/hyperlink" Target="https://matthey.com/sustainability" TargetMode="External"/><Relationship Id="rId6" Type="http://schemas.openxmlformats.org/officeDocument/2006/relationships/printerSettings" Target="../printerSettings/printerSettings7.bin"/><Relationship Id="rId5" Type="http://schemas.openxmlformats.org/officeDocument/2006/relationships/hyperlink" Target="https://matthey.com/en/sustainability/sustainability-governance" TargetMode="External"/><Relationship Id="rId4" Type="http://schemas.openxmlformats.org/officeDocument/2006/relationships/hyperlink" Target="https://matthey.com/sustainability/people/how-we-collaborate-and-engage-with-stakeholders" TargetMode="External"/></Relationships>
</file>

<file path=xl/worksheets/_rels/sheet8.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matthey.com/contact-us?assetCategoryIds=&amp;sort=ddm__keyword__232321__Country" TargetMode="External"/><Relationship Id="rId7" Type="http://schemas.openxmlformats.org/officeDocument/2006/relationships/vmlDrawing" Target="../drawings/vmlDrawing1.vml"/><Relationship Id="rId2" Type="http://schemas.openxmlformats.org/officeDocument/2006/relationships/hyperlink" Target="https://unglobalcompact.org/what-is-gc/participants/149760" TargetMode="External"/><Relationship Id="rId1" Type="http://schemas.openxmlformats.org/officeDocument/2006/relationships/hyperlink" Target="https://matthey.com/documents/161599/2096356/JM_Gender%20Pay%20Gap%20Report%202024_V6.pdf/776fa739-0d3e-c2eb-85cd-dccf8b3191a6?t=1743494242608"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matthey.com/documents/d/guest/gender-pay-gap-report-2025"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0473-BB87-4E20-8775-6C1BEECC4EB3}">
  <sheetPr codeName="Sheet2">
    <tabColor theme="3"/>
    <pageSetUpPr fitToPage="1"/>
  </sheetPr>
  <dimension ref="A7:AA41"/>
  <sheetViews>
    <sheetView tabSelected="1" zoomScale="80" zoomScaleNormal="80" workbookViewId="0"/>
  </sheetViews>
  <sheetFormatPr defaultColWidth="8.54296875" defaultRowHeight="14.5" x14ac:dyDescent="0.35"/>
  <cols>
    <col min="1" max="1" width="3.453125" style="1" customWidth="1"/>
    <col min="2" max="16384" width="8.54296875" style="1"/>
  </cols>
  <sheetData>
    <row r="7" spans="2:19" x14ac:dyDescent="0.35">
      <c r="B7"/>
    </row>
    <row r="13" spans="2:19" x14ac:dyDescent="0.35">
      <c r="S13" s="559"/>
    </row>
    <row r="39" spans="1:27" x14ac:dyDescent="0.35">
      <c r="A39" s="1" t="s">
        <v>0</v>
      </c>
    </row>
    <row r="41" spans="1:27" x14ac:dyDescent="0.35">
      <c r="AA41"/>
    </row>
  </sheetData>
  <sheetProtection algorithmName="SHA-512" hashValue="OS4nTHYpLrwBNARTvFsbSlFaKBWKoBW5xDMGp0/1Ni64vt6L/skS5qor5XE5HiPcjbSdZcaQAGepmrE1lZx77Q==" saltValue="JUdMeECLAXgdQr37ReZjSA==" spinCount="100000" sheet="1" selectLockedCells="1" selectUnlockedCells="1"/>
  <pageMargins left="0.70866141732283472" right="0.70866141732283472" top="0.74803149606299213" bottom="0.74803149606299213" header="0.31496062992125984" footer="0.31496062992125984"/>
  <pageSetup paperSize="9" scale="9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06D5E-D05B-4F16-8311-013CAAB58CEB}">
  <sheetPr codeName="Sheet17">
    <pageSetUpPr fitToPage="1"/>
  </sheetPr>
  <dimension ref="B2:V42"/>
  <sheetViews>
    <sheetView zoomScale="90" zoomScaleNormal="90" workbookViewId="0"/>
  </sheetViews>
  <sheetFormatPr defaultColWidth="8.54296875" defaultRowHeight="13.5" x14ac:dyDescent="0.3"/>
  <cols>
    <col min="1" max="1" width="6.453125" style="3" customWidth="1"/>
    <col min="2" max="2" width="79.54296875" style="3" customWidth="1"/>
    <col min="3" max="5" width="12.54296875" style="3" customWidth="1"/>
    <col min="6" max="6" width="14.453125" style="3" bestFit="1" customWidth="1"/>
    <col min="7" max="7" width="14.453125" style="3" customWidth="1"/>
    <col min="8" max="8" width="7.54296875" style="3" customWidth="1"/>
    <col min="9" max="9" width="18.453125" style="3" customWidth="1"/>
    <col min="10" max="13" width="15.453125" style="3" customWidth="1"/>
    <col min="14" max="14" width="12.54296875" style="3" customWidth="1"/>
    <col min="15" max="15" width="24.54296875" style="3" customWidth="1"/>
    <col min="16" max="16" width="25.54296875" style="3" customWidth="1"/>
    <col min="17" max="17" width="14.453125" style="3" customWidth="1"/>
    <col min="18" max="18" width="9.453125" style="3" customWidth="1"/>
    <col min="19" max="16384" width="8.54296875" style="3"/>
  </cols>
  <sheetData>
    <row r="2" spans="2:22" ht="43.4" customHeight="1" x14ac:dyDescent="0.3">
      <c r="B2" s="1048" t="s">
        <v>24</v>
      </c>
      <c r="C2" s="479"/>
      <c r="D2" s="479"/>
      <c r="F2" s="479"/>
      <c r="G2" s="479"/>
      <c r="H2" s="479"/>
      <c r="I2" s="479"/>
      <c r="J2" s="479"/>
      <c r="K2" s="479"/>
      <c r="L2" s="479"/>
      <c r="M2" s="479"/>
      <c r="N2" s="479"/>
      <c r="O2" s="479"/>
      <c r="P2" s="479"/>
      <c r="Q2" s="479"/>
      <c r="R2" s="479"/>
      <c r="S2" s="479"/>
      <c r="T2" s="479"/>
      <c r="U2" s="479"/>
      <c r="V2" s="479"/>
    </row>
    <row r="3" spans="2:22" ht="28.4" customHeight="1" x14ac:dyDescent="0.3">
      <c r="F3" s="480"/>
      <c r="G3" s="480"/>
      <c r="H3" s="480"/>
      <c r="I3" s="480"/>
      <c r="J3" s="480"/>
      <c r="K3" s="480"/>
      <c r="L3" s="480"/>
      <c r="M3" s="480"/>
      <c r="N3" s="480"/>
      <c r="O3" s="480"/>
      <c r="P3" s="480"/>
      <c r="Q3" s="480"/>
      <c r="R3" s="480"/>
    </row>
    <row r="4" spans="2:22" ht="18.649999999999999" customHeight="1" x14ac:dyDescent="0.3">
      <c r="E4" s="481"/>
      <c r="F4" s="480"/>
      <c r="G4" s="480"/>
      <c r="H4" s="480"/>
      <c r="I4" s="480"/>
      <c r="J4" s="480"/>
      <c r="K4" s="480"/>
      <c r="L4" s="480"/>
      <c r="M4" s="480"/>
      <c r="N4" s="480"/>
      <c r="O4" s="480"/>
      <c r="P4" s="480"/>
      <c r="Q4" s="480"/>
      <c r="R4" s="480"/>
    </row>
    <row r="5" spans="2:22" ht="42" customHeight="1" x14ac:dyDescent="0.3">
      <c r="B5" s="1796" t="s">
        <v>546</v>
      </c>
      <c r="C5" s="1796"/>
      <c r="D5" s="1796"/>
      <c r="E5" s="1796"/>
      <c r="F5" s="1796"/>
      <c r="G5" s="1796"/>
      <c r="H5" s="1796"/>
      <c r="I5" s="480"/>
      <c r="J5" s="480"/>
      <c r="K5" s="480"/>
      <c r="L5" s="480"/>
      <c r="M5" s="480"/>
      <c r="N5" s="480"/>
      <c r="O5" s="480"/>
      <c r="P5" s="480"/>
      <c r="Q5" s="480"/>
      <c r="R5" s="480"/>
    </row>
    <row r="7" spans="2:22" x14ac:dyDescent="0.3">
      <c r="B7" s="1624" t="s">
        <v>547</v>
      </c>
      <c r="C7" s="1797" t="s">
        <v>458</v>
      </c>
      <c r="D7" s="667" t="s">
        <v>459</v>
      </c>
      <c r="E7" s="667" t="s">
        <v>460</v>
      </c>
      <c r="F7" s="654" t="s">
        <v>461</v>
      </c>
      <c r="G7" s="654" t="s">
        <v>462</v>
      </c>
    </row>
    <row r="8" spans="2:22" x14ac:dyDescent="0.3">
      <c r="B8" s="1624"/>
      <c r="C8" s="1797"/>
      <c r="D8" s="654" t="s">
        <v>467</v>
      </c>
      <c r="E8" s="654" t="s">
        <v>467</v>
      </c>
      <c r="F8" s="654" t="s">
        <v>467</v>
      </c>
      <c r="G8" s="654" t="s">
        <v>467</v>
      </c>
    </row>
    <row r="9" spans="2:22" ht="15" x14ac:dyDescent="0.3">
      <c r="B9" s="527" t="s">
        <v>548</v>
      </c>
      <c r="C9" s="555" t="s">
        <v>494</v>
      </c>
      <c r="D9" s="668">
        <v>0.72726276753448971</v>
      </c>
      <c r="E9" s="1007">
        <v>0.7</v>
      </c>
      <c r="F9" s="640">
        <v>0.73</v>
      </c>
      <c r="G9" s="640">
        <v>0.74</v>
      </c>
    </row>
    <row r="10" spans="2:22" ht="15" x14ac:dyDescent="0.3">
      <c r="B10" s="527" t="s">
        <v>549</v>
      </c>
      <c r="C10" s="555" t="s">
        <v>494</v>
      </c>
      <c r="D10" s="668">
        <v>7.7174894227730684E-3</v>
      </c>
      <c r="E10" s="1007">
        <v>0.01</v>
      </c>
      <c r="F10" s="640">
        <v>0.01</v>
      </c>
      <c r="G10" s="640">
        <v>0.01</v>
      </c>
      <c r="H10" s="1997"/>
      <c r="I10" s="501"/>
      <c r="J10" s="501"/>
      <c r="K10" s="501"/>
      <c r="L10" s="501"/>
    </row>
    <row r="11" spans="2:22" ht="15" x14ac:dyDescent="0.3">
      <c r="B11" s="527" t="s">
        <v>550</v>
      </c>
      <c r="C11" s="555" t="s">
        <v>494</v>
      </c>
      <c r="D11" s="668">
        <v>8.7988719820571618E-2</v>
      </c>
      <c r="E11" s="1007">
        <v>0.09</v>
      </c>
      <c r="F11" s="640">
        <v>0.08</v>
      </c>
      <c r="G11" s="640">
        <v>0.05</v>
      </c>
      <c r="H11" s="1998"/>
      <c r="I11" s="501"/>
      <c r="J11" s="501"/>
      <c r="K11" s="501"/>
      <c r="L11" s="501"/>
    </row>
    <row r="12" spans="2:22" ht="15" x14ac:dyDescent="0.3">
      <c r="B12" s="527" t="s">
        <v>551</v>
      </c>
      <c r="C12" s="555" t="s">
        <v>494</v>
      </c>
      <c r="D12" s="668">
        <v>2.7002476668909908E-2</v>
      </c>
      <c r="E12" s="1007">
        <v>0.02</v>
      </c>
      <c r="F12" s="640">
        <v>7.0000000000000007E-2</v>
      </c>
      <c r="G12" s="640">
        <v>7.0000000000000007E-2</v>
      </c>
      <c r="H12" s="648"/>
    </row>
    <row r="13" spans="2:22" ht="15" x14ac:dyDescent="0.3">
      <c r="B13" s="527" t="s">
        <v>552</v>
      </c>
      <c r="C13" s="555" t="s">
        <v>494</v>
      </c>
      <c r="D13" s="668">
        <v>0.15002854655325581</v>
      </c>
      <c r="E13" s="1007">
        <v>0.18</v>
      </c>
      <c r="F13" s="640">
        <v>0.11</v>
      </c>
      <c r="G13" s="640">
        <v>0.13</v>
      </c>
    </row>
    <row r="14" spans="2:22" x14ac:dyDescent="0.3">
      <c r="D14" s="1450"/>
      <c r="E14" s="1450"/>
      <c r="F14" s="1450"/>
      <c r="G14" s="1450"/>
    </row>
    <row r="15" spans="2:22" x14ac:dyDescent="0.3">
      <c r="B15" s="1624" t="s">
        <v>553</v>
      </c>
      <c r="C15" s="1797" t="s">
        <v>458</v>
      </c>
      <c r="D15" s="667" t="s">
        <v>459</v>
      </c>
      <c r="E15" s="667" t="s">
        <v>460</v>
      </c>
      <c r="F15" s="654" t="s">
        <v>461</v>
      </c>
      <c r="G15" s="654" t="s">
        <v>462</v>
      </c>
    </row>
    <row r="16" spans="2:22" x14ac:dyDescent="0.3">
      <c r="B16" s="1624"/>
      <c r="C16" s="1797"/>
      <c r="D16" s="654" t="s">
        <v>467</v>
      </c>
      <c r="E16" s="654" t="s">
        <v>467</v>
      </c>
      <c r="F16" s="654" t="s">
        <v>467</v>
      </c>
      <c r="G16" s="654" t="s">
        <v>467</v>
      </c>
    </row>
    <row r="17" spans="2:11" ht="15" x14ac:dyDescent="0.3">
      <c r="B17" s="527" t="s">
        <v>548</v>
      </c>
      <c r="C17" s="555" t="s">
        <v>494</v>
      </c>
      <c r="D17" s="668">
        <v>0.52482642313914984</v>
      </c>
      <c r="E17" s="1007">
        <v>0.55249999999999999</v>
      </c>
      <c r="F17" s="640">
        <v>0.57999999999999996</v>
      </c>
      <c r="G17" s="640">
        <v>0.6</v>
      </c>
    </row>
    <row r="18" spans="2:11" ht="15" x14ac:dyDescent="0.3">
      <c r="B18" s="527" t="s">
        <v>549</v>
      </c>
      <c r="C18" s="555" t="s">
        <v>494</v>
      </c>
      <c r="D18" s="668">
        <v>4.5983282002680738E-2</v>
      </c>
      <c r="E18" s="1007">
        <v>5.21E-2</v>
      </c>
      <c r="F18" s="640">
        <v>7.0000000000000007E-2</v>
      </c>
      <c r="G18" s="640">
        <v>7.0000000000000007E-2</v>
      </c>
      <c r="K18" s="645"/>
    </row>
    <row r="19" spans="2:11" ht="15" x14ac:dyDescent="0.3">
      <c r="B19" s="527" t="s">
        <v>550</v>
      </c>
      <c r="C19" s="555" t="s">
        <v>494</v>
      </c>
      <c r="D19" s="668">
        <v>0.13933371799426705</v>
      </c>
      <c r="E19" s="1007">
        <v>0.1288</v>
      </c>
      <c r="F19" s="640">
        <v>0.11</v>
      </c>
      <c r="G19" s="640">
        <v>0.08</v>
      </c>
    </row>
    <row r="20" spans="2:11" ht="15" x14ac:dyDescent="0.3">
      <c r="B20" s="527" t="s">
        <v>551</v>
      </c>
      <c r="C20" s="555" t="s">
        <v>494</v>
      </c>
      <c r="D20" s="668">
        <v>0.13684454239835778</v>
      </c>
      <c r="E20" s="1007">
        <v>0.13289999999999999</v>
      </c>
      <c r="F20" s="640">
        <v>0.16</v>
      </c>
      <c r="G20" s="640">
        <v>0.16</v>
      </c>
      <c r="H20" s="648"/>
      <c r="I20" s="648"/>
    </row>
    <row r="21" spans="2:11" ht="15" x14ac:dyDescent="0.3">
      <c r="B21" s="527" t="s">
        <v>552</v>
      </c>
      <c r="C21" s="555" t="s">
        <v>494</v>
      </c>
      <c r="D21" s="668">
        <v>0.15301203446554468</v>
      </c>
      <c r="E21" s="1007">
        <v>0.1336</v>
      </c>
      <c r="F21" s="640">
        <v>0.08</v>
      </c>
      <c r="G21" s="640">
        <v>0.09</v>
      </c>
    </row>
    <row r="22" spans="2:11" x14ac:dyDescent="0.3">
      <c r="D22" s="1450"/>
      <c r="E22" s="1450"/>
      <c r="F22" s="1450"/>
      <c r="G22" s="1450"/>
      <c r="H22" s="1450"/>
      <c r="I22" s="1450"/>
    </row>
    <row r="23" spans="2:11" x14ac:dyDescent="0.3">
      <c r="F23" s="626"/>
      <c r="G23" s="626"/>
      <c r="H23" s="626"/>
      <c r="I23" s="626"/>
    </row>
    <row r="42" spans="2:6" x14ac:dyDescent="0.3">
      <c r="B42" s="641" t="str">
        <f>"Total sales from products contibuting to priority UN SDGs = "&amp;ROUND(SUM(D9:D12),2)*100&amp;"%"</f>
        <v>Total sales from products contibuting to priority UN SDGs = 85%</v>
      </c>
      <c r="C42" s="641" t="str">
        <f>"Total R&amp;D spend contibuting to priority UN SDGs = "&amp;ROUND(SUM(D17:D20),2)*100&amp;"%"</f>
        <v>Total R&amp;D spend contibuting to priority UN SDGs = 85%</v>
      </c>
      <c r="D42" s="483"/>
      <c r="E42" s="483"/>
      <c r="F42" s="483"/>
    </row>
  </sheetData>
  <sheetProtection algorithmName="SHA-512" hashValue="lwlXBDR/JS8Wh5koEH4N1pWN9su3bqz8hkckzk3XjZiKAleRTnUaP2VTn+UnJtBaAgpCZoNcJYVbOXX463NrZw==" saltValue="UYvRXNOfX8YFfxC+cHxCCg==" spinCount="100000" sheet="1" objects="1" scenarios="1"/>
  <mergeCells count="5">
    <mergeCell ref="B5:H5"/>
    <mergeCell ref="B7:B8"/>
    <mergeCell ref="C7:C8"/>
    <mergeCell ref="B15:B16"/>
    <mergeCell ref="C15:C16"/>
  </mergeCells>
  <pageMargins left="0.70866141732283472" right="0.70866141732283472" top="0.74803149606299213" bottom="0.74803149606299213" header="0.31496062992125984" footer="0.31496062992125984"/>
  <pageSetup paperSize="9" scale="5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31B1-9825-4F97-BC0C-F2FCDDCD4F9E}">
  <sheetPr codeName="Sheet15">
    <tabColor theme="8" tint="0.39997558519241921"/>
    <pageSetUpPr fitToPage="1"/>
  </sheetPr>
  <dimension ref="A2:P56"/>
  <sheetViews>
    <sheetView zoomScale="90" zoomScaleNormal="90" workbookViewId="0"/>
  </sheetViews>
  <sheetFormatPr defaultColWidth="8.54296875" defaultRowHeight="13.5" x14ac:dyDescent="0.3"/>
  <cols>
    <col min="1" max="1" width="5.453125" style="478" customWidth="1"/>
    <col min="2" max="2" width="103.453125" style="3" customWidth="1"/>
    <col min="3" max="3" width="32.453125" style="3" customWidth="1"/>
    <col min="4" max="4" width="22.54296875" style="3" customWidth="1"/>
    <col min="5" max="5" width="20" style="3" customWidth="1"/>
    <col min="6" max="31" width="8.08984375" style="3" customWidth="1"/>
    <col min="32" max="16384" width="8.54296875" style="3"/>
  </cols>
  <sheetData>
    <row r="2" spans="1:16" ht="23.15" customHeight="1" x14ac:dyDescent="0.45">
      <c r="B2" s="1798" t="s">
        <v>484</v>
      </c>
      <c r="C2" s="1798"/>
      <c r="D2" s="1798"/>
      <c r="E2" s="819"/>
      <c r="F2" s="1290"/>
      <c r="G2" s="1290"/>
      <c r="H2" s="1290"/>
    </row>
    <row r="3" spans="1:16" ht="14.15" customHeight="1" x14ac:dyDescent="0.3">
      <c r="B3" s="820"/>
      <c r="C3" s="820"/>
      <c r="D3" s="820"/>
      <c r="E3" s="820"/>
      <c r="F3" s="1291"/>
      <c r="G3" s="1291"/>
      <c r="H3" s="1291"/>
    </row>
    <row r="4" spans="1:16" ht="28" customHeight="1" x14ac:dyDescent="0.3">
      <c r="B4" s="1800" t="s">
        <v>485</v>
      </c>
      <c r="C4" s="1800"/>
      <c r="D4" s="1800"/>
      <c r="E4" s="1800"/>
      <c r="F4" s="1291"/>
      <c r="G4" s="1291"/>
      <c r="H4" s="1291"/>
    </row>
    <row r="5" spans="1:16" ht="14.5" x14ac:dyDescent="0.35">
      <c r="B5" s="1799" t="s">
        <v>1509</v>
      </c>
      <c r="C5" s="1799"/>
      <c r="D5" s="1799"/>
      <c r="E5" s="821"/>
      <c r="F5" s="1291"/>
      <c r="G5" s="1291"/>
      <c r="H5" s="1291"/>
    </row>
    <row r="6" spans="1:16" ht="14.9" customHeight="1" x14ac:dyDescent="0.3">
      <c r="B6" s="820"/>
      <c r="C6" s="820"/>
      <c r="D6" s="820"/>
      <c r="E6" s="821"/>
      <c r="F6" s="1291"/>
      <c r="G6" s="1291"/>
      <c r="H6" s="1291"/>
      <c r="I6" s="1291"/>
    </row>
    <row r="7" spans="1:16" s="544" customFormat="1" ht="45" x14ac:dyDescent="0.3">
      <c r="A7" s="1271"/>
      <c r="B7" s="823" t="s">
        <v>486</v>
      </c>
      <c r="C7" s="824" t="s">
        <v>487</v>
      </c>
      <c r="D7" s="824" t="s">
        <v>488</v>
      </c>
      <c r="E7" s="824" t="s">
        <v>489</v>
      </c>
      <c r="I7" s="1292"/>
      <c r="L7" s="3"/>
      <c r="M7" s="3"/>
      <c r="N7" s="3"/>
      <c r="O7" s="3"/>
      <c r="P7" s="3"/>
    </row>
    <row r="8" spans="1:16" ht="17" x14ac:dyDescent="0.4">
      <c r="A8" s="825">
        <v>1</v>
      </c>
      <c r="B8" s="826" t="s">
        <v>395</v>
      </c>
      <c r="C8" s="827" t="s">
        <v>490</v>
      </c>
      <c r="D8" s="697">
        <f>Environment!D11</f>
        <v>217951</v>
      </c>
      <c r="E8" s="1275">
        <v>87561</v>
      </c>
    </row>
    <row r="9" spans="1:16" ht="17" x14ac:dyDescent="0.4">
      <c r="A9" s="825">
        <v>2</v>
      </c>
      <c r="B9" s="826" t="s">
        <v>397</v>
      </c>
      <c r="C9" s="827" t="s">
        <v>490</v>
      </c>
      <c r="D9" s="697">
        <f>Environment!D12</f>
        <v>18908</v>
      </c>
      <c r="E9" s="1275">
        <v>13449.23</v>
      </c>
    </row>
    <row r="10" spans="1:16" ht="17" x14ac:dyDescent="0.4">
      <c r="A10" s="825">
        <v>3</v>
      </c>
      <c r="B10" s="826" t="s">
        <v>471</v>
      </c>
      <c r="C10" s="827" t="s">
        <v>490</v>
      </c>
      <c r="D10" s="697">
        <f>Environment!D13</f>
        <v>151442</v>
      </c>
      <c r="E10" s="1275">
        <v>118782</v>
      </c>
    </row>
    <row r="11" spans="1:16" ht="17" x14ac:dyDescent="0.4">
      <c r="A11" s="825">
        <v>4</v>
      </c>
      <c r="B11" s="826" t="s">
        <v>491</v>
      </c>
      <c r="C11" s="827" t="s">
        <v>490</v>
      </c>
      <c r="D11" s="697">
        <f>Environment!D14</f>
        <v>236859</v>
      </c>
      <c r="E11" s="1275">
        <v>101010.16346</v>
      </c>
    </row>
    <row r="12" spans="1:16" ht="17" x14ac:dyDescent="0.4">
      <c r="A12" s="825">
        <v>5</v>
      </c>
      <c r="B12" s="826" t="s">
        <v>475</v>
      </c>
      <c r="C12" s="827" t="s">
        <v>492</v>
      </c>
      <c r="D12" s="698">
        <f>Environment!D16</f>
        <v>2.5003589148105143</v>
      </c>
      <c r="E12" s="1276">
        <v>1.6495225596054608</v>
      </c>
    </row>
    <row r="13" spans="1:16" ht="15" x14ac:dyDescent="0.3">
      <c r="A13" s="825">
        <v>6</v>
      </c>
      <c r="B13" s="826" t="s">
        <v>493</v>
      </c>
      <c r="C13" s="827" t="s">
        <v>494</v>
      </c>
      <c r="D13" s="1219">
        <f>Environment!K16</f>
        <v>-7.3331799556494342E-3</v>
      </c>
      <c r="E13" s="1277">
        <v>-2.5556974418843088E-2</v>
      </c>
    </row>
    <row r="14" spans="1:16" ht="15" x14ac:dyDescent="0.3">
      <c r="A14" s="825">
        <v>7</v>
      </c>
      <c r="B14" s="826" t="s">
        <v>478</v>
      </c>
      <c r="C14" s="827" t="s">
        <v>479</v>
      </c>
      <c r="D14" s="697">
        <f>Environment!D54</f>
        <v>1086212</v>
      </c>
      <c r="E14" s="1275">
        <v>714277.46453999996</v>
      </c>
    </row>
    <row r="15" spans="1:16" ht="15" x14ac:dyDescent="0.3">
      <c r="A15" s="825">
        <v>8</v>
      </c>
      <c r="B15" s="828" t="s">
        <v>495</v>
      </c>
      <c r="C15" s="828" t="s">
        <v>496</v>
      </c>
      <c r="D15" s="697">
        <f>Environment!D74</f>
        <v>810832872</v>
      </c>
      <c r="E15" s="1275">
        <v>513378815.93999994</v>
      </c>
    </row>
    <row r="16" spans="1:16" ht="15" x14ac:dyDescent="0.3">
      <c r="A16" s="825">
        <v>9</v>
      </c>
      <c r="B16" s="828" t="s">
        <v>497</v>
      </c>
      <c r="C16" s="828" t="s">
        <v>496</v>
      </c>
      <c r="D16" s="697">
        <f>Environment!D79</f>
        <v>275378757.50999999</v>
      </c>
      <c r="E16" s="1275">
        <v>200898648.59999999</v>
      </c>
    </row>
    <row r="17" spans="1:5" ht="15" x14ac:dyDescent="0.3">
      <c r="A17" s="825">
        <v>10</v>
      </c>
      <c r="B17" s="826" t="s">
        <v>498</v>
      </c>
      <c r="C17" s="827" t="s">
        <v>494</v>
      </c>
      <c r="D17" s="699">
        <f>Environment!D56</f>
        <v>0.68200000000000005</v>
      </c>
      <c r="E17" s="1278">
        <v>0.64092168555867379</v>
      </c>
    </row>
    <row r="18" spans="1:5" ht="17" x14ac:dyDescent="0.4">
      <c r="A18" s="825">
        <v>11</v>
      </c>
      <c r="B18" s="550" t="s">
        <v>499</v>
      </c>
      <c r="C18" s="828" t="s">
        <v>470</v>
      </c>
      <c r="D18" s="700">
        <f>Environment!D19</f>
        <v>2911366</v>
      </c>
      <c r="E18" s="1279">
        <v>2532703</v>
      </c>
    </row>
    <row r="19" spans="1:5" ht="17" x14ac:dyDescent="0.4">
      <c r="A19" s="825">
        <v>12</v>
      </c>
      <c r="B19" s="826" t="s">
        <v>500</v>
      </c>
      <c r="C19" s="827" t="s">
        <v>490</v>
      </c>
      <c r="D19" s="697">
        <f>Environment!D21</f>
        <v>34025</v>
      </c>
      <c r="E19" s="1275">
        <v>23054</v>
      </c>
    </row>
    <row r="20" spans="1:5" ht="17" x14ac:dyDescent="0.4">
      <c r="A20" s="825">
        <v>13</v>
      </c>
      <c r="B20" s="827" t="s">
        <v>501</v>
      </c>
      <c r="C20" s="827" t="s">
        <v>490</v>
      </c>
      <c r="D20" s="697">
        <f>Environment!D36</f>
        <v>3219886</v>
      </c>
      <c r="E20" s="1275">
        <v>2770444</v>
      </c>
    </row>
    <row r="21" spans="1:5" ht="16.5" x14ac:dyDescent="0.3">
      <c r="A21" s="825">
        <v>14</v>
      </c>
      <c r="B21" s="827" t="s">
        <v>502</v>
      </c>
      <c r="C21" s="827" t="s">
        <v>503</v>
      </c>
      <c r="D21" s="697">
        <f>Environment!D94</f>
        <v>1498195</v>
      </c>
      <c r="E21" s="1275">
        <v>793199</v>
      </c>
    </row>
    <row r="22" spans="1:5" ht="16.5" x14ac:dyDescent="0.3">
      <c r="A22" s="825">
        <v>15</v>
      </c>
      <c r="B22" s="826" t="s">
        <v>504</v>
      </c>
      <c r="C22" s="827" t="s">
        <v>503</v>
      </c>
      <c r="D22" s="697">
        <f>Environment!D96</f>
        <v>57929</v>
      </c>
      <c r="E22" s="1275">
        <v>13622</v>
      </c>
    </row>
    <row r="23" spans="1:5" ht="16.5" x14ac:dyDescent="0.3">
      <c r="A23" s="825">
        <v>16</v>
      </c>
      <c r="B23" s="826" t="s">
        <v>505</v>
      </c>
      <c r="C23" s="826" t="s">
        <v>506</v>
      </c>
      <c r="D23" s="700">
        <f>Environment!D108</f>
        <v>1437.97389</v>
      </c>
      <c r="E23" s="1279">
        <v>777.28529000000003</v>
      </c>
    </row>
    <row r="24" spans="1:5" ht="16.5" x14ac:dyDescent="0.3">
      <c r="A24" s="825">
        <v>17</v>
      </c>
      <c r="B24" s="550" t="s">
        <v>507</v>
      </c>
      <c r="C24" s="826" t="s">
        <v>506</v>
      </c>
      <c r="D24" s="701">
        <f>Environment!D109</f>
        <v>326</v>
      </c>
      <c r="E24" s="1280">
        <v>258.25279999999998</v>
      </c>
    </row>
    <row r="25" spans="1:5" ht="15" x14ac:dyDescent="0.3">
      <c r="A25" s="825">
        <v>18</v>
      </c>
      <c r="B25" s="827" t="s">
        <v>508</v>
      </c>
      <c r="C25" s="827" t="s">
        <v>509</v>
      </c>
      <c r="D25" s="701">
        <f>Environment!D103</f>
        <v>248.59800000000001</v>
      </c>
      <c r="E25" s="1280">
        <v>34.445</v>
      </c>
    </row>
    <row r="26" spans="1:5" ht="15" x14ac:dyDescent="0.3">
      <c r="A26" s="825">
        <v>19</v>
      </c>
      <c r="B26" s="550" t="s">
        <v>510</v>
      </c>
      <c r="C26" s="550" t="s">
        <v>494</v>
      </c>
      <c r="D26" s="1218">
        <f>Environment!D105</f>
        <v>0.5</v>
      </c>
      <c r="E26" s="1281">
        <v>0.45700000000000002</v>
      </c>
    </row>
    <row r="27" spans="1:5" ht="15" x14ac:dyDescent="0.3">
      <c r="A27" s="825">
        <v>20</v>
      </c>
      <c r="B27" s="828" t="s">
        <v>511</v>
      </c>
      <c r="C27" s="828" t="s">
        <v>512</v>
      </c>
      <c r="D27" s="700">
        <f>Environment!D127+Environment!D128</f>
        <v>35824.69</v>
      </c>
      <c r="E27" s="1279">
        <v>30536</v>
      </c>
    </row>
    <row r="28" spans="1:5" ht="15" x14ac:dyDescent="0.3">
      <c r="A28" s="825">
        <v>21</v>
      </c>
      <c r="B28" s="550" t="s">
        <v>513</v>
      </c>
      <c r="C28" s="550" t="s">
        <v>512</v>
      </c>
      <c r="D28" s="700">
        <f>Environment!D131</f>
        <v>3495.67</v>
      </c>
      <c r="E28" s="1279">
        <v>1707.0700000000002</v>
      </c>
    </row>
    <row r="29" spans="1:5" ht="15" x14ac:dyDescent="0.3">
      <c r="A29" s="825">
        <v>22</v>
      </c>
      <c r="B29" s="550" t="s">
        <v>514</v>
      </c>
      <c r="C29" s="550" t="s">
        <v>512</v>
      </c>
      <c r="D29" s="700">
        <f>Environment!D129</f>
        <v>1303.75</v>
      </c>
      <c r="E29" s="1279">
        <v>1048.03</v>
      </c>
    </row>
    <row r="30" spans="1:5" ht="15" x14ac:dyDescent="0.3">
      <c r="A30" s="825">
        <v>23</v>
      </c>
      <c r="B30" s="550" t="s">
        <v>515</v>
      </c>
      <c r="C30" s="550" t="s">
        <v>512</v>
      </c>
      <c r="D30" s="700">
        <f>Environment!D130</f>
        <v>19695.72</v>
      </c>
      <c r="E30" s="1279">
        <v>19637.559999999998</v>
      </c>
    </row>
    <row r="31" spans="1:5" ht="15" x14ac:dyDescent="0.3">
      <c r="A31" s="825">
        <v>24</v>
      </c>
      <c r="B31" s="828" t="s">
        <v>516</v>
      </c>
      <c r="C31" s="828" t="s">
        <v>512</v>
      </c>
      <c r="D31" s="700">
        <f>Environment!D124</f>
        <v>60319.83</v>
      </c>
      <c r="E31" s="1279">
        <v>52928.659999999996</v>
      </c>
    </row>
    <row r="32" spans="1:5" ht="15" x14ac:dyDescent="0.3">
      <c r="A32" s="825">
        <v>25</v>
      </c>
      <c r="B32" s="550" t="s">
        <v>517</v>
      </c>
      <c r="C32" s="828" t="s">
        <v>512</v>
      </c>
      <c r="D32" s="700">
        <f>Environment!D147+Environment!D149</f>
        <v>24041.05</v>
      </c>
      <c r="E32" s="1279">
        <v>20476.84</v>
      </c>
    </row>
    <row r="33" spans="1:16" ht="15" x14ac:dyDescent="0.3">
      <c r="A33" s="825">
        <v>26</v>
      </c>
      <c r="B33" s="828" t="s">
        <v>518</v>
      </c>
      <c r="C33" s="828" t="s">
        <v>512</v>
      </c>
      <c r="D33" s="700">
        <f>Environment!D141</f>
        <v>588.23</v>
      </c>
      <c r="E33" s="1279">
        <v>186.67000000000002</v>
      </c>
    </row>
    <row r="34" spans="1:16" ht="15" x14ac:dyDescent="0.3">
      <c r="A34" s="825">
        <v>27</v>
      </c>
      <c r="B34" s="828" t="s">
        <v>519</v>
      </c>
      <c r="C34" s="828" t="s">
        <v>512</v>
      </c>
      <c r="D34" s="700">
        <f>Environment!D139</f>
        <v>257.42</v>
      </c>
      <c r="E34" s="1279">
        <v>154.60999999999999</v>
      </c>
    </row>
    <row r="35" spans="1:16" ht="15" x14ac:dyDescent="0.3">
      <c r="A35" s="825">
        <v>28</v>
      </c>
      <c r="B35" s="828" t="s">
        <v>520</v>
      </c>
      <c r="C35" s="828" t="s">
        <v>512</v>
      </c>
      <c r="D35" s="700">
        <f>Environment!D140</f>
        <v>15670.74</v>
      </c>
      <c r="E35" s="1279">
        <v>15619.59</v>
      </c>
    </row>
    <row r="36" spans="1:16" ht="15" x14ac:dyDescent="0.3">
      <c r="A36" s="825">
        <v>29</v>
      </c>
      <c r="B36" s="550" t="s">
        <v>521</v>
      </c>
      <c r="C36" s="550" t="s">
        <v>512</v>
      </c>
      <c r="D36" s="700">
        <f>Environment!D120</f>
        <v>40557.440000000002</v>
      </c>
      <c r="E36" s="1279">
        <v>36437.71</v>
      </c>
    </row>
    <row r="37" spans="1:16" ht="15" x14ac:dyDescent="0.3">
      <c r="A37" s="825">
        <v>30</v>
      </c>
      <c r="B37" s="550" t="s">
        <v>522</v>
      </c>
      <c r="C37" s="550" t="s">
        <v>512</v>
      </c>
      <c r="D37" s="700">
        <f>Environment!D157</f>
        <v>3515.67</v>
      </c>
      <c r="E37" s="1279">
        <v>2430.4900000000016</v>
      </c>
    </row>
    <row r="38" spans="1:16" ht="15" x14ac:dyDescent="0.3">
      <c r="A38" s="825">
        <v>31</v>
      </c>
      <c r="B38" s="550" t="s">
        <v>523</v>
      </c>
      <c r="C38" s="550" t="s">
        <v>512</v>
      </c>
      <c r="D38" s="700">
        <f>Environment!D158</f>
        <v>16448.560000000001</v>
      </c>
      <c r="E38" s="1279">
        <v>13162.470000000001</v>
      </c>
    </row>
    <row r="39" spans="1:16" ht="15" x14ac:dyDescent="0.3">
      <c r="A39" s="825">
        <v>32</v>
      </c>
      <c r="B39" s="550" t="s">
        <v>524</v>
      </c>
      <c r="C39" s="550" t="s">
        <v>512</v>
      </c>
      <c r="D39" s="700">
        <f>Environment!D155+Environment!D156</f>
        <v>12932.890000000001</v>
      </c>
      <c r="E39" s="1279">
        <v>10731.98</v>
      </c>
    </row>
    <row r="40" spans="1:16" s="830" customFormat="1" ht="15" hidden="1" x14ac:dyDescent="0.3">
      <c r="A40" s="825">
        <v>33</v>
      </c>
      <c r="B40" s="829" t="s">
        <v>525</v>
      </c>
      <c r="C40" s="829"/>
      <c r="D40" s="1190"/>
      <c r="E40" s="1282"/>
      <c r="F40" s="3"/>
      <c r="G40" s="3"/>
      <c r="H40" s="3"/>
      <c r="I40" s="3"/>
      <c r="J40" s="3"/>
      <c r="M40" s="3"/>
      <c r="N40" s="3"/>
      <c r="O40" s="3"/>
      <c r="P40" s="3"/>
    </row>
    <row r="41" spans="1:16" ht="15" x14ac:dyDescent="0.3">
      <c r="A41" s="825">
        <v>33</v>
      </c>
      <c r="B41" s="550" t="s">
        <v>526</v>
      </c>
      <c r="C41" s="550" t="s">
        <v>512</v>
      </c>
      <c r="D41" s="701">
        <f>Environment!D161</f>
        <v>246</v>
      </c>
      <c r="E41" s="1283">
        <v>153</v>
      </c>
    </row>
    <row r="42" spans="1:16" ht="15" x14ac:dyDescent="0.3">
      <c r="A42" s="825">
        <v>34</v>
      </c>
      <c r="B42" s="550" t="s">
        <v>527</v>
      </c>
      <c r="C42" s="550" t="s">
        <v>512</v>
      </c>
      <c r="D42" s="701">
        <f>Environment!D162</f>
        <v>34.299999999999997</v>
      </c>
      <c r="E42" s="1283">
        <v>34</v>
      </c>
    </row>
    <row r="43" spans="1:16" ht="15" x14ac:dyDescent="0.3">
      <c r="A43" s="825">
        <v>35</v>
      </c>
      <c r="B43" s="550" t="s">
        <v>528</v>
      </c>
      <c r="C43" s="550" t="s">
        <v>512</v>
      </c>
      <c r="D43" s="701">
        <f>Environment!D163</f>
        <v>19.8</v>
      </c>
      <c r="E43" s="1283">
        <v>12.01</v>
      </c>
    </row>
    <row r="44" spans="1:16" ht="15" x14ac:dyDescent="0.3">
      <c r="A44" s="825">
        <v>36</v>
      </c>
      <c r="B44" s="550" t="s">
        <v>529</v>
      </c>
      <c r="C44" s="550" t="s">
        <v>494</v>
      </c>
      <c r="D44" s="699">
        <f>Environment!D164</f>
        <v>0.79549999999999998</v>
      </c>
      <c r="E44" s="1278">
        <v>0.77100000000000002</v>
      </c>
    </row>
    <row r="45" spans="1:16" ht="15" x14ac:dyDescent="0.3">
      <c r="A45" s="825">
        <v>37</v>
      </c>
      <c r="B45" s="550" t="s">
        <v>530</v>
      </c>
      <c r="C45" s="550" t="s">
        <v>494</v>
      </c>
      <c r="D45" s="702">
        <f>Environment!D165</f>
        <v>0.68179999999999996</v>
      </c>
      <c r="E45" s="1284">
        <v>0.65700000000000003</v>
      </c>
    </row>
    <row r="46" spans="1:16" ht="15" x14ac:dyDescent="0.3">
      <c r="A46" s="825">
        <v>38</v>
      </c>
      <c r="B46" s="550" t="s">
        <v>531</v>
      </c>
      <c r="C46" s="550" t="s">
        <v>494</v>
      </c>
      <c r="D46" s="702">
        <f>Environment!D166</f>
        <v>0.72729999999999995</v>
      </c>
      <c r="E46" s="1284">
        <v>0.71399999999999997</v>
      </c>
    </row>
    <row r="47" spans="1:16" ht="17" x14ac:dyDescent="0.4">
      <c r="A47" s="825">
        <v>39</v>
      </c>
      <c r="B47" s="550" t="s">
        <v>532</v>
      </c>
      <c r="C47" s="827" t="s">
        <v>490</v>
      </c>
      <c r="D47" s="700">
        <f>Environment!D48</f>
        <v>2274247.68074159</v>
      </c>
      <c r="E47" s="1279">
        <v>2274247.6807415877</v>
      </c>
    </row>
    <row r="48" spans="1:16" ht="15" x14ac:dyDescent="0.3">
      <c r="A48" s="825">
        <v>40</v>
      </c>
      <c r="B48" s="550" t="s">
        <v>533</v>
      </c>
      <c r="C48" s="550" t="s">
        <v>494</v>
      </c>
      <c r="D48" s="702">
        <v>0.73409999999999997</v>
      </c>
      <c r="E48" s="1278">
        <v>0.73409999999999997</v>
      </c>
    </row>
    <row r="49" spans="1:5" ht="15" x14ac:dyDescent="0.3">
      <c r="A49" s="825">
        <v>41</v>
      </c>
      <c r="B49" s="828" t="s">
        <v>534</v>
      </c>
      <c r="C49" s="828" t="s">
        <v>535</v>
      </c>
      <c r="D49" s="703">
        <f>'Health and Safety'!D12</f>
        <v>1.1324575220548496</v>
      </c>
      <c r="E49" s="1801" t="s">
        <v>536</v>
      </c>
    </row>
    <row r="50" spans="1:5" ht="15" x14ac:dyDescent="0.3">
      <c r="A50" s="825">
        <v>42</v>
      </c>
      <c r="B50" s="828" t="s">
        <v>537</v>
      </c>
      <c r="C50" s="828" t="s">
        <v>535</v>
      </c>
      <c r="D50" s="703">
        <f>'Health and Safety'!E12</f>
        <v>0.9563475815829755</v>
      </c>
      <c r="E50" s="1802"/>
    </row>
    <row r="51" spans="1:5" ht="15" x14ac:dyDescent="0.3">
      <c r="A51" s="825">
        <v>43</v>
      </c>
      <c r="B51" s="827" t="s">
        <v>538</v>
      </c>
      <c r="C51" s="827" t="s">
        <v>535</v>
      </c>
      <c r="D51" s="703">
        <f>'Health and Safety'!D14</f>
        <v>0.11324575220548497</v>
      </c>
      <c r="E51" s="1802"/>
    </row>
    <row r="52" spans="1:5" ht="15" x14ac:dyDescent="0.3">
      <c r="A52" s="825">
        <v>44</v>
      </c>
      <c r="B52" s="827" t="s">
        <v>539</v>
      </c>
      <c r="C52" s="827" t="s">
        <v>540</v>
      </c>
      <c r="D52" s="703">
        <f>'Health and Safety'!D31</f>
        <v>9.1561314238490454E-2</v>
      </c>
      <c r="E52" s="1802"/>
    </row>
    <row r="53" spans="1:5" ht="15" x14ac:dyDescent="0.3">
      <c r="A53" s="825">
        <v>45</v>
      </c>
      <c r="B53" s="827" t="s">
        <v>541</v>
      </c>
      <c r="C53" s="827" t="s">
        <v>542</v>
      </c>
      <c r="D53" s="703">
        <f>'Health and Safety'!D25</f>
        <v>0.46696270261630135</v>
      </c>
      <c r="E53" s="1802"/>
    </row>
    <row r="54" spans="1:5" ht="15" x14ac:dyDescent="0.3">
      <c r="A54" s="825">
        <v>46</v>
      </c>
      <c r="B54" s="550" t="s">
        <v>543</v>
      </c>
      <c r="C54" s="550" t="s">
        <v>544</v>
      </c>
      <c r="D54" s="703">
        <f>'Health and Safety'!D29</f>
        <v>0.63</v>
      </c>
      <c r="E54" s="1802"/>
    </row>
    <row r="55" spans="1:5" ht="15" x14ac:dyDescent="0.3">
      <c r="A55" s="825">
        <v>47</v>
      </c>
      <c r="B55" s="550" t="s">
        <v>545</v>
      </c>
      <c r="C55" s="550" t="s">
        <v>494</v>
      </c>
      <c r="D55" s="699">
        <f>People!G44</f>
        <v>0.31609195402298851</v>
      </c>
      <c r="E55" s="1803"/>
    </row>
    <row r="56" spans="1:5" x14ac:dyDescent="0.3">
      <c r="A56" s="825"/>
      <c r="E56" s="821"/>
    </row>
  </sheetData>
  <sheetProtection algorithmName="SHA-512" hashValue="mPrDxCU9Jgc1OkMGeCnfJeWEz7oGUiZonO1HwPf0TzN+wd57LNHSGfPW75X1tsAN81Zk46F4evCUiWDUT/pI5g==" saltValue="+GvI5ru4K97eiGMsTioQIw==" spinCount="100000" sheet="1" objects="1" scenarios="1"/>
  <mergeCells count="4">
    <mergeCell ref="B2:D2"/>
    <mergeCell ref="B5:D5"/>
    <mergeCell ref="B4:E4"/>
    <mergeCell ref="E49:E55"/>
  </mergeCells>
  <hyperlinks>
    <hyperlink ref="B5:D5" location="'Basis of Reporting'!A1" display="Please see ERM CVS' full assurance report on page 196-198 of our ARA 2025 and on Basis of Reporting tab for more details." xr:uid="{5DCF6305-6AED-4E13-9DAA-E67B06F640D3}"/>
  </hyperlinks>
  <pageMargins left="0.23622047244094491" right="0.23622047244094491" top="0.74803149606299213" bottom="0.74803149606299213" header="0.31496062992125984" footer="0.31496062992125984"/>
  <pageSetup paperSize="9" scale="5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D05C-C679-4A3F-89E1-EEFD83B59210}">
  <sheetPr codeName="Sheet16">
    <tabColor theme="5"/>
    <pageSetUpPr fitToPage="1"/>
  </sheetPr>
  <dimension ref="B2:AC42"/>
  <sheetViews>
    <sheetView zoomScale="90" zoomScaleNormal="90" workbookViewId="0"/>
  </sheetViews>
  <sheetFormatPr defaultColWidth="8.54296875" defaultRowHeight="13.5" x14ac:dyDescent="0.3"/>
  <cols>
    <col min="1" max="1" width="2.7265625" style="3" customWidth="1"/>
    <col min="2" max="2" width="36.54296875" style="3" bestFit="1" customWidth="1"/>
    <col min="3" max="3" width="19.7265625" style="3" bestFit="1" customWidth="1"/>
    <col min="4" max="4" width="55.54296875" style="3" customWidth="1"/>
    <col min="5" max="20" width="22.81640625" style="3" customWidth="1"/>
    <col min="21" max="21" width="14.453125" style="3" customWidth="1"/>
    <col min="22" max="22" width="9.453125" style="3" customWidth="1"/>
    <col min="23" max="16384" width="8.54296875" style="3"/>
  </cols>
  <sheetData>
    <row r="2" spans="2:29" ht="43.4" customHeight="1" x14ac:dyDescent="0.3">
      <c r="B2" s="1048" t="s">
        <v>554</v>
      </c>
      <c r="C2" s="479"/>
      <c r="D2" s="479"/>
      <c r="E2" s="479"/>
      <c r="G2" s="479"/>
      <c r="H2" s="479"/>
      <c r="I2" s="479"/>
      <c r="J2" s="479"/>
      <c r="K2" s="479"/>
      <c r="L2" s="479"/>
      <c r="M2" s="479"/>
      <c r="N2" s="479"/>
      <c r="O2" s="479"/>
      <c r="P2" s="479"/>
      <c r="Q2" s="479"/>
      <c r="R2" s="479"/>
      <c r="S2" s="479"/>
      <c r="T2" s="479"/>
      <c r="U2" s="479"/>
      <c r="V2" s="479"/>
      <c r="W2" s="479"/>
      <c r="X2" s="479"/>
      <c r="Y2" s="479"/>
      <c r="Z2" s="479"/>
    </row>
    <row r="3" spans="2:29" x14ac:dyDescent="0.3">
      <c r="B3" s="1450" t="s">
        <v>854</v>
      </c>
    </row>
    <row r="4" spans="2:29" x14ac:dyDescent="0.3">
      <c r="B4" s="1450" t="s">
        <v>1542</v>
      </c>
    </row>
    <row r="5" spans="2:29" ht="27" x14ac:dyDescent="0.5">
      <c r="B5" s="1072"/>
      <c r="I5" s="1805" t="s">
        <v>459</v>
      </c>
      <c r="J5" s="1806"/>
      <c r="K5" s="1807"/>
      <c r="L5" s="1808" t="s">
        <v>460</v>
      </c>
      <c r="M5" s="1809"/>
      <c r="N5" s="1809"/>
      <c r="O5" s="1810" t="s">
        <v>461</v>
      </c>
      <c r="P5" s="1811"/>
      <c r="Q5" s="1811"/>
      <c r="R5" s="1810" t="s">
        <v>462</v>
      </c>
      <c r="S5" s="1811"/>
      <c r="T5" s="1811"/>
    </row>
    <row r="6" spans="2:29" ht="54" x14ac:dyDescent="0.3">
      <c r="B6" s="563" t="s">
        <v>555</v>
      </c>
      <c r="C6" s="563" t="s">
        <v>556</v>
      </c>
      <c r="D6" s="563" t="s">
        <v>557</v>
      </c>
      <c r="E6" s="1008" t="s">
        <v>1544</v>
      </c>
      <c r="F6" s="564" t="s">
        <v>1543</v>
      </c>
      <c r="G6" s="564" t="s">
        <v>558</v>
      </c>
      <c r="H6" s="564" t="s">
        <v>559</v>
      </c>
      <c r="I6" s="1411" t="s">
        <v>1539</v>
      </c>
      <c r="J6" s="1411" t="s">
        <v>1540</v>
      </c>
      <c r="K6" s="1411" t="s">
        <v>1541</v>
      </c>
      <c r="L6" s="1411" t="s">
        <v>1539</v>
      </c>
      <c r="M6" s="1411" t="s">
        <v>1540</v>
      </c>
      <c r="N6" s="1411" t="s">
        <v>1541</v>
      </c>
      <c r="O6" s="564" t="s">
        <v>1539</v>
      </c>
      <c r="P6" s="564" t="s">
        <v>1540</v>
      </c>
      <c r="Q6" s="564" t="s">
        <v>1541</v>
      </c>
      <c r="R6" s="1411" t="s">
        <v>1539</v>
      </c>
      <c r="S6" s="1411" t="s">
        <v>1540</v>
      </c>
      <c r="T6" s="1411" t="s">
        <v>1541</v>
      </c>
    </row>
    <row r="7" spans="2:29" s="1037" customFormat="1" ht="34.4" customHeight="1" x14ac:dyDescent="0.3">
      <c r="B7" s="1394" t="s">
        <v>561</v>
      </c>
      <c r="C7" s="1395" t="s">
        <v>560</v>
      </c>
      <c r="D7" s="1396" t="s">
        <v>562</v>
      </c>
      <c r="E7" s="1397" t="s">
        <v>465</v>
      </c>
      <c r="F7" s="1398">
        <f>249465*0+404040</f>
        <v>404040</v>
      </c>
      <c r="G7" s="634">
        <f>F7*(1-0.65)</f>
        <v>141414</v>
      </c>
      <c r="H7" s="1401">
        <f>($F7-G7)/$F7</f>
        <v>0.65</v>
      </c>
      <c r="I7" s="1412">
        <f>Environment!D14</f>
        <v>236859</v>
      </c>
      <c r="J7" s="1413">
        <f>(($F7-I7)/$F7)/H7</f>
        <v>0.63657444426675192</v>
      </c>
      <c r="K7" s="1413">
        <f>($F7-I7)/$F7</f>
        <v>0.41377338877338876</v>
      </c>
      <c r="L7" s="1073">
        <f>Environment!E14</f>
        <v>246533</v>
      </c>
      <c r="M7" s="1402">
        <f>(($F7-L7)/$F7)/H7</f>
        <v>0.59973879204648439</v>
      </c>
      <c r="N7" s="1403">
        <f>($F7-L7)/$F7</f>
        <v>0.38983021483021485</v>
      </c>
      <c r="O7" s="1073">
        <f>Environment!F14</f>
        <v>281912</v>
      </c>
      <c r="P7" s="1404">
        <f>(($F7-O7)/$F7)/H7</f>
        <v>0.46502631118015736</v>
      </c>
      <c r="Q7" s="1404">
        <f>($F7-O7)/$F7</f>
        <v>0.30226710226710229</v>
      </c>
      <c r="R7" s="1073">
        <f>Environment!G14</f>
        <v>343934</v>
      </c>
      <c r="S7" s="1404">
        <f t="shared" ref="S7" si="0">(($F7-R7)/$F7)/H7</f>
        <v>0.22886538271153653</v>
      </c>
      <c r="T7" s="1404">
        <f>($F7-R7)/$F7</f>
        <v>0.14876249876249875</v>
      </c>
      <c r="U7" s="1057"/>
      <c r="X7" s="1038"/>
      <c r="Y7" s="1038"/>
      <c r="AA7" s="1038"/>
      <c r="AB7" s="1038"/>
      <c r="AC7" s="1038"/>
    </row>
    <row r="8" spans="2:29" ht="35.15" customHeight="1" x14ac:dyDescent="0.3">
      <c r="B8" s="1394" t="s">
        <v>563</v>
      </c>
      <c r="C8" s="1395" t="s">
        <v>560</v>
      </c>
      <c r="D8" s="1396" t="s">
        <v>564</v>
      </c>
      <c r="E8" s="1397" t="s">
        <v>465</v>
      </c>
      <c r="F8" s="1398">
        <f>Environment!J19</f>
        <v>3384263</v>
      </c>
      <c r="G8" s="634">
        <f>F8*(1-0.42)</f>
        <v>1962872.5400000003</v>
      </c>
      <c r="H8" s="635">
        <f>($F8-G8)/$F8</f>
        <v>0.41999999999999993</v>
      </c>
      <c r="I8" s="1414">
        <f>Environment!D19</f>
        <v>2911366</v>
      </c>
      <c r="J8" s="1413">
        <f>(($F8-I8)/$F8)/H8</f>
        <v>0.33270027716381328</v>
      </c>
      <c r="K8" s="1413">
        <f t="shared" ref="K8:K11" si="1">($F8-I8)/$F8</f>
        <v>0.13973411640880157</v>
      </c>
      <c r="L8" s="1073">
        <f>Environment!E19</f>
        <v>3098366</v>
      </c>
      <c r="M8" s="1404">
        <f>(($F8-L8)/$F8)/H8</f>
        <v>0.20113896078914167</v>
      </c>
      <c r="N8" s="1404">
        <f>($F8-L8)/$F8</f>
        <v>8.447836353143949E-2</v>
      </c>
      <c r="O8" s="1073">
        <f>Environment!F19</f>
        <v>3283140</v>
      </c>
      <c r="P8" s="1404">
        <f>(($F8-O8)/$F8)/H8</f>
        <v>7.1143716554844486E-2</v>
      </c>
      <c r="Q8" s="1404">
        <f>($F8-O8)/$F8</f>
        <v>2.9880360953034677E-2</v>
      </c>
      <c r="R8" s="1073">
        <f>Environment!G19</f>
        <v>3119939</v>
      </c>
      <c r="S8" s="1404">
        <f>(($F8-R8)/$F8)/H8</f>
        <v>0.18596156892737273</v>
      </c>
      <c r="T8" s="1404">
        <f>($F8-R8)/$F8</f>
        <v>7.8103858949496535E-2</v>
      </c>
      <c r="X8" s="482"/>
      <c r="Y8" s="482"/>
      <c r="AA8" s="482"/>
      <c r="AB8" s="482"/>
      <c r="AC8" s="482"/>
    </row>
    <row r="9" spans="2:29" ht="35.15" customHeight="1" x14ac:dyDescent="0.3">
      <c r="B9" s="1394" t="s">
        <v>565</v>
      </c>
      <c r="C9" s="1395" t="s">
        <v>494</v>
      </c>
      <c r="D9" s="1396" t="s">
        <v>566</v>
      </c>
      <c r="E9" s="1397" t="s">
        <v>463</v>
      </c>
      <c r="F9" s="1399">
        <v>0.7</v>
      </c>
      <c r="G9" s="636">
        <v>0.75</v>
      </c>
      <c r="H9" s="647"/>
      <c r="I9" s="1415">
        <v>0.73409999999999997</v>
      </c>
      <c r="J9" s="647"/>
      <c r="K9" s="647"/>
      <c r="L9" s="1405">
        <v>0.75929999999999997</v>
      </c>
      <c r="M9" s="1406"/>
      <c r="N9" s="1406"/>
      <c r="O9" s="1405">
        <v>0.6875</v>
      </c>
      <c r="P9" s="1406"/>
      <c r="Q9" s="1406"/>
      <c r="R9" s="1405">
        <v>0.69199999999999995</v>
      </c>
      <c r="S9" s="1406"/>
      <c r="T9" s="1406"/>
      <c r="X9" s="482"/>
      <c r="Y9" s="482"/>
      <c r="AA9" s="482"/>
      <c r="AB9" s="482"/>
      <c r="AC9" s="482"/>
    </row>
    <row r="10" spans="2:29" ht="35.15" customHeight="1" x14ac:dyDescent="0.3">
      <c r="B10" s="1400" t="s">
        <v>568</v>
      </c>
      <c r="C10" s="1273" t="s">
        <v>569</v>
      </c>
      <c r="D10" s="1396" t="s">
        <v>570</v>
      </c>
      <c r="E10" s="1397" t="s">
        <v>465</v>
      </c>
      <c r="F10" s="1398">
        <f>Environment!J108</f>
        <v>1831.3620000000001</v>
      </c>
      <c r="G10" s="634">
        <f>F10*(1-0.25)</f>
        <v>1373.5215000000001</v>
      </c>
      <c r="H10" s="635">
        <f t="shared" ref="H10:H12" si="2">($F10-G10)/$F10</f>
        <v>0.25</v>
      </c>
      <c r="I10" s="1414">
        <f>Environment!D108</f>
        <v>1437.97389</v>
      </c>
      <c r="J10" s="1413">
        <f t="shared" ref="J10:J12" si="3">(($F10-I10)/$F10)/H10</f>
        <v>0.85922523236804105</v>
      </c>
      <c r="K10" s="1413">
        <f>($F10-I10)/$F10</f>
        <v>0.21480630809201026</v>
      </c>
      <c r="L10" s="1073">
        <f>Environment!E108</f>
        <v>1491.569</v>
      </c>
      <c r="M10" s="1404">
        <f t="shared" ref="M10:M12" si="4">(($F10-L10)/$F10)/H10</f>
        <v>0.74216457478095565</v>
      </c>
      <c r="N10" s="1404">
        <f>($F10-L10)/$F10</f>
        <v>0.18554114369523891</v>
      </c>
      <c r="O10" s="1073">
        <f>Environment!F108</f>
        <v>1646</v>
      </c>
      <c r="P10" s="1404">
        <f>(($F10-O10)/$F10)/H10</f>
        <v>0.40486151836720446</v>
      </c>
      <c r="Q10" s="1404">
        <f>($F10-O10)/$F10</f>
        <v>0.10121537959180112</v>
      </c>
      <c r="R10" s="1073">
        <f>Environment!G108</f>
        <v>1757</v>
      </c>
      <c r="S10" s="1404">
        <f t="shared" ref="S10:S12" si="5">(($F10-R10)/$F10)/H10</f>
        <v>0.16241900836645093</v>
      </c>
      <c r="T10" s="1404">
        <f>($F10-R10)/$F10</f>
        <v>4.0604752091612732E-2</v>
      </c>
      <c r="X10" s="482"/>
      <c r="Y10" s="482"/>
      <c r="AA10" s="482"/>
      <c r="AB10" s="482"/>
      <c r="AC10" s="482"/>
    </row>
    <row r="11" spans="2:29" ht="35.15" customHeight="1" x14ac:dyDescent="0.3">
      <c r="B11" s="551" t="s">
        <v>571</v>
      </c>
      <c r="C11" s="552" t="s">
        <v>572</v>
      </c>
      <c r="D11" s="554" t="s">
        <v>573</v>
      </c>
      <c r="E11" s="553" t="s">
        <v>465</v>
      </c>
      <c r="F11" s="622">
        <f>'Health and Safety'!J25</f>
        <v>0.79</v>
      </c>
      <c r="G11" s="637">
        <v>0.25</v>
      </c>
      <c r="H11" s="635">
        <f t="shared" si="2"/>
        <v>0.68354430379746833</v>
      </c>
      <c r="I11" s="1416">
        <f>'Health and Safety'!D25</f>
        <v>0.46696270261630135</v>
      </c>
      <c r="J11" s="1413">
        <f>(($F11-I11)/$F11)/H11</f>
        <v>0.59821721737721978</v>
      </c>
      <c r="K11" s="1413">
        <f t="shared" si="1"/>
        <v>0.40890797137177048</v>
      </c>
      <c r="L11" s="1407">
        <f>'Health and Safety'!E25</f>
        <v>0.35717850817456592</v>
      </c>
      <c r="M11" s="1404">
        <f t="shared" si="4"/>
        <v>0.80152128115821131</v>
      </c>
      <c r="N11" s="1404">
        <f t="shared" ref="N11" si="6">($F11-L11)/$F11</f>
        <v>0.54787530610814439</v>
      </c>
      <c r="O11" s="1408">
        <f>'Health and Safety'!F25</f>
        <v>0.36</v>
      </c>
      <c r="P11" s="1404">
        <f t="shared" ref="P11:P12" si="7">(($F11-O11)/$F11)/H11</f>
        <v>0.79629629629629639</v>
      </c>
      <c r="Q11" s="1404">
        <f>($F11-O11)/$F11</f>
        <v>0.54430379746835444</v>
      </c>
      <c r="R11" s="1409">
        <f>'Health and Safety'!G25</f>
        <v>0.47</v>
      </c>
      <c r="S11" s="1404">
        <f t="shared" si="5"/>
        <v>0.59259259259259267</v>
      </c>
      <c r="T11" s="1404">
        <f>($F11-R11)/$F11</f>
        <v>0.40506329113924056</v>
      </c>
      <c r="X11" s="482"/>
      <c r="Y11" s="482"/>
    </row>
    <row r="12" spans="2:29" ht="35.15" customHeight="1" x14ac:dyDescent="0.3">
      <c r="B12" s="551" t="s">
        <v>543</v>
      </c>
      <c r="C12" s="552" t="s">
        <v>544</v>
      </c>
      <c r="D12" s="554" t="s">
        <v>574</v>
      </c>
      <c r="E12" s="553" t="s">
        <v>465</v>
      </c>
      <c r="F12" s="622">
        <f>'Health and Safety'!J29</f>
        <v>1.1819999999999999</v>
      </c>
      <c r="G12" s="638">
        <v>0.4</v>
      </c>
      <c r="H12" s="635">
        <f t="shared" si="2"/>
        <v>0.66159052453468692</v>
      </c>
      <c r="I12" s="1416">
        <f>'Health and Safety'!D29</f>
        <v>0.63</v>
      </c>
      <c r="J12" s="1413">
        <f t="shared" si="3"/>
        <v>0.70588235294117641</v>
      </c>
      <c r="K12" s="1413">
        <f>($F12-I12)/$F12</f>
        <v>0.46700507614213194</v>
      </c>
      <c r="L12" s="1407">
        <f>'Health and Safety'!E29</f>
        <v>0.82599999999999996</v>
      </c>
      <c r="M12" s="1404">
        <f t="shared" si="4"/>
        <v>0.45524296675191817</v>
      </c>
      <c r="N12" s="1404">
        <f>($F12-L12)/$F12</f>
        <v>0.30118443316412857</v>
      </c>
      <c r="O12" s="1408">
        <f>'Health and Safety'!F29</f>
        <v>0.88</v>
      </c>
      <c r="P12" s="1404">
        <f t="shared" si="7"/>
        <v>0.38618925831202044</v>
      </c>
      <c r="Q12" s="1404">
        <f>($F12-O12)/$F12</f>
        <v>0.25549915397631129</v>
      </c>
      <c r="R12" s="1408">
        <f>'Health and Safety'!G29</f>
        <v>1.0149999999999999</v>
      </c>
      <c r="S12" s="1404">
        <f t="shared" si="5"/>
        <v>0.21355498721227628</v>
      </c>
      <c r="T12" s="1404">
        <f>($F12-R12)/$F12</f>
        <v>0.14128595600676822</v>
      </c>
      <c r="X12" s="482"/>
      <c r="Y12" s="482"/>
    </row>
    <row r="13" spans="2:29" ht="35.15" customHeight="1" x14ac:dyDescent="0.3">
      <c r="B13" s="551" t="s">
        <v>575</v>
      </c>
      <c r="C13" s="552" t="s">
        <v>1547</v>
      </c>
      <c r="D13" s="554" t="s">
        <v>576</v>
      </c>
      <c r="E13" s="642" t="s">
        <v>719</v>
      </c>
      <c r="F13" s="621">
        <v>6.9</v>
      </c>
      <c r="G13" s="652">
        <v>8</v>
      </c>
      <c r="H13" s="635">
        <f>(G13-$F13)/$F13</f>
        <v>0.15942028985507239</v>
      </c>
      <c r="I13" s="1417">
        <v>7.5</v>
      </c>
      <c r="J13" s="1413">
        <f>((I13-$F13)/$F13)/H13</f>
        <v>0.5454545454545453</v>
      </c>
      <c r="K13" s="1413">
        <f>(I13-$F13)/$F13</f>
        <v>8.6956521739130377E-2</v>
      </c>
      <c r="L13" s="1409">
        <v>7.2</v>
      </c>
      <c r="M13" s="1404">
        <f>((L13-$F$13)/$F$13)/$H$13</f>
        <v>0.27272727272727265</v>
      </c>
      <c r="N13" s="1404">
        <f>(L13-$F13)/$F13</f>
        <v>4.3478260869565188E-2</v>
      </c>
      <c r="O13" s="1409">
        <v>7.2</v>
      </c>
      <c r="P13" s="1404">
        <f>((O13-$F$13)/$F$13)/$H$13</f>
        <v>0.27272727272727265</v>
      </c>
      <c r="Q13" s="1404">
        <f>(O13-$F13)/$F13</f>
        <v>4.3478260869565188E-2</v>
      </c>
      <c r="R13" s="1409">
        <v>6.9</v>
      </c>
      <c r="S13" s="1404">
        <f>((R13-$F13)/$F13)/H13</f>
        <v>0</v>
      </c>
      <c r="T13" s="1404">
        <f>(R13-$F13)/$F13</f>
        <v>0</v>
      </c>
      <c r="X13" s="482"/>
      <c r="Y13" s="482"/>
    </row>
    <row r="14" spans="2:29" ht="35.15" customHeight="1" x14ac:dyDescent="0.3">
      <c r="B14" s="551" t="s">
        <v>577</v>
      </c>
      <c r="C14" s="552" t="s">
        <v>494</v>
      </c>
      <c r="D14" s="554" t="s">
        <v>578</v>
      </c>
      <c r="E14" s="553" t="s">
        <v>465</v>
      </c>
      <c r="F14" s="623">
        <v>0.3</v>
      </c>
      <c r="G14" s="636">
        <v>0.4</v>
      </c>
      <c r="H14" s="635">
        <f>(G14-$F14)/$F14</f>
        <v>0.33333333333333348</v>
      </c>
      <c r="I14" s="1415">
        <f>People!G44</f>
        <v>0.31609195402298851</v>
      </c>
      <c r="J14" s="1413">
        <f>((I14-$F14)/$F14)/H14</f>
        <v>0.16091954022988514</v>
      </c>
      <c r="K14" s="1413">
        <f>(I14-$F14)/$F14</f>
        <v>5.3639846743295069E-2</v>
      </c>
      <c r="L14" s="1405">
        <f>People!L44</f>
        <v>0.32014176018901358</v>
      </c>
      <c r="M14" s="1404">
        <f>(($L14-F14)/$F14)/H14</f>
        <v>0.20141760189013583</v>
      </c>
      <c r="N14" s="1404">
        <f>(L14-$F14)/$F14</f>
        <v>6.7139200630045304E-2</v>
      </c>
      <c r="O14" s="1405">
        <f>People!P44</f>
        <v>0.29876252209781967</v>
      </c>
      <c r="P14" s="1404">
        <f>((O14-$F$14)/$F$14)/$H$14</f>
        <v>-1.2374779021803168E-2</v>
      </c>
      <c r="Q14" s="1404">
        <f>(O14-$F14)/$F14</f>
        <v>-4.1249263406010579E-3</v>
      </c>
      <c r="R14" s="1405">
        <f>People!T44</f>
        <v>0.28101116990005881</v>
      </c>
      <c r="S14" s="1404">
        <f>(($R14-F14)/$F14)/H14</f>
        <v>-0.1898883009994117</v>
      </c>
      <c r="T14" s="1404">
        <f>(R14-$F14)/$F14</f>
        <v>-6.3296100333137262E-2</v>
      </c>
      <c r="X14" s="482"/>
      <c r="Y14" s="482"/>
    </row>
    <row r="15" spans="2:29" x14ac:dyDescent="0.3">
      <c r="M15" s="482"/>
      <c r="N15" s="482"/>
    </row>
    <row r="16" spans="2:29" x14ac:dyDescent="0.3">
      <c r="K16" s="1042"/>
      <c r="L16" s="645"/>
    </row>
    <row r="17" spans="8:12" ht="14.5" x14ac:dyDescent="0.35">
      <c r="I17"/>
      <c r="J17" s="482"/>
      <c r="L17" s="645"/>
    </row>
    <row r="21" spans="8:12" x14ac:dyDescent="0.3">
      <c r="H21" s="1229"/>
      <c r="I21" s="1230"/>
      <c r="J21" s="1230"/>
      <c r="K21" s="1230"/>
      <c r="L21" s="1230"/>
    </row>
    <row r="22" spans="8:12" x14ac:dyDescent="0.3">
      <c r="H22" s="1231"/>
      <c r="I22" s="1232"/>
      <c r="J22" s="1232"/>
      <c r="K22" s="1232"/>
      <c r="L22" s="1804"/>
    </row>
    <row r="23" spans="8:12" x14ac:dyDescent="0.3">
      <c r="H23" s="1231"/>
      <c r="I23" s="1233"/>
      <c r="J23" s="1233"/>
      <c r="K23" s="1233"/>
      <c r="L23" s="1804"/>
    </row>
    <row r="42" spans="5:5" ht="14.5" x14ac:dyDescent="0.35">
      <c r="E42"/>
    </row>
  </sheetData>
  <sheetProtection algorithmName="SHA-512" hashValue="tEWyT+buuc3gWCV4sirLqo0jKwt76aoAF5035pWHSNt2FGncu7IOL2v6eFdgiwttwpFR40A8Dhp9Qo+ob605jQ==" saltValue="R01vjelicvNhSUrYxscjhw==" spinCount="100000" sheet="1" objects="1" scenarios="1"/>
  <mergeCells count="5">
    <mergeCell ref="L22:L23"/>
    <mergeCell ref="I5:K5"/>
    <mergeCell ref="L5:N5"/>
    <mergeCell ref="O5:Q5"/>
    <mergeCell ref="R5:T5"/>
  </mergeCells>
  <phoneticPr fontId="3" type="noConversion"/>
  <conditionalFormatting sqref="J9:K9">
    <cfRule type="dataBar" priority="41">
      <dataBar>
        <cfvo type="num" val="-0.2"/>
        <cfvo type="num" val="1"/>
        <color theme="3"/>
      </dataBar>
      <extLst>
        <ext xmlns:x14="http://schemas.microsoft.com/office/spreadsheetml/2009/9/main" uri="{B025F937-C7B1-47D3-B67F-A62EFF666E3E}">
          <x14:id>{C24DD49D-5349-4D29-8CE4-CE1B77534730}</x14:id>
        </ext>
      </extLst>
    </cfRule>
  </conditionalFormatting>
  <conditionalFormatting sqref="K7:K8">
    <cfRule type="dataBar" priority="42">
      <dataBar>
        <cfvo type="num" val="-0.2"/>
        <cfvo type="num" val="1"/>
        <color theme="3"/>
      </dataBar>
      <extLst>
        <ext xmlns:x14="http://schemas.microsoft.com/office/spreadsheetml/2009/9/main" uri="{B025F937-C7B1-47D3-B67F-A62EFF666E3E}">
          <x14:id>{2F1E3EBF-CD65-4CD7-9C87-5A5ED3571F76}</x14:id>
        </ext>
      </extLst>
    </cfRule>
  </conditionalFormatting>
  <conditionalFormatting sqref="M7:M8">
    <cfRule type="dataBar" priority="51">
      <dataBar>
        <cfvo type="num" val="-0.2"/>
        <cfvo type="num" val="1"/>
        <color theme="3"/>
      </dataBar>
      <extLst>
        <ext xmlns:x14="http://schemas.microsoft.com/office/spreadsheetml/2009/9/main" uri="{B025F937-C7B1-47D3-B67F-A62EFF666E3E}">
          <x14:id>{2C5AA145-13B5-4360-99C8-E43383789861}</x14:id>
        </ext>
      </extLst>
    </cfRule>
  </conditionalFormatting>
  <conditionalFormatting sqref="M9">
    <cfRule type="dataBar" priority="49">
      <dataBar>
        <cfvo type="num" val="-0.2"/>
        <cfvo type="num" val="1"/>
        <color theme="3"/>
      </dataBar>
      <extLst>
        <ext xmlns:x14="http://schemas.microsoft.com/office/spreadsheetml/2009/9/main" uri="{B025F937-C7B1-47D3-B67F-A62EFF666E3E}">
          <x14:id>{718547B6-E346-4D3E-AAF8-6C3D7BB22866}</x14:id>
        </ext>
      </extLst>
    </cfRule>
  </conditionalFormatting>
  <conditionalFormatting sqref="N7:N8 S7:T8 P10 J7:J8 P7:Q8 J10:K14 M10:N14 Q10:Q14 S10:T14 H7:H14">
    <cfRule type="dataBar" priority="45">
      <dataBar>
        <cfvo type="num" val="-0.2"/>
        <cfvo type="num" val="1"/>
        <color theme="3"/>
      </dataBar>
      <extLst>
        <ext xmlns:x14="http://schemas.microsoft.com/office/spreadsheetml/2009/9/main" uri="{B025F937-C7B1-47D3-B67F-A62EFF666E3E}">
          <x14:id>{90BB5DE0-3670-49C0-B0ED-4EFA30E04E60}</x14:id>
        </ext>
      </extLst>
    </cfRule>
  </conditionalFormatting>
  <conditionalFormatting sqref="N9">
    <cfRule type="dataBar" priority="21">
      <dataBar>
        <cfvo type="num" val="-0.2"/>
        <cfvo type="num" val="1"/>
        <color theme="3"/>
      </dataBar>
      <extLst>
        <ext xmlns:x14="http://schemas.microsoft.com/office/spreadsheetml/2009/9/main" uri="{B025F937-C7B1-47D3-B67F-A62EFF666E3E}">
          <x14:id>{511B7327-F6DC-4E9B-A78D-5013C878A68D}</x14:id>
        </ext>
      </extLst>
    </cfRule>
  </conditionalFormatting>
  <conditionalFormatting sqref="P11:P12">
    <cfRule type="dataBar" priority="24">
      <dataBar>
        <cfvo type="num" val="-0.2"/>
        <cfvo type="num" val="1"/>
        <color theme="3"/>
      </dataBar>
      <extLst>
        <ext xmlns:x14="http://schemas.microsoft.com/office/spreadsheetml/2009/9/main" uri="{B025F937-C7B1-47D3-B67F-A62EFF666E3E}">
          <x14:id>{FF138939-E2DD-4623-BB9C-1656204CB92A}</x14:id>
        </ext>
      </extLst>
    </cfRule>
  </conditionalFormatting>
  <conditionalFormatting sqref="P13:P14">
    <cfRule type="dataBar" priority="23">
      <dataBar>
        <cfvo type="num" val="-0.2"/>
        <cfvo type="num" val="1"/>
        <color theme="3"/>
      </dataBar>
      <extLst>
        <ext xmlns:x14="http://schemas.microsoft.com/office/spreadsheetml/2009/9/main" uri="{B025F937-C7B1-47D3-B67F-A62EFF666E3E}">
          <x14:id>{FB0E3746-4E8A-45DA-9C40-9C2BD9B3118F}</x14:id>
        </ext>
      </extLst>
    </cfRule>
  </conditionalFormatting>
  <conditionalFormatting sqref="P9:Q9">
    <cfRule type="dataBar" priority="48">
      <dataBar>
        <cfvo type="num" val="-0.2"/>
        <cfvo type="num" val="1"/>
        <color theme="3"/>
      </dataBar>
      <extLst>
        <ext xmlns:x14="http://schemas.microsoft.com/office/spreadsheetml/2009/9/main" uri="{B025F937-C7B1-47D3-B67F-A62EFF666E3E}">
          <x14:id>{8A1AB145-D545-4F49-848A-27AB219EC6A8}</x14:id>
        </ext>
      </extLst>
    </cfRule>
  </conditionalFormatting>
  <conditionalFormatting sqref="S9:T9">
    <cfRule type="dataBar" priority="47">
      <dataBar>
        <cfvo type="num" val="-0.2"/>
        <cfvo type="num" val="1"/>
        <color theme="3"/>
      </dataBar>
      <extLst>
        <ext xmlns:x14="http://schemas.microsoft.com/office/spreadsheetml/2009/9/main" uri="{B025F937-C7B1-47D3-B67F-A62EFF666E3E}">
          <x14:id>{19932C11-F2B9-4A09-BC42-7A3E3636C421}</x14:id>
        </ext>
      </extLst>
    </cfRule>
  </conditionalFormatting>
  <pageMargins left="0.70866141732283472" right="0.70866141732283472" top="0.74803149606299213" bottom="0.74803149606299213" header="0.31496062992125984" footer="0.31496062992125984"/>
  <pageSetup paperSize="9" scale="27" fitToHeight="0" orientation="landscape" r:id="rId1"/>
  <ignoredErrors>
    <ignoredError sqref="O11:O12 R11:R12"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dataBar" id="{C24DD49D-5349-4D29-8CE4-CE1B77534730}">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J9:K9</xm:sqref>
        </x14:conditionalFormatting>
        <x14:conditionalFormatting xmlns:xm="http://schemas.microsoft.com/office/excel/2006/main">
          <x14:cfRule type="dataBar" id="{2F1E3EBF-CD65-4CD7-9C87-5A5ED3571F76}">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K7:K8</xm:sqref>
        </x14:conditionalFormatting>
        <x14:conditionalFormatting xmlns:xm="http://schemas.microsoft.com/office/excel/2006/main">
          <x14:cfRule type="dataBar" id="{2C5AA145-13B5-4360-99C8-E43383789861}">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M7:M8</xm:sqref>
        </x14:conditionalFormatting>
        <x14:conditionalFormatting xmlns:xm="http://schemas.microsoft.com/office/excel/2006/main">
          <x14:cfRule type="dataBar" id="{718547B6-E346-4D3E-AAF8-6C3D7BB22866}">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M9</xm:sqref>
        </x14:conditionalFormatting>
        <x14:conditionalFormatting xmlns:xm="http://schemas.microsoft.com/office/excel/2006/main">
          <x14:cfRule type="dataBar" id="{90BB5DE0-3670-49C0-B0ED-4EFA30E04E60}">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N7:N8 S7:T8 P10 J7:J8 P7:Q8 J10:K14 M10:N14 Q10:Q14 S10:T14 H7:H14</xm:sqref>
        </x14:conditionalFormatting>
        <x14:conditionalFormatting xmlns:xm="http://schemas.microsoft.com/office/excel/2006/main">
          <x14:cfRule type="dataBar" id="{511B7327-F6DC-4E9B-A78D-5013C878A68D}">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N9</xm:sqref>
        </x14:conditionalFormatting>
        <x14:conditionalFormatting xmlns:xm="http://schemas.microsoft.com/office/excel/2006/main">
          <x14:cfRule type="dataBar" id="{FF138939-E2DD-4623-BB9C-1656204CB92A}">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P11:P12</xm:sqref>
        </x14:conditionalFormatting>
        <x14:conditionalFormatting xmlns:xm="http://schemas.microsoft.com/office/excel/2006/main">
          <x14:cfRule type="dataBar" id="{FB0E3746-4E8A-45DA-9C40-9C2BD9B3118F}">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P13:P14</xm:sqref>
        </x14:conditionalFormatting>
        <x14:conditionalFormatting xmlns:xm="http://schemas.microsoft.com/office/excel/2006/main">
          <x14:cfRule type="dataBar" id="{8A1AB145-D545-4F49-848A-27AB219EC6A8}">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P9:Q9</xm:sqref>
        </x14:conditionalFormatting>
        <x14:conditionalFormatting xmlns:xm="http://schemas.microsoft.com/office/excel/2006/main">
          <x14:cfRule type="dataBar" id="{19932C11-F2B9-4A09-BC42-7A3E3636C421}">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S9:T9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92711-7BDC-442A-A8C8-3E503D71B836}">
  <sheetPr codeName="Sheet18">
    <tabColor theme="3"/>
    <pageSetUpPr fitToPage="1"/>
  </sheetPr>
  <dimension ref="A1:T192"/>
  <sheetViews>
    <sheetView zoomScale="90" zoomScaleNormal="90" workbookViewId="0"/>
  </sheetViews>
  <sheetFormatPr defaultColWidth="8.54296875" defaultRowHeight="13.5" customHeight="1" x14ac:dyDescent="0.35"/>
  <cols>
    <col min="1" max="1" width="3" style="58" customWidth="1"/>
    <col min="2" max="2" width="102.1796875" style="58" customWidth="1"/>
    <col min="3" max="3" width="27.54296875" style="90" customWidth="1"/>
    <col min="4" max="5" width="23.453125" style="90" customWidth="1"/>
    <col min="6" max="12" width="23.453125" style="58" customWidth="1"/>
    <col min="13" max="13" width="20.453125" style="58" customWidth="1"/>
    <col min="14" max="14" width="13.26953125" style="58" customWidth="1"/>
    <col min="15" max="17" width="15.453125" style="58" bestFit="1" customWidth="1"/>
    <col min="18" max="18" width="12" style="58" customWidth="1"/>
    <col min="19" max="19" width="10.54296875" style="58" bestFit="1" customWidth="1"/>
    <col min="20" max="16384" width="8.54296875" style="58"/>
  </cols>
  <sheetData>
    <row r="1" spans="1:19" x14ac:dyDescent="0.35"/>
    <row r="2" spans="1:19" ht="34" x14ac:dyDescent="0.35">
      <c r="A2" s="353"/>
      <c r="B2" s="1048" t="s">
        <v>25</v>
      </c>
      <c r="C2" s="831"/>
      <c r="D2" s="831"/>
      <c r="E2" s="831"/>
      <c r="F2" s="831"/>
      <c r="G2" s="831"/>
      <c r="H2" s="831"/>
      <c r="I2" s="831"/>
      <c r="J2" s="831"/>
      <c r="K2" s="831"/>
      <c r="L2" s="831"/>
      <c r="M2" s="831"/>
      <c r="N2" s="831"/>
      <c r="O2" s="831"/>
      <c r="P2" s="4"/>
      <c r="Q2" s="98"/>
      <c r="R2" s="98"/>
      <c r="S2" s="99"/>
    </row>
    <row r="3" spans="1:19" ht="24.5" x14ac:dyDescent="0.35">
      <c r="B3" s="100"/>
      <c r="C3" s="101"/>
      <c r="D3" s="101"/>
      <c r="E3" s="101"/>
      <c r="F3" s="100"/>
      <c r="G3" s="831"/>
      <c r="H3" s="100"/>
      <c r="I3" s="102"/>
      <c r="J3" s="102"/>
      <c r="K3" s="102"/>
      <c r="L3" s="102"/>
      <c r="M3" s="102"/>
      <c r="N3" s="102"/>
      <c r="O3" s="102"/>
      <c r="P3" s="102"/>
      <c r="Q3" s="102"/>
      <c r="R3" s="102"/>
      <c r="S3" s="99"/>
    </row>
    <row r="4" spans="1:19" s="498" customFormat="1" ht="15" x14ac:dyDescent="0.35">
      <c r="B4" s="1622" t="s">
        <v>1555</v>
      </c>
      <c r="C4" s="1622"/>
      <c r="D4" s="1622"/>
      <c r="E4" s="1622"/>
      <c r="F4" s="1622"/>
      <c r="G4" s="1622"/>
      <c r="H4" s="1235"/>
      <c r="I4" s="1234"/>
      <c r="J4" s="1234"/>
      <c r="K4" s="102"/>
      <c r="L4" s="102"/>
      <c r="M4" s="102"/>
      <c r="N4" s="102"/>
      <c r="O4" s="102"/>
      <c r="P4" s="102"/>
      <c r="Q4" s="102"/>
      <c r="R4" s="102"/>
      <c r="S4" s="1031"/>
    </row>
    <row r="5" spans="1:19" s="498" customFormat="1" ht="15.5" x14ac:dyDescent="0.35">
      <c r="B5" s="1623" t="s">
        <v>1554</v>
      </c>
      <c r="C5" s="1623"/>
      <c r="D5" s="1623"/>
      <c r="E5" s="1623"/>
      <c r="F5" s="1623"/>
      <c r="G5" s="1623"/>
      <c r="H5" s="1623"/>
      <c r="I5" s="1623"/>
      <c r="J5" s="1623"/>
      <c r="K5" s="664"/>
      <c r="L5" s="664"/>
      <c r="M5" s="1103"/>
      <c r="N5" s="1031"/>
      <c r="O5" s="1104"/>
      <c r="P5" s="1031"/>
      <c r="Q5" s="1032"/>
      <c r="R5" s="1031"/>
      <c r="S5" s="1031"/>
    </row>
    <row r="6" spans="1:19" s="498" customFormat="1" ht="15" x14ac:dyDescent="0.35">
      <c r="B6" s="1105"/>
      <c r="C6" s="1106"/>
      <c r="D6" s="1106"/>
      <c r="E6" s="1106"/>
      <c r="F6" s="1105"/>
      <c r="G6" s="1105"/>
      <c r="H6" s="1105"/>
      <c r="I6" s="1107"/>
      <c r="J6" s="1107"/>
      <c r="K6" s="1107"/>
      <c r="L6" s="664"/>
      <c r="M6" s="1031"/>
      <c r="N6" s="1031"/>
      <c r="O6" s="1031"/>
      <c r="P6" s="1031"/>
      <c r="Q6" s="1108"/>
      <c r="R6" s="1031"/>
      <c r="S6" s="1031"/>
    </row>
    <row r="7" spans="1:19" s="498" customFormat="1" ht="15" x14ac:dyDescent="0.35">
      <c r="B7" s="1109" t="s">
        <v>579</v>
      </c>
      <c r="C7" s="1110"/>
      <c r="D7" s="1110"/>
      <c r="E7" s="1110"/>
      <c r="F7" s="1111"/>
      <c r="G7" s="1111"/>
      <c r="H7" s="1111"/>
      <c r="I7" s="1112"/>
      <c r="J7" s="1112"/>
      <c r="K7" s="1112"/>
      <c r="L7" s="1112"/>
      <c r="M7" s="1031"/>
      <c r="N7" s="1031"/>
      <c r="O7" s="1031"/>
      <c r="P7" s="1031"/>
      <c r="Q7" s="1108"/>
      <c r="R7" s="1031"/>
      <c r="S7" s="1031"/>
    </row>
    <row r="8" spans="1:19" s="498" customFormat="1" ht="15" x14ac:dyDescent="0.35">
      <c r="B8" s="1113"/>
      <c r="C8" s="1114"/>
      <c r="D8" s="1114"/>
      <c r="E8" s="1115"/>
      <c r="F8" s="1116"/>
      <c r="G8" s="1117"/>
      <c r="H8" s="1117"/>
      <c r="I8" s="1118"/>
      <c r="J8" s="1118"/>
      <c r="K8" s="1118"/>
      <c r="L8" s="832"/>
      <c r="M8" s="1119"/>
      <c r="N8" s="1119"/>
      <c r="O8" s="1119"/>
      <c r="P8" s="1119"/>
      <c r="Q8" s="1108"/>
      <c r="R8" s="1119"/>
      <c r="S8" s="1119"/>
    </row>
    <row r="9" spans="1:19" s="498" customFormat="1" ht="45" x14ac:dyDescent="0.35">
      <c r="B9" s="1624" t="s">
        <v>457</v>
      </c>
      <c r="C9" s="1625" t="s">
        <v>458</v>
      </c>
      <c r="D9" s="1096" t="s">
        <v>459</v>
      </c>
      <c r="E9" s="682" t="s">
        <v>460</v>
      </c>
      <c r="F9" s="682" t="s">
        <v>461</v>
      </c>
      <c r="G9" s="682" t="s">
        <v>462</v>
      </c>
      <c r="H9" s="682" t="s">
        <v>463</v>
      </c>
      <c r="I9" s="682" t="s">
        <v>464</v>
      </c>
      <c r="J9" s="682" t="s">
        <v>465</v>
      </c>
      <c r="K9" s="1101" t="s">
        <v>580</v>
      </c>
      <c r="L9" s="1101" t="s">
        <v>581</v>
      </c>
      <c r="M9" s="664"/>
      <c r="N9" s="1031"/>
      <c r="O9" s="1031"/>
      <c r="P9" s="1031"/>
      <c r="Q9" s="1108"/>
      <c r="R9" s="1031"/>
    </row>
    <row r="10" spans="1:19" s="498" customFormat="1" ht="15" x14ac:dyDescent="0.35">
      <c r="B10" s="1624"/>
      <c r="C10" s="1625"/>
      <c r="D10" s="682" t="s">
        <v>467</v>
      </c>
      <c r="E10" s="682" t="s">
        <v>467</v>
      </c>
      <c r="F10" s="682" t="s">
        <v>467</v>
      </c>
      <c r="G10" s="682" t="s">
        <v>467</v>
      </c>
      <c r="H10" s="682" t="s">
        <v>467</v>
      </c>
      <c r="I10" s="682" t="s">
        <v>467</v>
      </c>
      <c r="J10" s="682" t="s">
        <v>467</v>
      </c>
      <c r="K10" s="1102" t="s">
        <v>467</v>
      </c>
      <c r="L10" s="1102" t="s">
        <v>467</v>
      </c>
      <c r="M10" s="1031"/>
      <c r="N10" s="1031"/>
      <c r="O10" s="1031"/>
      <c r="P10" s="1031"/>
      <c r="Q10" s="1108"/>
      <c r="R10" s="1031"/>
    </row>
    <row r="11" spans="1:19" s="498" customFormat="1" ht="18" customHeight="1" x14ac:dyDescent="0.3">
      <c r="B11" s="527" t="s">
        <v>395</v>
      </c>
      <c r="C11" s="555" t="s">
        <v>470</v>
      </c>
      <c r="D11" s="833">
        <v>217951</v>
      </c>
      <c r="E11" s="528">
        <v>225330</v>
      </c>
      <c r="F11" s="528">
        <v>215647</v>
      </c>
      <c r="G11" s="528">
        <v>215166</v>
      </c>
      <c r="H11" s="528">
        <v>226341</v>
      </c>
      <c r="I11" s="528">
        <v>229150</v>
      </c>
      <c r="J11" s="528">
        <v>227933</v>
      </c>
      <c r="K11" s="834">
        <f t="shared" ref="K11:K15" si="0">(D11-E11)/E11</f>
        <v>-3.2747525850974124E-2</v>
      </c>
      <c r="L11" s="835">
        <f t="shared" ref="L11:L16" si="1">(D11-J11)/J11</f>
        <v>-4.3793570917769697E-2</v>
      </c>
      <c r="M11" s="1031"/>
      <c r="N11" s="1031"/>
      <c r="O11" s="1031"/>
      <c r="P11" s="1031"/>
      <c r="Q11" s="1032"/>
      <c r="R11" s="1031"/>
    </row>
    <row r="12" spans="1:19" s="498" customFormat="1" ht="18" customHeight="1" x14ac:dyDescent="0.3">
      <c r="B12" s="527" t="s">
        <v>397</v>
      </c>
      <c r="C12" s="555" t="s">
        <v>470</v>
      </c>
      <c r="D12" s="836">
        <v>18908</v>
      </c>
      <c r="E12" s="528">
        <v>21203</v>
      </c>
      <c r="F12" s="528">
        <v>66265</v>
      </c>
      <c r="G12" s="528">
        <v>128768</v>
      </c>
      <c r="H12" s="528">
        <v>167772</v>
      </c>
      <c r="I12" s="528">
        <v>165830</v>
      </c>
      <c r="J12" s="528">
        <v>176107</v>
      </c>
      <c r="K12" s="834">
        <f t="shared" si="0"/>
        <v>-0.10823940008489365</v>
      </c>
      <c r="L12" s="835">
        <f t="shared" si="1"/>
        <v>-0.8926334557967599</v>
      </c>
      <c r="M12" s="1031"/>
      <c r="N12" s="1031"/>
      <c r="O12" s="1031"/>
      <c r="P12" s="1031"/>
      <c r="Q12" s="1032"/>
      <c r="R12" s="1031"/>
    </row>
    <row r="13" spans="1:19" s="498" customFormat="1" ht="18" customHeight="1" x14ac:dyDescent="0.3">
      <c r="B13" s="527" t="s">
        <v>471</v>
      </c>
      <c r="C13" s="555" t="s">
        <v>470</v>
      </c>
      <c r="D13" s="836">
        <v>151442</v>
      </c>
      <c r="E13" s="1240">
        <v>178481</v>
      </c>
      <c r="F13" s="1240">
        <v>195176</v>
      </c>
      <c r="G13" s="1240">
        <v>202348</v>
      </c>
      <c r="H13" s="1240">
        <v>223643</v>
      </c>
      <c r="I13" s="1240">
        <v>205943</v>
      </c>
      <c r="J13" s="528">
        <v>227469</v>
      </c>
      <c r="K13" s="834">
        <f t="shared" si="0"/>
        <v>-0.15149511712731328</v>
      </c>
      <c r="L13" s="835">
        <f t="shared" si="1"/>
        <v>-0.33423015883483026</v>
      </c>
      <c r="M13" s="1031"/>
      <c r="N13" s="1031"/>
      <c r="O13" s="1031"/>
      <c r="P13" s="1031"/>
      <c r="Q13" s="1032"/>
      <c r="R13" s="1031"/>
    </row>
    <row r="14" spans="1:19" s="498" customFormat="1" ht="18" customHeight="1" x14ac:dyDescent="0.3">
      <c r="A14" s="822" t="s">
        <v>582</v>
      </c>
      <c r="B14" s="529" t="s">
        <v>491</v>
      </c>
      <c r="C14" s="556" t="s">
        <v>473</v>
      </c>
      <c r="D14" s="836">
        <f>D11+D12</f>
        <v>236859</v>
      </c>
      <c r="E14" s="1241">
        <f>E11+E12</f>
        <v>246533</v>
      </c>
      <c r="F14" s="1241">
        <f t="shared" ref="F14:G14" si="2">F11+F12</f>
        <v>281912</v>
      </c>
      <c r="G14" s="1241">
        <f t="shared" si="2"/>
        <v>343934</v>
      </c>
      <c r="H14" s="1241">
        <f>H11+H12</f>
        <v>394113</v>
      </c>
      <c r="I14" s="1241">
        <f>I11+I12</f>
        <v>394980</v>
      </c>
      <c r="J14" s="1241">
        <f t="shared" ref="J14" si="3">J11+J12</f>
        <v>404040</v>
      </c>
      <c r="K14" s="1059">
        <f t="shared" si="0"/>
        <v>-3.9240182855844859E-2</v>
      </c>
      <c r="L14" s="1058">
        <f t="shared" si="1"/>
        <v>-0.41377338877338876</v>
      </c>
      <c r="N14" s="1033"/>
      <c r="O14" s="1034"/>
      <c r="P14" s="1035"/>
      <c r="R14" s="1031"/>
    </row>
    <row r="15" spans="1:19" s="498" customFormat="1" ht="18" customHeight="1" x14ac:dyDescent="0.3">
      <c r="B15" s="527" t="s">
        <v>583</v>
      </c>
      <c r="C15" s="555" t="s">
        <v>470</v>
      </c>
      <c r="D15" s="836">
        <f>D11+D13</f>
        <v>369393</v>
      </c>
      <c r="E15" s="1240">
        <f>E11+E13</f>
        <v>403811</v>
      </c>
      <c r="F15" s="1240">
        <f>F11+F13</f>
        <v>410823</v>
      </c>
      <c r="G15" s="1240">
        <f t="shared" ref="G15:I15" si="4">G11+G13</f>
        <v>417514</v>
      </c>
      <c r="H15" s="1240">
        <f t="shared" si="4"/>
        <v>449984</v>
      </c>
      <c r="I15" s="1240">
        <f t="shared" si="4"/>
        <v>435093</v>
      </c>
      <c r="J15" s="1240">
        <f>J11+J13</f>
        <v>455402</v>
      </c>
      <c r="K15" s="834">
        <f t="shared" si="0"/>
        <v>-8.5232943134288072E-2</v>
      </c>
      <c r="L15" s="835">
        <f t="shared" si="1"/>
        <v>-0.18886390485768617</v>
      </c>
      <c r="N15" s="1033"/>
      <c r="O15" s="1034"/>
      <c r="P15" s="1033"/>
      <c r="Q15" s="1036"/>
      <c r="R15" s="1031"/>
    </row>
    <row r="16" spans="1:19" s="498" customFormat="1" ht="31.5" customHeight="1" x14ac:dyDescent="0.35">
      <c r="B16" s="529" t="s">
        <v>475</v>
      </c>
      <c r="C16" s="556" t="s">
        <v>476</v>
      </c>
      <c r="D16" s="618">
        <f t="shared" ref="D16:J16" si="5">D14/D169</f>
        <v>2.5003589148105143</v>
      </c>
      <c r="E16" s="1242">
        <f t="shared" si="5"/>
        <v>2.5188299480975931</v>
      </c>
      <c r="F16" s="1242">
        <f t="shared" si="5"/>
        <v>2.6850296207402327</v>
      </c>
      <c r="G16" s="1242">
        <f t="shared" si="5"/>
        <v>3.3209161307765096</v>
      </c>
      <c r="H16" s="1242">
        <f t="shared" si="5"/>
        <v>3.7216986477298484</v>
      </c>
      <c r="I16" s="1242">
        <f t="shared" si="5"/>
        <v>3.8646236937888929</v>
      </c>
      <c r="J16" s="1242">
        <f t="shared" si="5"/>
        <v>3.716677398583387</v>
      </c>
      <c r="K16" s="834">
        <f>(D16-E16)/E16</f>
        <v>-7.3331799556494342E-3</v>
      </c>
      <c r="L16" s="835">
        <f t="shared" si="1"/>
        <v>-0.32725963362773236</v>
      </c>
      <c r="N16" s="1031"/>
      <c r="Q16" s="1031"/>
      <c r="R16" s="1031"/>
    </row>
    <row r="17" spans="1:19" s="498" customFormat="1" ht="15" x14ac:dyDescent="0.35">
      <c r="B17" s="1120"/>
      <c r="C17" s="1120"/>
      <c r="D17" s="1169"/>
      <c r="E17" s="1213"/>
      <c r="F17" s="1197"/>
      <c r="G17" s="1169"/>
      <c r="H17" s="1169"/>
      <c r="I17" s="1169"/>
      <c r="J17" s="1169"/>
      <c r="K17" s="1121"/>
      <c r="L17" s="1121"/>
      <c r="N17" s="1122"/>
      <c r="O17" s="1123"/>
      <c r="Q17" s="1031"/>
      <c r="R17" s="1031"/>
      <c r="S17" s="1031"/>
    </row>
    <row r="18" spans="1:19" s="498" customFormat="1" ht="41.9" customHeight="1" x14ac:dyDescent="0.35">
      <c r="B18" s="1124" t="s">
        <v>584</v>
      </c>
      <c r="C18" s="1077" t="s">
        <v>458</v>
      </c>
      <c r="D18" s="1096" t="s">
        <v>459</v>
      </c>
      <c r="E18" s="682" t="s">
        <v>460</v>
      </c>
      <c r="F18" s="682" t="s">
        <v>461</v>
      </c>
      <c r="G18" s="682" t="s">
        <v>462</v>
      </c>
      <c r="H18" s="682" t="s">
        <v>463</v>
      </c>
      <c r="I18" s="682" t="s">
        <v>464</v>
      </c>
      <c r="J18" s="682" t="s">
        <v>465</v>
      </c>
      <c r="K18" s="1125" t="s">
        <v>580</v>
      </c>
      <c r="L18" s="1125" t="s">
        <v>581</v>
      </c>
      <c r="N18" s="1122"/>
      <c r="O18" s="1031"/>
      <c r="P18" s="1031"/>
      <c r="Q18" s="1031"/>
      <c r="R18" s="1031"/>
      <c r="S18" s="1031"/>
    </row>
    <row r="19" spans="1:19" s="498" customFormat="1" ht="17" x14ac:dyDescent="0.3">
      <c r="A19" s="822" t="s">
        <v>582</v>
      </c>
      <c r="B19" s="837" t="s">
        <v>585</v>
      </c>
      <c r="C19" s="837" t="s">
        <v>586</v>
      </c>
      <c r="D19" s="838">
        <v>2911366</v>
      </c>
      <c r="E19" s="839">
        <v>3098366</v>
      </c>
      <c r="F19" s="839">
        <v>3283140</v>
      </c>
      <c r="G19" s="839">
        <v>3119939</v>
      </c>
      <c r="H19" s="840">
        <v>2962416</v>
      </c>
      <c r="I19" s="840">
        <v>2930972</v>
      </c>
      <c r="J19" s="840">
        <v>3384263</v>
      </c>
      <c r="K19" s="841">
        <f>(D19-E19)/E19</f>
        <v>-6.0354393251152383E-2</v>
      </c>
      <c r="L19" s="841">
        <f>(D19-J19)/J19</f>
        <v>-0.13973411640880157</v>
      </c>
      <c r="M19" s="1126"/>
      <c r="N19" s="1122"/>
      <c r="O19" s="1031"/>
      <c r="P19" s="1031"/>
      <c r="Q19" s="1031"/>
      <c r="R19" s="1031"/>
      <c r="S19" s="1031"/>
    </row>
    <row r="20" spans="1:19" s="498" customFormat="1" ht="17" x14ac:dyDescent="0.35">
      <c r="B20" s="837" t="s">
        <v>587</v>
      </c>
      <c r="C20" s="837" t="s">
        <v>586</v>
      </c>
      <c r="D20" s="838">
        <v>78532</v>
      </c>
      <c r="E20" s="839">
        <v>111923</v>
      </c>
      <c r="F20" s="839">
        <v>208714</v>
      </c>
      <c r="G20" s="839">
        <v>204775</v>
      </c>
      <c r="H20" s="840">
        <v>152351</v>
      </c>
      <c r="I20" s="840">
        <v>217622</v>
      </c>
      <c r="J20" s="840">
        <v>347208</v>
      </c>
      <c r="K20" s="841">
        <f t="shared" ref="K20:K36" si="6">(D20-E20)/E20</f>
        <v>-0.29833903665913175</v>
      </c>
      <c r="L20" s="841">
        <f t="shared" ref="L20:L36" si="7">(D20-J20)/J20</f>
        <v>-0.77381857560885692</v>
      </c>
      <c r="N20" s="1122"/>
      <c r="O20" s="1031"/>
      <c r="P20" s="1031"/>
      <c r="Q20" s="1031"/>
      <c r="R20" s="1031"/>
      <c r="S20" s="1031"/>
    </row>
    <row r="21" spans="1:19" s="498" customFormat="1" ht="17" x14ac:dyDescent="0.35">
      <c r="B21" s="837" t="s">
        <v>588</v>
      </c>
      <c r="C21" s="837" t="s">
        <v>586</v>
      </c>
      <c r="D21" s="838">
        <v>34025</v>
      </c>
      <c r="E21" s="840">
        <v>22670</v>
      </c>
      <c r="F21" s="840">
        <v>23618</v>
      </c>
      <c r="G21" s="840">
        <v>24124</v>
      </c>
      <c r="H21" s="840">
        <v>25981</v>
      </c>
      <c r="I21" s="840">
        <v>19948</v>
      </c>
      <c r="J21" s="840">
        <v>19861</v>
      </c>
      <c r="K21" s="841">
        <f t="shared" si="6"/>
        <v>0.50088222320247022</v>
      </c>
      <c r="L21" s="841">
        <f t="shared" si="7"/>
        <v>0.71315643723880973</v>
      </c>
      <c r="N21" s="1122"/>
      <c r="O21" s="1031"/>
      <c r="P21" s="1127"/>
      <c r="Q21" s="1031"/>
      <c r="R21" s="1031"/>
      <c r="S21" s="1031"/>
    </row>
    <row r="22" spans="1:19" s="498" customFormat="1" ht="17" x14ac:dyDescent="0.35">
      <c r="B22" s="837" t="s">
        <v>589</v>
      </c>
      <c r="C22" s="837" t="s">
        <v>586</v>
      </c>
      <c r="D22" s="838">
        <v>82070</v>
      </c>
      <c r="E22" s="840">
        <v>77072</v>
      </c>
      <c r="F22" s="840">
        <v>73288</v>
      </c>
      <c r="G22" s="840">
        <v>66166</v>
      </c>
      <c r="H22" s="840">
        <v>61390</v>
      </c>
      <c r="I22" s="840">
        <v>45536</v>
      </c>
      <c r="J22" s="840">
        <v>50961</v>
      </c>
      <c r="K22" s="841">
        <f t="shared" si="6"/>
        <v>6.4848453394228775E-2</v>
      </c>
      <c r="L22" s="841">
        <f t="shared" si="7"/>
        <v>0.61044720472518199</v>
      </c>
      <c r="N22" s="1122"/>
      <c r="O22" s="1128"/>
      <c r="P22" s="1031"/>
      <c r="Q22" s="1031"/>
      <c r="R22" s="1031"/>
      <c r="S22" s="1031"/>
    </row>
    <row r="23" spans="1:19" s="498" customFormat="1" ht="17" x14ac:dyDescent="0.35">
      <c r="B23" s="837" t="s">
        <v>590</v>
      </c>
      <c r="C23" s="837" t="s">
        <v>586</v>
      </c>
      <c r="D23" s="838">
        <v>3147</v>
      </c>
      <c r="E23" s="840">
        <v>2937</v>
      </c>
      <c r="F23" s="840">
        <v>3826</v>
      </c>
      <c r="G23" s="840">
        <v>3981</v>
      </c>
      <c r="H23" s="840">
        <v>5186</v>
      </c>
      <c r="I23" s="840">
        <v>4516</v>
      </c>
      <c r="J23" s="840">
        <v>3412</v>
      </c>
      <c r="K23" s="841">
        <f>(D23-E23)/E23</f>
        <v>7.1501532175689483E-2</v>
      </c>
      <c r="L23" s="841">
        <f>(D23-J23)/J23</f>
        <v>-7.766705744431418E-2</v>
      </c>
      <c r="N23" s="1122"/>
      <c r="O23" s="1128"/>
      <c r="P23" s="1031"/>
      <c r="Q23" s="1031"/>
      <c r="R23" s="1031"/>
      <c r="S23" s="1031"/>
    </row>
    <row r="24" spans="1:19" s="498" customFormat="1" ht="17" x14ac:dyDescent="0.35">
      <c r="B24" s="837" t="s">
        <v>591</v>
      </c>
      <c r="C24" s="837" t="s">
        <v>586</v>
      </c>
      <c r="D24" s="838">
        <v>12652</v>
      </c>
      <c r="E24" s="840">
        <v>26828.440317458197</v>
      </c>
      <c r="F24" s="840">
        <v>9236</v>
      </c>
      <c r="G24" s="840">
        <v>7671</v>
      </c>
      <c r="H24" s="840">
        <v>1925</v>
      </c>
      <c r="I24" s="840">
        <v>439</v>
      </c>
      <c r="J24" s="840">
        <v>14006</v>
      </c>
      <c r="K24" s="841">
        <f t="shared" si="6"/>
        <v>-0.52841090088390619</v>
      </c>
      <c r="L24" s="841">
        <f t="shared" si="7"/>
        <v>-9.6672854490932464E-2</v>
      </c>
      <c r="N24" s="1122"/>
      <c r="O24" s="1128"/>
      <c r="P24" s="1031"/>
      <c r="Q24" s="1031"/>
      <c r="R24" s="1031"/>
      <c r="S24" s="1031"/>
    </row>
    <row r="25" spans="1:19" s="498" customFormat="1" ht="17" x14ac:dyDescent="0.35">
      <c r="B25" s="837" t="s">
        <v>592</v>
      </c>
      <c r="C25" s="837" t="s">
        <v>586</v>
      </c>
      <c r="D25" s="838">
        <v>17587</v>
      </c>
      <c r="E25" s="840">
        <v>13689</v>
      </c>
      <c r="F25" s="840">
        <v>15435</v>
      </c>
      <c r="G25" s="840">
        <v>13627</v>
      </c>
      <c r="H25" s="840">
        <v>13517</v>
      </c>
      <c r="I25" s="840">
        <v>15718</v>
      </c>
      <c r="J25" s="840">
        <v>25763</v>
      </c>
      <c r="K25" s="841">
        <f t="shared" si="6"/>
        <v>0.28475418219007964</v>
      </c>
      <c r="L25" s="841">
        <f t="shared" si="7"/>
        <v>-0.31735434537903195</v>
      </c>
      <c r="N25" s="1122"/>
      <c r="O25" s="1128"/>
      <c r="P25" s="1031"/>
      <c r="Q25" s="1031"/>
      <c r="R25" s="1031"/>
      <c r="S25" s="1031"/>
    </row>
    <row r="26" spans="1:19" s="498" customFormat="1" ht="17" x14ac:dyDescent="0.35">
      <c r="B26" s="837" t="s">
        <v>593</v>
      </c>
      <c r="C26" s="837" t="s">
        <v>586</v>
      </c>
      <c r="D26" s="838">
        <v>11618</v>
      </c>
      <c r="E26" s="842">
        <v>12985</v>
      </c>
      <c r="F26" s="842">
        <v>12802</v>
      </c>
      <c r="G26" s="842">
        <v>12167</v>
      </c>
      <c r="H26" s="842">
        <v>11501</v>
      </c>
      <c r="I26" s="842">
        <v>11081</v>
      </c>
      <c r="J26" s="842">
        <v>10723</v>
      </c>
      <c r="K26" s="841">
        <f t="shared" si="6"/>
        <v>-0.1052753176742395</v>
      </c>
      <c r="L26" s="841">
        <f>(D26-J26)/J26</f>
        <v>8.3465448102210196E-2</v>
      </c>
      <c r="N26" s="1122"/>
      <c r="O26" s="1031"/>
      <c r="P26" s="1031"/>
      <c r="Q26" s="1031"/>
      <c r="R26" s="1031"/>
      <c r="S26" s="1031"/>
    </row>
    <row r="27" spans="1:19" s="498" customFormat="1" ht="21" customHeight="1" x14ac:dyDescent="0.35">
      <c r="B27" s="837" t="s">
        <v>594</v>
      </c>
      <c r="C27" s="837" t="s">
        <v>586</v>
      </c>
      <c r="D27" s="838">
        <v>394</v>
      </c>
      <c r="E27" s="840">
        <v>461</v>
      </c>
      <c r="F27" s="840">
        <v>477</v>
      </c>
      <c r="G27" s="840">
        <v>721</v>
      </c>
      <c r="H27" s="840">
        <v>1352</v>
      </c>
      <c r="I27" s="840">
        <v>431</v>
      </c>
      <c r="J27" s="840">
        <v>207</v>
      </c>
      <c r="K27" s="841">
        <f>(D27-E27)/E27</f>
        <v>-0.14533622559652928</v>
      </c>
      <c r="L27" s="841"/>
      <c r="N27" s="1122"/>
      <c r="O27" s="1031"/>
      <c r="P27" s="1031"/>
      <c r="Q27" s="1031"/>
      <c r="R27" s="1031"/>
      <c r="S27" s="1031"/>
    </row>
    <row r="28" spans="1:19" s="498" customFormat="1" ht="17" x14ac:dyDescent="0.35">
      <c r="B28" s="837" t="s">
        <v>595</v>
      </c>
      <c r="C28" s="837" t="s">
        <v>586</v>
      </c>
      <c r="D28" s="838">
        <v>17281</v>
      </c>
      <c r="E28" s="840">
        <v>23197</v>
      </c>
      <c r="F28" s="840">
        <v>23992</v>
      </c>
      <c r="G28" s="840">
        <v>24472</v>
      </c>
      <c r="H28" s="840">
        <v>23871</v>
      </c>
      <c r="I28" s="840">
        <v>25842</v>
      </c>
      <c r="J28" s="840">
        <v>28760</v>
      </c>
      <c r="K28" s="841">
        <f>(D28-E28)/E28</f>
        <v>-0.2550329784023796</v>
      </c>
      <c r="L28" s="841">
        <f t="shared" si="7"/>
        <v>-0.3991307371349096</v>
      </c>
      <c r="N28" s="1122"/>
      <c r="O28" s="1031"/>
      <c r="P28" s="1031"/>
      <c r="Q28" s="1031"/>
      <c r="R28" s="1031"/>
      <c r="S28" s="1031"/>
    </row>
    <row r="29" spans="1:19" s="498" customFormat="1" ht="17" x14ac:dyDescent="0.35">
      <c r="B29" s="837" t="s">
        <v>596</v>
      </c>
      <c r="C29" s="837" t="s">
        <v>586</v>
      </c>
      <c r="D29" s="1192" t="s">
        <v>597</v>
      </c>
      <c r="E29" s="1192" t="s">
        <v>598</v>
      </c>
      <c r="F29" s="1192" t="s">
        <v>598</v>
      </c>
      <c r="G29" s="1192" t="s">
        <v>598</v>
      </c>
      <c r="H29" s="1192" t="s">
        <v>598</v>
      </c>
      <c r="I29" s="1192" t="s">
        <v>598</v>
      </c>
      <c r="J29" s="1192" t="s">
        <v>598</v>
      </c>
      <c r="K29" s="1192"/>
      <c r="L29" s="1192"/>
      <c r="N29" s="1129"/>
      <c r="O29" s="1031"/>
      <c r="P29" s="1031"/>
      <c r="Q29" s="1031"/>
      <c r="R29" s="1031"/>
      <c r="S29" s="1031"/>
    </row>
    <row r="30" spans="1:19" s="498" customFormat="1" ht="17" x14ac:dyDescent="0.35">
      <c r="B30" s="837" t="s">
        <v>599</v>
      </c>
      <c r="C30" s="837" t="s">
        <v>586</v>
      </c>
      <c r="D30" s="838">
        <v>11192</v>
      </c>
      <c r="E30" s="840">
        <v>14234</v>
      </c>
      <c r="F30" s="840">
        <v>15950</v>
      </c>
      <c r="G30" s="840">
        <v>14351</v>
      </c>
      <c r="H30" s="840">
        <v>20206</v>
      </c>
      <c r="I30" s="840">
        <v>22458</v>
      </c>
      <c r="J30" s="840">
        <v>26602</v>
      </c>
      <c r="K30" s="841">
        <f t="shared" si="6"/>
        <v>-0.21371364338906843</v>
      </c>
      <c r="L30" s="841">
        <f t="shared" si="7"/>
        <v>-0.57927975340199989</v>
      </c>
      <c r="N30" s="1129"/>
      <c r="O30" s="1031"/>
      <c r="P30" s="1031"/>
      <c r="Q30" s="1031"/>
      <c r="R30" s="1031"/>
      <c r="S30" s="1031"/>
    </row>
    <row r="31" spans="1:19" s="498" customFormat="1" ht="17" x14ac:dyDescent="0.35">
      <c r="B31" s="837" t="s">
        <v>600</v>
      </c>
      <c r="C31" s="837" t="s">
        <v>586</v>
      </c>
      <c r="D31" s="838">
        <v>1724</v>
      </c>
      <c r="E31" s="842">
        <v>2086</v>
      </c>
      <c r="F31" s="842">
        <v>2076</v>
      </c>
      <c r="G31" s="842">
        <v>1821</v>
      </c>
      <c r="H31" s="842">
        <v>1322</v>
      </c>
      <c r="I31" s="842">
        <v>1201</v>
      </c>
      <c r="J31" s="842">
        <v>959</v>
      </c>
      <c r="K31" s="841">
        <f t="shared" si="6"/>
        <v>-0.17353787152444872</v>
      </c>
      <c r="L31" s="841">
        <f t="shared" si="7"/>
        <v>0.79770594369134518</v>
      </c>
      <c r="N31" s="1122"/>
      <c r="O31" s="1031"/>
      <c r="P31" s="1031"/>
      <c r="Q31" s="1031"/>
      <c r="R31" s="1031"/>
      <c r="S31" s="1031"/>
    </row>
    <row r="32" spans="1:19" s="498" customFormat="1" ht="17" x14ac:dyDescent="0.35">
      <c r="B32" s="837" t="s">
        <v>601</v>
      </c>
      <c r="C32" s="837" t="s">
        <v>586</v>
      </c>
      <c r="D32" s="838" t="s">
        <v>597</v>
      </c>
      <c r="E32" s="840" t="s">
        <v>598</v>
      </c>
      <c r="F32" s="840" t="s">
        <v>598</v>
      </c>
      <c r="G32" s="840" t="s">
        <v>598</v>
      </c>
      <c r="H32" s="840" t="s">
        <v>598</v>
      </c>
      <c r="I32" s="840" t="s">
        <v>598</v>
      </c>
      <c r="J32" s="840" t="s">
        <v>598</v>
      </c>
      <c r="K32" s="841"/>
      <c r="L32" s="841"/>
      <c r="N32" s="1122"/>
      <c r="O32" s="1031"/>
      <c r="P32" s="1031"/>
      <c r="Q32" s="1031"/>
      <c r="R32" s="1031"/>
      <c r="S32" s="1031"/>
    </row>
    <row r="33" spans="2:19" s="498" customFormat="1" ht="17" x14ac:dyDescent="0.35">
      <c r="B33" s="837" t="s">
        <v>602</v>
      </c>
      <c r="C33" s="837" t="s">
        <v>586</v>
      </c>
      <c r="D33" s="838">
        <v>38298</v>
      </c>
      <c r="E33" s="840">
        <v>45975</v>
      </c>
      <c r="F33" s="840">
        <v>84596</v>
      </c>
      <c r="G33" s="840">
        <v>91587</v>
      </c>
      <c r="H33" s="840">
        <v>118356</v>
      </c>
      <c r="I33" s="840">
        <v>119005</v>
      </c>
      <c r="J33" s="840">
        <v>129337</v>
      </c>
      <c r="K33" s="841">
        <f t="shared" si="6"/>
        <v>-0.16698205546492659</v>
      </c>
      <c r="L33" s="841">
        <f t="shared" si="7"/>
        <v>-0.70388983817469097</v>
      </c>
      <c r="N33" s="1122"/>
      <c r="O33" s="1031"/>
      <c r="P33" s="1031"/>
      <c r="Q33" s="1031"/>
      <c r="R33" s="1031"/>
      <c r="S33" s="1031"/>
    </row>
    <row r="34" spans="2:19" s="498" customFormat="1" ht="17" x14ac:dyDescent="0.35">
      <c r="B34" s="843" t="s">
        <v>603</v>
      </c>
      <c r="C34" s="837" t="s">
        <v>586</v>
      </c>
      <c r="D34" s="838">
        <f>SUM(D19:D26)</f>
        <v>3150997</v>
      </c>
      <c r="E34" s="1171">
        <f>SUM(E19:E26)</f>
        <v>3366470.440317458</v>
      </c>
      <c r="F34" s="1171">
        <f>SUM(F19:F26)</f>
        <v>3630059</v>
      </c>
      <c r="G34" s="1171">
        <f t="shared" ref="G34:J34" si="8">SUM(G19:G26)</f>
        <v>3452450</v>
      </c>
      <c r="H34" s="1171">
        <f t="shared" si="8"/>
        <v>3234267</v>
      </c>
      <c r="I34" s="1171">
        <f t="shared" si="8"/>
        <v>3245832</v>
      </c>
      <c r="J34" s="1171">
        <f t="shared" si="8"/>
        <v>3856197</v>
      </c>
      <c r="K34" s="841">
        <f t="shared" si="6"/>
        <v>-6.4005742553657735E-2</v>
      </c>
      <c r="L34" s="841">
        <f t="shared" si="7"/>
        <v>-0.18287447451465783</v>
      </c>
      <c r="N34" s="1122"/>
      <c r="O34" s="1031"/>
      <c r="P34" s="1031"/>
      <c r="Q34" s="1031"/>
      <c r="R34" s="1031"/>
      <c r="S34" s="1031"/>
    </row>
    <row r="35" spans="2:19" s="498" customFormat="1" ht="17" x14ac:dyDescent="0.35">
      <c r="B35" s="843" t="s">
        <v>604</v>
      </c>
      <c r="C35" s="837" t="s">
        <v>586</v>
      </c>
      <c r="D35" s="838">
        <f>SUM(D27:D33)</f>
        <v>68889</v>
      </c>
      <c r="E35" s="1171">
        <f>SUM(E27:E33)</f>
        <v>85953</v>
      </c>
      <c r="F35" s="1171">
        <f>SUM(F27:F33)</f>
        <v>127091</v>
      </c>
      <c r="G35" s="1171">
        <f t="shared" ref="G35:J35" si="9">SUM(G27:G33)</f>
        <v>132952</v>
      </c>
      <c r="H35" s="1171">
        <f t="shared" si="9"/>
        <v>165107</v>
      </c>
      <c r="I35" s="1171">
        <f t="shared" si="9"/>
        <v>168937</v>
      </c>
      <c r="J35" s="1171">
        <f t="shared" si="9"/>
        <v>185865</v>
      </c>
      <c r="K35" s="841">
        <f t="shared" si="6"/>
        <v>-0.19852710202087187</v>
      </c>
      <c r="L35" s="841">
        <f t="shared" si="7"/>
        <v>-0.62936001936889674</v>
      </c>
      <c r="N35" s="1122"/>
      <c r="O35" s="1031"/>
      <c r="P35" s="1031"/>
      <c r="Q35" s="1031"/>
      <c r="R35" s="1031"/>
      <c r="S35" s="1031"/>
    </row>
    <row r="36" spans="2:19" s="498" customFormat="1" ht="17" x14ac:dyDescent="0.35">
      <c r="B36" s="844" t="s">
        <v>605</v>
      </c>
      <c r="C36" s="843" t="s">
        <v>606</v>
      </c>
      <c r="D36" s="838">
        <f>SUM(D19:D33)</f>
        <v>3219886</v>
      </c>
      <c r="E36" s="840">
        <f>SUM(E19:E33)</f>
        <v>3452423.440317458</v>
      </c>
      <c r="F36" s="840">
        <f>SUM(F19:F33)</f>
        <v>3757150</v>
      </c>
      <c r="G36" s="840">
        <f>SUM(G19:G33)</f>
        <v>3585402</v>
      </c>
      <c r="H36" s="840">
        <f>SUM(H19:H33)</f>
        <v>3399374</v>
      </c>
      <c r="I36" s="840">
        <f t="shared" ref="I36" si="10">SUM(I19:I33)</f>
        <v>3414769</v>
      </c>
      <c r="J36" s="840">
        <f>SUM(J19:J33)</f>
        <v>4042062</v>
      </c>
      <c r="K36" s="841">
        <f t="shared" si="6"/>
        <v>-6.7354843441821743E-2</v>
      </c>
      <c r="L36" s="841">
        <f t="shared" si="7"/>
        <v>-0.20340509373681057</v>
      </c>
      <c r="M36" s="1122"/>
      <c r="N36" s="1122"/>
      <c r="O36" s="1031"/>
      <c r="P36" s="1031"/>
      <c r="Q36" s="1031"/>
      <c r="R36" s="1031"/>
      <c r="S36" s="1031"/>
    </row>
    <row r="37" spans="2:19" s="498" customFormat="1" ht="15" x14ac:dyDescent="0.35">
      <c r="B37" s="1130"/>
      <c r="C37" s="1131"/>
      <c r="D37" s="1239"/>
      <c r="E37" s="1170"/>
      <c r="F37" s="1170"/>
      <c r="G37" s="1170"/>
      <c r="H37" s="1170"/>
      <c r="I37" s="1170"/>
      <c r="J37" s="1170"/>
      <c r="K37" s="878"/>
      <c r="L37" s="878"/>
      <c r="M37" s="1132"/>
      <c r="N37" s="1122"/>
      <c r="O37" s="1031"/>
      <c r="P37" s="1031"/>
      <c r="Q37" s="1031"/>
      <c r="R37" s="1031"/>
      <c r="S37" s="1031"/>
    </row>
    <row r="38" spans="2:19" s="498" customFormat="1" ht="40.5" customHeight="1" x14ac:dyDescent="0.35">
      <c r="B38" s="1124" t="s">
        <v>607</v>
      </c>
      <c r="C38" s="1077" t="s">
        <v>458</v>
      </c>
      <c r="D38" s="1096" t="s">
        <v>459</v>
      </c>
      <c r="E38" s="1134" t="s">
        <v>460</v>
      </c>
      <c r="F38" s="1134" t="s">
        <v>461</v>
      </c>
      <c r="G38" s="1134" t="str">
        <f>G18</f>
        <v>2022/23</v>
      </c>
      <c r="H38" s="1134" t="str">
        <f>H18</f>
        <v>2021/22</v>
      </c>
      <c r="I38" s="1134" t="str">
        <f>I18</f>
        <v>2020/21</v>
      </c>
      <c r="J38" s="1134" t="str">
        <f>J18</f>
        <v>2019/20</v>
      </c>
      <c r="K38" s="1125" t="s">
        <v>580</v>
      </c>
      <c r="L38" s="1125" t="s">
        <v>581</v>
      </c>
      <c r="N38" s="1135"/>
      <c r="O38" s="1135"/>
      <c r="P38" s="1031"/>
      <c r="Q38" s="1031"/>
      <c r="R38" s="1031"/>
      <c r="S38" s="1031"/>
    </row>
    <row r="39" spans="2:19" s="498" customFormat="1" ht="17" x14ac:dyDescent="0.35">
      <c r="B39" s="535" t="str">
        <f>B11</f>
        <v>Total Scope 1 GHG emissions</v>
      </c>
      <c r="C39" s="837" t="s">
        <v>586</v>
      </c>
      <c r="D39" s="838">
        <f t="shared" ref="D39:J40" si="11">D11</f>
        <v>217951</v>
      </c>
      <c r="E39" s="897">
        <f t="shared" si="11"/>
        <v>225330</v>
      </c>
      <c r="F39" s="897">
        <f t="shared" si="11"/>
        <v>215647</v>
      </c>
      <c r="G39" s="897">
        <f t="shared" si="11"/>
        <v>215166</v>
      </c>
      <c r="H39" s="897">
        <f t="shared" si="11"/>
        <v>226341</v>
      </c>
      <c r="I39" s="897">
        <f t="shared" si="11"/>
        <v>229150</v>
      </c>
      <c r="J39" s="897">
        <f t="shared" si="11"/>
        <v>227933</v>
      </c>
      <c r="K39" s="1092">
        <f>(D39-E39)/E39</f>
        <v>-3.2747525850974124E-2</v>
      </c>
      <c r="L39" s="1092">
        <f>(D39-J39)/J39</f>
        <v>-4.3793570917769697E-2</v>
      </c>
      <c r="N39" s="498" t="str">
        <f>B39</f>
        <v>Total Scope 1 GHG emissions</v>
      </c>
      <c r="O39" s="1199">
        <f>D39/$D$43</f>
        <v>6.3050933754153118E-2</v>
      </c>
      <c r="P39" s="1031"/>
      <c r="Q39" s="1031">
        <f>6+1+84+9</f>
        <v>100</v>
      </c>
      <c r="R39" s="1031"/>
      <c r="S39" s="1031"/>
    </row>
    <row r="40" spans="2:19" s="498" customFormat="1" ht="17" x14ac:dyDescent="0.35">
      <c r="B40" s="535" t="str">
        <f>B12</f>
        <v>Total Scope 2 GHG emissions (market-based)</v>
      </c>
      <c r="C40" s="837" t="s">
        <v>586</v>
      </c>
      <c r="D40" s="838">
        <f t="shared" si="11"/>
        <v>18908</v>
      </c>
      <c r="E40" s="897">
        <f t="shared" si="11"/>
        <v>21203</v>
      </c>
      <c r="F40" s="897">
        <f t="shared" si="11"/>
        <v>66265</v>
      </c>
      <c r="G40" s="897">
        <f t="shared" si="11"/>
        <v>128768</v>
      </c>
      <c r="H40" s="897">
        <f t="shared" si="11"/>
        <v>167772</v>
      </c>
      <c r="I40" s="897">
        <f t="shared" si="11"/>
        <v>165830</v>
      </c>
      <c r="J40" s="897">
        <f t="shared" si="11"/>
        <v>176107</v>
      </c>
      <c r="K40" s="1092">
        <f t="shared" ref="K40:K45" si="12">(D40-E40)/E40</f>
        <v>-0.10823940008489365</v>
      </c>
      <c r="L40" s="1092">
        <f t="shared" ref="L40:L45" si="13">(D40-J40)/J40</f>
        <v>-0.8926334557967599</v>
      </c>
      <c r="N40" s="498" t="str">
        <f t="shared" ref="N40:N42" si="14">B40</f>
        <v>Total Scope 2 GHG emissions (market-based)</v>
      </c>
      <c r="O40" s="1199">
        <f>D40/$D$43</f>
        <v>5.4698856872578104E-3</v>
      </c>
      <c r="P40" s="1031"/>
      <c r="Q40" s="1031"/>
      <c r="R40" s="1031"/>
      <c r="S40" s="1031"/>
    </row>
    <row r="41" spans="2:19" s="498" customFormat="1" ht="17" x14ac:dyDescent="0.35">
      <c r="B41" s="535" t="str">
        <f>"Scope 3 - "&amp;B19</f>
        <v>Scope 3 - Total Scope 3 (Category 1) Purchased goods and services GHG emissions</v>
      </c>
      <c r="C41" s="837" t="s">
        <v>586</v>
      </c>
      <c r="D41" s="838">
        <f>D19</f>
        <v>2911366</v>
      </c>
      <c r="E41" s="897">
        <f>E19</f>
        <v>3098366</v>
      </c>
      <c r="F41" s="897">
        <f t="shared" ref="F41:J41" si="15">F19</f>
        <v>3283140</v>
      </c>
      <c r="G41" s="897">
        <f t="shared" si="15"/>
        <v>3119939</v>
      </c>
      <c r="H41" s="897">
        <f t="shared" si="15"/>
        <v>2962416</v>
      </c>
      <c r="I41" s="897">
        <f t="shared" si="15"/>
        <v>2930972</v>
      </c>
      <c r="J41" s="897">
        <f t="shared" si="15"/>
        <v>3384263</v>
      </c>
      <c r="K41" s="1092">
        <f t="shared" si="12"/>
        <v>-6.0354393251152383E-2</v>
      </c>
      <c r="L41" s="1092">
        <f t="shared" si="13"/>
        <v>-0.13973411640880157</v>
      </c>
      <c r="N41" s="498" t="str">
        <f t="shared" si="14"/>
        <v>Scope 3 - Total Scope 3 (Category 1) Purchased goods and services GHG emissions</v>
      </c>
      <c r="O41" s="1199">
        <f>D41/$D$43</f>
        <v>0.84222758693510802</v>
      </c>
      <c r="P41" s="1031"/>
      <c r="Q41" s="1031"/>
      <c r="R41" s="1031"/>
      <c r="S41" s="1031"/>
    </row>
    <row r="42" spans="2:19" s="498" customFormat="1" ht="17" x14ac:dyDescent="0.35">
      <c r="B42" s="535" t="str">
        <f>"Scope 3 - All other categories"</f>
        <v>Scope 3 - All other categories</v>
      </c>
      <c r="C42" s="837" t="s">
        <v>586</v>
      </c>
      <c r="D42" s="838">
        <f>D36-D19</f>
        <v>308520</v>
      </c>
      <c r="E42" s="840">
        <f>E36-E19</f>
        <v>354057.44031745801</v>
      </c>
      <c r="F42" s="840">
        <f>F36-F19</f>
        <v>474010</v>
      </c>
      <c r="G42" s="840">
        <f t="shared" ref="G42:J42" si="16">G36-G19</f>
        <v>465463</v>
      </c>
      <c r="H42" s="840">
        <f t="shared" si="16"/>
        <v>436958</v>
      </c>
      <c r="I42" s="840">
        <f t="shared" si="16"/>
        <v>483797</v>
      </c>
      <c r="J42" s="840">
        <f t="shared" si="16"/>
        <v>657799</v>
      </c>
      <c r="K42" s="1092">
        <f t="shared" si="12"/>
        <v>-0.12861596772723613</v>
      </c>
      <c r="L42" s="1092">
        <f t="shared" si="13"/>
        <v>-0.53098134840582001</v>
      </c>
      <c r="N42" s="498" t="str">
        <f t="shared" si="14"/>
        <v>Scope 3 - All other categories</v>
      </c>
      <c r="O42" s="1199">
        <f>D42/$D$43</f>
        <v>8.9251593623481049E-2</v>
      </c>
      <c r="P42" s="1031"/>
      <c r="Q42" s="1031"/>
      <c r="R42" s="1031"/>
      <c r="S42" s="1031"/>
    </row>
    <row r="43" spans="2:19" s="498" customFormat="1" ht="17" x14ac:dyDescent="0.35">
      <c r="B43" s="846" t="s">
        <v>608</v>
      </c>
      <c r="C43" s="843" t="s">
        <v>606</v>
      </c>
      <c r="D43" s="838">
        <f>SUM(D39:D42)</f>
        <v>3456745</v>
      </c>
      <c r="E43" s="840">
        <f>SUM(E39:E42)</f>
        <v>3698956.440317458</v>
      </c>
      <c r="F43" s="840">
        <f>SUM(F39:F42)</f>
        <v>4039062</v>
      </c>
      <c r="G43" s="840">
        <f>SUM(G39:G42)</f>
        <v>3929336</v>
      </c>
      <c r="H43" s="840">
        <f t="shared" ref="H43:J43" si="17">SUM(H39:H42)</f>
        <v>3793487</v>
      </c>
      <c r="I43" s="840">
        <f t="shared" si="17"/>
        <v>3809749</v>
      </c>
      <c r="J43" s="840">
        <f t="shared" si="17"/>
        <v>4446102</v>
      </c>
      <c r="K43" s="1092">
        <f t="shared" si="12"/>
        <v>-6.5481019910759081E-2</v>
      </c>
      <c r="L43" s="1092">
        <f t="shared" si="13"/>
        <v>-0.22252233529505172</v>
      </c>
      <c r="N43" s="1136"/>
      <c r="O43" s="1137">
        <f>SUM(O39:O42)</f>
        <v>1</v>
      </c>
      <c r="P43" s="1031"/>
      <c r="Q43" s="1031"/>
      <c r="R43" s="1031"/>
      <c r="S43" s="1031"/>
    </row>
    <row r="44" spans="2:19" s="498" customFormat="1" ht="32" x14ac:dyDescent="0.35">
      <c r="B44" s="523" t="s">
        <v>609</v>
      </c>
      <c r="C44" s="555" t="s">
        <v>610</v>
      </c>
      <c r="D44" s="847">
        <f>D43/D169</f>
        <v>36.490499313839329</v>
      </c>
      <c r="E44" s="848">
        <f t="shared" ref="E44:J44" si="18">E43/E169</f>
        <v>37.792272266106686</v>
      </c>
      <c r="F44" s="848">
        <f t="shared" si="18"/>
        <v>38.469455397451284</v>
      </c>
      <c r="G44" s="848">
        <f t="shared" si="18"/>
        <v>37.940405152270053</v>
      </c>
      <c r="H44" s="848">
        <f t="shared" si="18"/>
        <v>35.822760066480321</v>
      </c>
      <c r="I44" s="848">
        <f t="shared" si="18"/>
        <v>37.275928535086692</v>
      </c>
      <c r="J44" s="848">
        <f t="shared" si="18"/>
        <v>40.898739766350843</v>
      </c>
      <c r="K44" s="1092">
        <f t="shared" si="12"/>
        <v>-3.4445479835167984E-2</v>
      </c>
      <c r="L44" s="1092">
        <f t="shared" si="13"/>
        <v>-0.10778426126807857</v>
      </c>
      <c r="M44" s="1135"/>
      <c r="N44" s="1031"/>
      <c r="O44" s="1031"/>
      <c r="P44" s="1031"/>
      <c r="Q44" s="1031"/>
      <c r="R44" s="1031"/>
      <c r="S44" s="1031"/>
    </row>
    <row r="45" spans="2:19" s="498" customFormat="1" ht="32" x14ac:dyDescent="0.35">
      <c r="B45" s="523" t="s">
        <v>611</v>
      </c>
      <c r="C45" s="555" t="s">
        <v>612</v>
      </c>
      <c r="D45" s="847">
        <f>D43/D170</f>
        <v>263.47141768292681</v>
      </c>
      <c r="E45" s="848">
        <f t="shared" ref="E45:J45" si="19">E43/E170</f>
        <v>316.85424364549067</v>
      </c>
      <c r="F45" s="848">
        <f t="shared" si="19"/>
        <v>314.4952113992058</v>
      </c>
      <c r="G45" s="848">
        <f t="shared" si="19"/>
        <v>263.13105203241145</v>
      </c>
      <c r="H45" s="848">
        <f t="shared" si="19"/>
        <v>236.72305772230888</v>
      </c>
      <c r="I45" s="848">
        <f t="shared" si="19"/>
        <v>246.82533203757694</v>
      </c>
      <c r="J45" s="848">
        <f t="shared" si="19"/>
        <v>305.0080263428689</v>
      </c>
      <c r="K45" s="1092">
        <f t="shared" si="12"/>
        <v>-0.1684775477468142</v>
      </c>
      <c r="L45" s="1092">
        <f t="shared" si="13"/>
        <v>-0.13618201841432695</v>
      </c>
      <c r="M45" s="1135"/>
      <c r="N45" s="1031"/>
      <c r="O45" s="1031"/>
      <c r="P45" s="1031"/>
      <c r="Q45" s="1031"/>
      <c r="R45" s="1031"/>
      <c r="S45" s="1031"/>
    </row>
    <row r="46" spans="2:19" s="498" customFormat="1" ht="15" x14ac:dyDescent="0.35">
      <c r="B46" s="849"/>
      <c r="C46" s="850"/>
      <c r="D46" s="1174"/>
      <c r="E46" s="1174"/>
      <c r="F46" s="1174"/>
      <c r="G46" s="1174"/>
      <c r="H46" s="1174"/>
      <c r="I46" s="1174"/>
      <c r="J46" s="1174"/>
      <c r="K46" s="851"/>
      <c r="L46" s="851"/>
      <c r="M46" s="1135"/>
      <c r="N46" s="1031"/>
      <c r="O46" s="1031"/>
      <c r="P46" s="1031"/>
      <c r="Q46" s="1031"/>
      <c r="R46" s="1031"/>
      <c r="S46" s="1031"/>
    </row>
    <row r="47" spans="2:19" s="498" customFormat="1" ht="45" x14ac:dyDescent="0.35">
      <c r="B47" s="1124" t="s">
        <v>613</v>
      </c>
      <c r="C47" s="1077" t="s">
        <v>458</v>
      </c>
      <c r="D47" s="1096" t="s">
        <v>459</v>
      </c>
      <c r="E47" s="1134" t="s">
        <v>460</v>
      </c>
      <c r="F47" s="1134" t="s">
        <v>461</v>
      </c>
      <c r="G47" s="1134" t="s">
        <v>462</v>
      </c>
      <c r="H47" s="1134" t="s">
        <v>463</v>
      </c>
      <c r="I47" s="1134" t="s">
        <v>614</v>
      </c>
      <c r="J47" s="682" t="s">
        <v>465</v>
      </c>
      <c r="K47" s="1125" t="s">
        <v>580</v>
      </c>
      <c r="L47" s="1125" t="s">
        <v>615</v>
      </c>
      <c r="M47" s="1135"/>
      <c r="N47" s="1031"/>
      <c r="O47" s="1031"/>
      <c r="P47" s="1031"/>
      <c r="Q47" s="1031"/>
      <c r="R47" s="1031"/>
      <c r="S47" s="1031"/>
    </row>
    <row r="48" spans="2:19" s="498" customFormat="1" ht="17" x14ac:dyDescent="0.35">
      <c r="B48" s="846" t="s">
        <v>616</v>
      </c>
      <c r="C48" s="843" t="s">
        <v>606</v>
      </c>
      <c r="D48" s="838">
        <v>2274247.68074159</v>
      </c>
      <c r="E48" s="840">
        <v>1606644</v>
      </c>
      <c r="F48" s="840">
        <v>1335881</v>
      </c>
      <c r="G48" s="840">
        <v>1006019</v>
      </c>
      <c r="H48" s="840">
        <v>548819</v>
      </c>
      <c r="I48" s="840">
        <v>253163</v>
      </c>
      <c r="J48" s="1192"/>
      <c r="K48" s="841">
        <f>(D48-E48)/E48</f>
        <v>0.41552682532134683</v>
      </c>
      <c r="L48" s="841">
        <f>(D48-I48)/I48</f>
        <v>7.9833335864308372</v>
      </c>
      <c r="M48" s="1135"/>
      <c r="N48" s="1031"/>
      <c r="O48" s="1031"/>
      <c r="P48" s="1031"/>
      <c r="Q48" s="1031"/>
      <c r="R48" s="1031"/>
      <c r="S48" s="1031"/>
    </row>
    <row r="49" spans="2:20" s="498" customFormat="1" ht="15" x14ac:dyDescent="0.35">
      <c r="C49" s="676"/>
      <c r="D49" s="1035"/>
      <c r="E49" s="1035"/>
      <c r="F49" s="1035"/>
      <c r="G49" s="1035"/>
      <c r="H49" s="1035"/>
      <c r="L49" s="1133"/>
      <c r="M49" s="1135"/>
      <c r="N49" s="1135"/>
      <c r="O49" s="1031"/>
      <c r="P49" s="1031"/>
      <c r="Q49" s="1031"/>
      <c r="R49" s="1031"/>
      <c r="S49" s="1031"/>
      <c r="T49" s="1031"/>
    </row>
    <row r="50" spans="2:20" s="498" customFormat="1" ht="15" x14ac:dyDescent="0.35">
      <c r="B50" s="1138" t="s">
        <v>617</v>
      </c>
      <c r="C50" s="1110"/>
      <c r="D50" s="1111"/>
      <c r="E50" s="1111"/>
      <c r="F50" s="1111"/>
      <c r="G50" s="1111"/>
      <c r="H50" s="1111"/>
      <c r="I50" s="1111"/>
      <c r="J50" s="1112"/>
      <c r="K50" s="1112"/>
      <c r="L50" s="1112"/>
      <c r="M50" s="1135"/>
      <c r="N50" s="1135"/>
      <c r="O50" s="1031"/>
      <c r="P50" s="1031"/>
      <c r="Q50" s="1031"/>
    </row>
    <row r="51" spans="2:20" s="498" customFormat="1" ht="15" x14ac:dyDescent="0.35">
      <c r="B51" s="1130"/>
      <c r="C51" s="1139"/>
      <c r="D51" s="1130"/>
      <c r="E51" s="1130"/>
      <c r="F51" s="1130"/>
      <c r="G51" s="1130"/>
      <c r="H51" s="1130"/>
      <c r="I51" s="1130"/>
      <c r="J51" s="1133"/>
      <c r="K51" s="1133"/>
      <c r="L51" s="1133"/>
      <c r="M51" s="1135"/>
      <c r="N51" s="1135"/>
      <c r="O51" s="1031"/>
      <c r="P51" s="1031"/>
      <c r="Q51" s="1031"/>
      <c r="R51" s="1031"/>
      <c r="S51" s="1031"/>
      <c r="T51" s="1031"/>
    </row>
    <row r="52" spans="2:20" s="498" customFormat="1" ht="42" customHeight="1" x14ac:dyDescent="0.35">
      <c r="B52" s="1626" t="s">
        <v>477</v>
      </c>
      <c r="C52" s="1627" t="s">
        <v>458</v>
      </c>
      <c r="D52" s="1096" t="s">
        <v>459</v>
      </c>
      <c r="E52" s="682" t="s">
        <v>460</v>
      </c>
      <c r="F52" s="682" t="s">
        <v>461</v>
      </c>
      <c r="G52" s="682" t="s">
        <v>462</v>
      </c>
      <c r="H52" s="682" t="s">
        <v>463</v>
      </c>
      <c r="I52" s="682" t="s">
        <v>464</v>
      </c>
      <c r="J52" s="682" t="s">
        <v>465</v>
      </c>
      <c r="K52" s="1125" t="str">
        <f>K116</f>
        <v>Performance against prior year</v>
      </c>
      <c r="L52" s="1140"/>
      <c r="N52" s="1135"/>
      <c r="O52" s="1031"/>
      <c r="P52" s="1031"/>
      <c r="Q52" s="1031"/>
      <c r="R52" s="1031"/>
    </row>
    <row r="53" spans="2:20" s="498" customFormat="1" ht="15" x14ac:dyDescent="0.35">
      <c r="B53" s="1626"/>
      <c r="C53" s="1627"/>
      <c r="D53" s="1223" t="s">
        <v>467</v>
      </c>
      <c r="E53" s="682" t="s">
        <v>467</v>
      </c>
      <c r="F53" s="682" t="s">
        <v>467</v>
      </c>
      <c r="G53" s="682" t="s">
        <v>467</v>
      </c>
      <c r="H53" s="682" t="s">
        <v>467</v>
      </c>
      <c r="I53" s="682" t="s">
        <v>467</v>
      </c>
      <c r="J53" s="682" t="s">
        <v>467</v>
      </c>
      <c r="K53" s="682" t="s">
        <v>467</v>
      </c>
      <c r="L53" s="1140"/>
      <c r="O53" s="1031"/>
      <c r="P53" s="1031"/>
      <c r="Q53" s="1032"/>
      <c r="R53" s="1031"/>
    </row>
    <row r="54" spans="2:20" s="498" customFormat="1" ht="15" x14ac:dyDescent="0.35">
      <c r="B54" s="524" t="s">
        <v>478</v>
      </c>
      <c r="C54" s="1254" t="s">
        <v>479</v>
      </c>
      <c r="D54" s="1263">
        <v>1086212</v>
      </c>
      <c r="E54" s="1258">
        <v>1126108</v>
      </c>
      <c r="F54" s="852">
        <v>1206508</v>
      </c>
      <c r="G54" s="852">
        <v>1203247</v>
      </c>
      <c r="H54" s="852">
        <v>1270929</v>
      </c>
      <c r="I54" s="852">
        <v>1199807</v>
      </c>
      <c r="J54" s="852">
        <v>1231348</v>
      </c>
      <c r="K54" s="841">
        <f>(D54-E54)/E54</f>
        <v>-3.5428218252600993E-2</v>
      </c>
      <c r="L54" s="1140"/>
      <c r="O54" s="1031"/>
      <c r="P54" s="1031"/>
      <c r="Q54" s="1032"/>
      <c r="R54" s="1031"/>
    </row>
    <row r="55" spans="2:20" s="498" customFormat="1" ht="15" x14ac:dyDescent="0.35">
      <c r="B55" s="524" t="s">
        <v>480</v>
      </c>
      <c r="C55" s="1255" t="s">
        <v>481</v>
      </c>
      <c r="D55" s="1269">
        <f>D54/D169</f>
        <v>11.466399239945106</v>
      </c>
      <c r="E55" s="1259">
        <f>E54/E169</f>
        <v>11.505455882953942</v>
      </c>
      <c r="F55" s="1002">
        <f t="shared" ref="F55:J55" si="20">F54/F169</f>
        <v>11.491209021467894</v>
      </c>
      <c r="G55" s="1002">
        <f t="shared" si="20"/>
        <v>11.61816619353842</v>
      </c>
      <c r="H55" s="1002">
        <f t="shared" si="20"/>
        <v>12.001671451235174</v>
      </c>
      <c r="I55" s="1002">
        <f t="shared" si="20"/>
        <v>11.739335055379437</v>
      </c>
      <c r="J55" s="1002">
        <f t="shared" si="20"/>
        <v>11.326906448348819</v>
      </c>
      <c r="K55" s="841">
        <f>(D55-E55)/E55</f>
        <v>-3.39461933591878E-3</v>
      </c>
      <c r="L55" s="1140"/>
      <c r="O55" s="1031"/>
      <c r="P55" s="1031"/>
      <c r="Q55" s="1032"/>
      <c r="R55" s="1031"/>
    </row>
    <row r="56" spans="2:20" s="498" customFormat="1" ht="15" x14ac:dyDescent="0.35">
      <c r="B56" s="525" t="s">
        <v>498</v>
      </c>
      <c r="C56" s="1255" t="s">
        <v>618</v>
      </c>
      <c r="D56" s="1264">
        <v>0.68200000000000005</v>
      </c>
      <c r="E56" s="1260">
        <v>0.71</v>
      </c>
      <c r="F56" s="854">
        <v>0.56559999999999999</v>
      </c>
      <c r="G56" s="854">
        <v>0.41170000000000001</v>
      </c>
      <c r="H56" s="854">
        <v>0.32319999999999999</v>
      </c>
      <c r="I56" s="854">
        <v>0.2898</v>
      </c>
      <c r="J56" s="854">
        <v>0.25879999999999997</v>
      </c>
      <c r="K56" s="841">
        <f>(D56-E56)/E56</f>
        <v>-3.9436619718309737E-2</v>
      </c>
      <c r="L56" s="1141"/>
      <c r="M56" s="1031"/>
      <c r="P56" s="1031"/>
    </row>
    <row r="57" spans="2:20" s="498" customFormat="1" ht="15" x14ac:dyDescent="0.35">
      <c r="B57" s="1210" t="s">
        <v>619</v>
      </c>
      <c r="C57" s="1256" t="s">
        <v>618</v>
      </c>
      <c r="D57" s="1264">
        <f>(D79/1000)/D54</f>
        <v>0.2535221094132637</v>
      </c>
      <c r="E57" s="1261">
        <f>(E79/1000)/E54</f>
        <v>0.27015511343494586</v>
      </c>
      <c r="F57" s="1211">
        <f t="shared" ref="F57:J57" si="21">(F79/1000)/F54</f>
        <v>0.22705164822777801</v>
      </c>
      <c r="G57" s="1211">
        <f t="shared" si="21"/>
        <v>0.16390630020270153</v>
      </c>
      <c r="H57" s="1211">
        <f t="shared" si="21"/>
        <v>0.12655888409187296</v>
      </c>
      <c r="I57" s="1211">
        <f t="shared" si="21"/>
        <v>0.11508994696647043</v>
      </c>
      <c r="J57" s="1211">
        <f t="shared" si="21"/>
        <v>0.10501547978313198</v>
      </c>
      <c r="K57" s="1212">
        <f>(D57-E57)/E57</f>
        <v>-6.1568347939812133E-2</v>
      </c>
      <c r="L57" s="1141"/>
      <c r="M57" s="1031"/>
      <c r="P57" s="1031"/>
    </row>
    <row r="58" spans="2:20" s="498" customFormat="1" ht="15" x14ac:dyDescent="0.35">
      <c r="B58" s="1200" t="s">
        <v>620</v>
      </c>
      <c r="C58" s="1257" t="s">
        <v>618</v>
      </c>
      <c r="D58" s="1264">
        <v>0.77739999999999998</v>
      </c>
      <c r="E58" s="1262"/>
      <c r="F58" s="1192"/>
      <c r="G58" s="1192"/>
      <c r="H58" s="1192"/>
      <c r="I58" s="1192"/>
      <c r="J58" s="1192"/>
      <c r="K58" s="1192"/>
      <c r="L58" s="1141"/>
      <c r="M58" s="1031"/>
      <c r="P58" s="1031"/>
    </row>
    <row r="59" spans="2:20" s="498" customFormat="1" ht="15" x14ac:dyDescent="0.35">
      <c r="B59" s="1107"/>
      <c r="C59" s="1139"/>
      <c r="D59" s="1175"/>
      <c r="E59" s="1175"/>
      <c r="F59" s="1175"/>
      <c r="G59" s="1175"/>
      <c r="H59" s="1175"/>
      <c r="I59" s="1175"/>
      <c r="J59" s="1175"/>
      <c r="K59" s="1140"/>
      <c r="L59" s="1140"/>
      <c r="M59" s="1031"/>
      <c r="P59" s="1031"/>
      <c r="Q59" s="1031"/>
      <c r="R59" s="1032"/>
    </row>
    <row r="60" spans="2:20" s="498" customFormat="1" ht="45.65" customHeight="1" x14ac:dyDescent="0.35">
      <c r="B60" s="1142" t="s">
        <v>621</v>
      </c>
      <c r="C60" s="1143" t="s">
        <v>458</v>
      </c>
      <c r="D60" s="1096" t="s">
        <v>459</v>
      </c>
      <c r="E60" s="682" t="s">
        <v>460</v>
      </c>
      <c r="F60" s="682" t="s">
        <v>461</v>
      </c>
      <c r="G60" s="682" t="s">
        <v>462</v>
      </c>
      <c r="H60" s="682" t="s">
        <v>463</v>
      </c>
      <c r="I60" s="682" t="s">
        <v>464</v>
      </c>
      <c r="J60" s="682" t="s">
        <v>465</v>
      </c>
      <c r="K60" s="1125" t="s">
        <v>580</v>
      </c>
      <c r="L60" s="1125" t="s">
        <v>581</v>
      </c>
      <c r="N60" s="1031"/>
      <c r="O60" s="1031"/>
      <c r="P60" s="1031"/>
      <c r="Q60" s="1032"/>
    </row>
    <row r="61" spans="2:20" s="498" customFormat="1" ht="21.65" hidden="1" customHeight="1" x14ac:dyDescent="0.35">
      <c r="B61" s="526" t="s">
        <v>622</v>
      </c>
      <c r="C61" s="525" t="s">
        <v>623</v>
      </c>
      <c r="D61" s="861"/>
      <c r="E61" s="839"/>
      <c r="F61" s="839"/>
      <c r="G61" s="839">
        <f t="shared" ref="G61:J69" si="22">G71*0.0036</f>
        <v>4268204.0532</v>
      </c>
      <c r="H61" s="839">
        <f t="shared" si="22"/>
        <v>4470500.8043999998</v>
      </c>
      <c r="I61" s="857">
        <f t="shared" si="22"/>
        <v>4206015.5760000004</v>
      </c>
      <c r="J61" s="857">
        <f t="shared" si="22"/>
        <v>4327636.1075999998</v>
      </c>
      <c r="K61" s="864">
        <f t="shared" ref="K61:K69" si="23">(G61-H61)/H61</f>
        <v>-4.5251474063239927E-2</v>
      </c>
      <c r="L61" s="864">
        <f t="shared" ref="L61:L69" si="24">(G61-J61)/J61</f>
        <v>-1.3733145052475158E-2</v>
      </c>
      <c r="N61" s="1031"/>
      <c r="O61" s="1031"/>
      <c r="P61" s="1031"/>
      <c r="Q61" s="1032"/>
    </row>
    <row r="62" spans="2:20" s="498" customFormat="1" ht="21.65" hidden="1" customHeight="1" x14ac:dyDescent="0.35">
      <c r="B62" s="526" t="s">
        <v>624</v>
      </c>
      <c r="C62" s="525" t="s">
        <v>623</v>
      </c>
      <c r="D62" s="861"/>
      <c r="E62" s="839"/>
      <c r="F62" s="839"/>
      <c r="G62" s="839">
        <f t="shared" si="22"/>
        <v>1721541.3336</v>
      </c>
      <c r="H62" s="839">
        <f t="shared" si="22"/>
        <v>1791069.2963999999</v>
      </c>
      <c r="I62" s="857">
        <f t="shared" si="22"/>
        <v>1702765.4904</v>
      </c>
      <c r="J62" s="857">
        <f t="shared" si="22"/>
        <v>1785969.0684</v>
      </c>
      <c r="K62" s="864">
        <f t="shared" si="23"/>
        <v>-3.8819247775476448E-2</v>
      </c>
      <c r="L62" s="864">
        <f t="shared" si="24"/>
        <v>-3.6074384456007962E-2</v>
      </c>
      <c r="N62" s="1031"/>
      <c r="O62" s="1031"/>
      <c r="P62" s="1031"/>
      <c r="Q62" s="1032"/>
    </row>
    <row r="63" spans="2:20" s="498" customFormat="1" ht="21.65" hidden="1" customHeight="1" x14ac:dyDescent="0.35">
      <c r="B63" s="526" t="s">
        <v>625</v>
      </c>
      <c r="C63" s="525" t="s">
        <v>623</v>
      </c>
      <c r="D63" s="861"/>
      <c r="E63" s="839"/>
      <c r="F63" s="839"/>
      <c r="G63" s="839">
        <f t="shared" si="22"/>
        <v>2327419.2456</v>
      </c>
      <c r="H63" s="839">
        <f t="shared" si="22"/>
        <v>2448951.6348000001</v>
      </c>
      <c r="I63" s="857">
        <f t="shared" si="22"/>
        <v>2318962.1831999999</v>
      </c>
      <c r="J63" s="857">
        <f t="shared" si="22"/>
        <v>2347654.9608</v>
      </c>
      <c r="K63" s="864">
        <f t="shared" si="23"/>
        <v>-4.9626292113329279E-2</v>
      </c>
      <c r="L63" s="864">
        <f t="shared" si="24"/>
        <v>-8.6195439866105124E-3</v>
      </c>
      <c r="N63" s="1031"/>
      <c r="O63" s="1031"/>
      <c r="P63" s="1031"/>
      <c r="Q63" s="1032"/>
    </row>
    <row r="64" spans="2:20" s="498" customFormat="1" ht="21.65" hidden="1" customHeight="1" x14ac:dyDescent="0.35">
      <c r="B64" s="526" t="s">
        <v>626</v>
      </c>
      <c r="C64" s="525" t="s">
        <v>623</v>
      </c>
      <c r="D64" s="861"/>
      <c r="E64" s="839"/>
      <c r="F64" s="839"/>
      <c r="G64" s="839">
        <f>986948044*0.0036</f>
        <v>3553012.9583999999</v>
      </c>
      <c r="H64" s="839">
        <f t="shared" si="22"/>
        <v>3996294.0551999998</v>
      </c>
      <c r="I64" s="857">
        <f t="shared" si="22"/>
        <v>3822197.0831999998</v>
      </c>
      <c r="J64" s="857">
        <f t="shared" si="22"/>
        <v>3967335.4751999998</v>
      </c>
      <c r="K64" s="864">
        <f t="shared" si="23"/>
        <v>-0.11092304286847965</v>
      </c>
      <c r="L64" s="864">
        <f t="shared" si="24"/>
        <v>-0.10443344642517613</v>
      </c>
      <c r="N64" s="1031"/>
      <c r="O64" s="1031"/>
      <c r="P64" s="1031"/>
      <c r="Q64" s="1032"/>
    </row>
    <row r="65" spans="2:19" s="498" customFormat="1" ht="21.65" hidden="1" customHeight="1" x14ac:dyDescent="0.35">
      <c r="B65" s="858" t="s">
        <v>627</v>
      </c>
      <c r="C65" s="525" t="s">
        <v>623</v>
      </c>
      <c r="D65" s="861"/>
      <c r="E65" s="839"/>
      <c r="F65" s="839"/>
      <c r="G65" s="839">
        <f>G75*0.0036</f>
        <v>2570328.7667999999</v>
      </c>
      <c r="H65" s="839">
        <f t="shared" si="22"/>
        <v>2750570.1540000001</v>
      </c>
      <c r="I65" s="857">
        <f t="shared" si="22"/>
        <v>2614205.5559999999</v>
      </c>
      <c r="J65" s="857">
        <f t="shared" si="22"/>
        <v>2626174.5263999999</v>
      </c>
      <c r="K65" s="864">
        <f t="shared" si="23"/>
        <v>-6.5528736628616899E-2</v>
      </c>
      <c r="L65" s="864">
        <f t="shared" si="24"/>
        <v>-2.1265060276307764E-2</v>
      </c>
      <c r="N65" s="1031"/>
      <c r="O65" s="1031"/>
      <c r="P65" s="1031"/>
      <c r="Q65" s="1032"/>
    </row>
    <row r="66" spans="2:19" s="498" customFormat="1" ht="21.65" hidden="1" customHeight="1" x14ac:dyDescent="0.35">
      <c r="B66" s="858" t="s">
        <v>628</v>
      </c>
      <c r="C66" s="525" t="s">
        <v>623</v>
      </c>
      <c r="D66" s="861"/>
      <c r="E66" s="839"/>
      <c r="F66" s="839"/>
      <c r="G66" s="839">
        <f>G76*0.0036</f>
        <v>914445.36359999992</v>
      </c>
      <c r="H66" s="839">
        <f t="shared" si="22"/>
        <v>1105419.2760000001</v>
      </c>
      <c r="I66" s="857">
        <f t="shared" si="22"/>
        <v>1090881.6443999999</v>
      </c>
      <c r="J66" s="857">
        <f t="shared" si="22"/>
        <v>1224831.9095999999</v>
      </c>
      <c r="K66" s="864">
        <f t="shared" si="23"/>
        <v>-0.17276151822776803</v>
      </c>
      <c r="L66" s="864">
        <f t="shared" si="24"/>
        <v>-0.25341154452888531</v>
      </c>
      <c r="N66" s="1031"/>
      <c r="O66" s="1031"/>
      <c r="P66" s="1031"/>
      <c r="Q66" s="1032"/>
    </row>
    <row r="67" spans="2:19" s="498" customFormat="1" ht="21.65" hidden="1" customHeight="1" x14ac:dyDescent="0.35">
      <c r="B67" s="859" t="s">
        <v>629</v>
      </c>
      <c r="C67" s="525" t="s">
        <v>623</v>
      </c>
      <c r="D67" s="861"/>
      <c r="E67" s="839"/>
      <c r="F67" s="839"/>
      <c r="G67" s="839">
        <f>G77*0.0036</f>
        <v>124706.22839999999</v>
      </c>
      <c r="H67" s="839">
        <f t="shared" si="22"/>
        <v>109428.0696</v>
      </c>
      <c r="I67" s="857">
        <f t="shared" si="22"/>
        <v>108413.298</v>
      </c>
      <c r="J67" s="857">
        <f t="shared" si="22"/>
        <v>116329.0392</v>
      </c>
      <c r="K67" s="864">
        <f t="shared" si="23"/>
        <v>0.13961827944006783</v>
      </c>
      <c r="L67" s="864">
        <f t="shared" si="24"/>
        <v>7.201288051212576E-2</v>
      </c>
      <c r="N67" s="1031"/>
      <c r="O67" s="1031"/>
      <c r="P67" s="1031"/>
      <c r="Q67" s="1032"/>
    </row>
    <row r="68" spans="2:19" s="498" customFormat="1" ht="38.9" hidden="1" customHeight="1" x14ac:dyDescent="0.35">
      <c r="B68" s="859" t="s">
        <v>630</v>
      </c>
      <c r="C68" s="525" t="s">
        <v>623</v>
      </c>
      <c r="D68" s="861"/>
      <c r="E68" s="839"/>
      <c r="F68" s="839"/>
      <c r="G68" s="839">
        <f>G78*0.0036</f>
        <v>12216.3228</v>
      </c>
      <c r="H68" s="839">
        <f t="shared" si="22"/>
        <v>30876.5556</v>
      </c>
      <c r="I68" s="839">
        <f t="shared" si="22"/>
        <v>8696.5848000000005</v>
      </c>
      <c r="J68" s="839" t="s">
        <v>631</v>
      </c>
      <c r="K68" s="864">
        <f t="shared" si="23"/>
        <v>-0.60434956028579812</v>
      </c>
      <c r="L68" s="864" t="e">
        <f t="shared" si="24"/>
        <v>#VALUE!</v>
      </c>
      <c r="N68" s="1032"/>
      <c r="O68" s="1032"/>
      <c r="P68" s="1032"/>
      <c r="Q68" s="1032"/>
    </row>
    <row r="69" spans="2:19" s="498" customFormat="1" ht="21.65" hidden="1" customHeight="1" x14ac:dyDescent="0.35">
      <c r="B69" s="525" t="s">
        <v>632</v>
      </c>
      <c r="C69" s="525" t="s">
        <v>623</v>
      </c>
      <c r="D69" s="861"/>
      <c r="E69" s="839"/>
      <c r="F69" s="839"/>
      <c r="G69" s="839">
        <f>G79*0.0036</f>
        <v>709991.15039999993</v>
      </c>
      <c r="H69" s="839">
        <f t="shared" si="22"/>
        <v>579050.48159999994</v>
      </c>
      <c r="I69" s="857">
        <f t="shared" si="22"/>
        <v>497108.60639999999</v>
      </c>
      <c r="J69" s="857">
        <f t="shared" si="22"/>
        <v>465518.16359999997</v>
      </c>
      <c r="K69" s="864">
        <f t="shared" si="23"/>
        <v>0.22612997132511148</v>
      </c>
      <c r="L69" s="864">
        <f t="shared" si="24"/>
        <v>0.52516315348344866</v>
      </c>
      <c r="N69" s="1032"/>
      <c r="O69" s="1032"/>
      <c r="P69" s="1032"/>
      <c r="Q69" s="1032"/>
    </row>
    <row r="70" spans="2:19" s="498" customFormat="1" ht="21.65" hidden="1" customHeight="1" x14ac:dyDescent="0.3">
      <c r="B70" s="522"/>
      <c r="C70" s="867"/>
      <c r="D70" s="1144"/>
      <c r="E70" s="1144"/>
      <c r="F70" s="1144"/>
      <c r="G70" s="1144"/>
      <c r="H70" s="1144"/>
      <c r="I70" s="1144"/>
      <c r="J70" s="1144"/>
      <c r="K70" s="894"/>
      <c r="L70" s="894"/>
      <c r="M70" s="1145"/>
      <c r="Q70" s="1032"/>
    </row>
    <row r="71" spans="2:19" s="498" customFormat="1" ht="13.5" hidden="1" customHeight="1" x14ac:dyDescent="0.35">
      <c r="B71" s="526" t="s">
        <v>622</v>
      </c>
      <c r="C71" s="525" t="s">
        <v>496</v>
      </c>
      <c r="D71" s="861"/>
      <c r="E71" s="839"/>
      <c r="F71" s="839"/>
      <c r="G71" s="839">
        <v>1185612237</v>
      </c>
      <c r="H71" s="839">
        <v>1241805779</v>
      </c>
      <c r="I71" s="857">
        <v>1168337660</v>
      </c>
      <c r="J71" s="857">
        <v>1202121141</v>
      </c>
      <c r="K71" s="864">
        <f t="shared" ref="K71" si="25">(G71-H71)/H71</f>
        <v>-4.5251474063239962E-2</v>
      </c>
      <c r="L71" s="864">
        <f t="shared" ref="L71" si="26">(G71-J71)/J71</f>
        <v>-1.3733145052475207E-2</v>
      </c>
      <c r="M71" s="1032"/>
      <c r="O71" s="691"/>
      <c r="P71" s="1146"/>
    </row>
    <row r="72" spans="2:19" s="498" customFormat="1" ht="15" x14ac:dyDescent="0.35">
      <c r="B72" s="526" t="s">
        <v>633</v>
      </c>
      <c r="C72" s="525" t="s">
        <v>496</v>
      </c>
      <c r="D72" s="856">
        <v>403615133.51999998</v>
      </c>
      <c r="E72" s="839">
        <v>426655760</v>
      </c>
      <c r="F72" s="839">
        <v>482611803</v>
      </c>
      <c r="G72" s="839">
        <v>478205926</v>
      </c>
      <c r="H72" s="839">
        <v>497519249</v>
      </c>
      <c r="I72" s="857">
        <v>472990414</v>
      </c>
      <c r="J72" s="857">
        <v>496102519</v>
      </c>
      <c r="K72" s="841">
        <f>(D72-E72)/E72</f>
        <v>-5.4002848760321479E-2</v>
      </c>
      <c r="L72" s="841">
        <f>(D72-J72)/J72</f>
        <v>-0.18642796990111637</v>
      </c>
      <c r="M72" s="1032"/>
      <c r="O72" s="691"/>
      <c r="P72" s="1146"/>
    </row>
    <row r="73" spans="2:19" s="498" customFormat="1" ht="15" x14ac:dyDescent="0.35">
      <c r="B73" s="526" t="s">
        <v>634</v>
      </c>
      <c r="C73" s="525" t="s">
        <v>496</v>
      </c>
      <c r="D73" s="856">
        <v>646239396.22000003</v>
      </c>
      <c r="E73" s="839">
        <v>646833093</v>
      </c>
      <c r="F73" s="839">
        <v>675822873</v>
      </c>
      <c r="G73" s="839">
        <v>646505346</v>
      </c>
      <c r="H73" s="839">
        <v>680264343</v>
      </c>
      <c r="I73" s="857">
        <v>644156162</v>
      </c>
      <c r="J73" s="857">
        <v>652126378</v>
      </c>
      <c r="K73" s="841">
        <f>(D73-E73)/E73</f>
        <v>-9.1785158555573684E-4</v>
      </c>
      <c r="L73" s="841">
        <f t="shared" ref="L73:L82" si="27">(D73-J73)/J73</f>
        <v>-9.0273633740360244E-3</v>
      </c>
      <c r="M73" s="1032"/>
      <c r="O73" s="691"/>
      <c r="P73" s="1146"/>
    </row>
    <row r="74" spans="2:19" s="498" customFormat="1" ht="15" x14ac:dyDescent="0.35">
      <c r="B74" s="526" t="s">
        <v>495</v>
      </c>
      <c r="C74" s="525" t="s">
        <v>496</v>
      </c>
      <c r="D74" s="856">
        <v>810832872</v>
      </c>
      <c r="E74" s="1177">
        <v>821883787.86999989</v>
      </c>
      <c r="F74" s="1177">
        <v>932568705</v>
      </c>
      <c r="G74" s="1244">
        <v>1006026586</v>
      </c>
      <c r="H74" s="1177">
        <v>1110081682</v>
      </c>
      <c r="I74" s="1178">
        <v>1061721412</v>
      </c>
      <c r="J74" s="1178">
        <v>1102037632</v>
      </c>
      <c r="K74" s="841">
        <f t="shared" ref="K74:K80" si="28">(D74-E74)/E74</f>
        <v>-1.3445837517539458E-2</v>
      </c>
      <c r="L74" s="841">
        <f t="shared" si="27"/>
        <v>-0.26424211981900814</v>
      </c>
      <c r="M74" s="1032"/>
      <c r="O74" s="691"/>
      <c r="P74" s="1146"/>
    </row>
    <row r="75" spans="2:19" s="498" customFormat="1" ht="15.5" x14ac:dyDescent="0.35">
      <c r="B75" s="858" t="s">
        <v>635</v>
      </c>
      <c r="C75" s="525" t="s">
        <v>496</v>
      </c>
      <c r="D75" s="856">
        <v>686086980.33000004</v>
      </c>
      <c r="E75" s="839">
        <v>698345825</v>
      </c>
      <c r="F75" s="839">
        <v>729293134</v>
      </c>
      <c r="G75" s="839">
        <v>713980213</v>
      </c>
      <c r="H75" s="839">
        <v>764047265</v>
      </c>
      <c r="I75" s="857">
        <v>726168210</v>
      </c>
      <c r="J75" s="857">
        <v>729492924</v>
      </c>
      <c r="K75" s="841">
        <f t="shared" si="28"/>
        <v>-1.755411750331572E-2</v>
      </c>
      <c r="L75" s="841">
        <f t="shared" si="27"/>
        <v>-5.9501528036754417E-2</v>
      </c>
      <c r="M75" s="1032"/>
      <c r="N75" s="1999"/>
      <c r="O75" s="1999"/>
      <c r="P75" s="1999"/>
      <c r="Q75" s="2000"/>
    </row>
    <row r="76" spans="2:19" s="498" customFormat="1" ht="15.5" x14ac:dyDescent="0.35">
      <c r="B76" s="858" t="s">
        <v>636</v>
      </c>
      <c r="C76" s="525" t="s">
        <v>496</v>
      </c>
      <c r="D76" s="856">
        <v>93618637.699999988</v>
      </c>
      <c r="E76" s="839">
        <v>92862048.769999981</v>
      </c>
      <c r="F76" s="839">
        <v>172286436</v>
      </c>
      <c r="G76" s="839">
        <v>254012601</v>
      </c>
      <c r="H76" s="839">
        <v>307060910</v>
      </c>
      <c r="I76" s="857">
        <v>303022679</v>
      </c>
      <c r="J76" s="857">
        <v>340231086</v>
      </c>
      <c r="K76" s="841">
        <f>(D76-E76)/E76</f>
        <v>8.1474503311241911E-3</v>
      </c>
      <c r="L76" s="841">
        <f t="shared" si="27"/>
        <v>-0.72483808343133005</v>
      </c>
      <c r="M76" s="1032"/>
      <c r="N76" s="2001"/>
      <c r="O76" s="2001"/>
      <c r="P76" s="1999"/>
      <c r="Q76" s="2000"/>
      <c r="S76" s="687"/>
    </row>
    <row r="77" spans="2:19" s="498" customFormat="1" ht="15.5" x14ac:dyDescent="0.35">
      <c r="B77" s="859" t="s">
        <v>637</v>
      </c>
      <c r="C77" s="525" t="s">
        <v>496</v>
      </c>
      <c r="D77" s="856">
        <v>29934921.469999999</v>
      </c>
      <c r="E77" s="839">
        <v>29446484</v>
      </c>
      <c r="F77" s="839">
        <v>27685923</v>
      </c>
      <c r="G77" s="839">
        <v>34640619</v>
      </c>
      <c r="H77" s="839">
        <v>30396686</v>
      </c>
      <c r="I77" s="857">
        <v>30114805</v>
      </c>
      <c r="J77" s="857">
        <v>32313622</v>
      </c>
      <c r="K77" s="841">
        <f t="shared" si="28"/>
        <v>1.6587293409970401E-2</v>
      </c>
      <c r="L77" s="841">
        <f>(D77-J77)/J77</f>
        <v>-7.3612934198462834E-2</v>
      </c>
      <c r="M77" s="1032"/>
      <c r="N77" s="1999"/>
      <c r="O77" s="1999"/>
      <c r="P77" s="1999"/>
      <c r="Q77" s="2000"/>
    </row>
    <row r="78" spans="2:19" s="498" customFormat="1" ht="36" customHeight="1" x14ac:dyDescent="0.35">
      <c r="B78" s="859" t="s">
        <v>638</v>
      </c>
      <c r="C78" s="525" t="s">
        <v>496</v>
      </c>
      <c r="D78" s="856">
        <v>1192332.45</v>
      </c>
      <c r="E78" s="839">
        <v>1229430</v>
      </c>
      <c r="F78" s="839">
        <v>3303212</v>
      </c>
      <c r="G78" s="839">
        <v>3393423</v>
      </c>
      <c r="H78" s="839">
        <v>8576821</v>
      </c>
      <c r="I78" s="857">
        <v>2415718</v>
      </c>
      <c r="J78" s="1243"/>
      <c r="K78" s="841">
        <f t="shared" si="28"/>
        <v>-3.0174593104121461E-2</v>
      </c>
      <c r="L78" s="841"/>
      <c r="M78" s="1032"/>
      <c r="N78" s="1999"/>
      <c r="O78" s="1999"/>
      <c r="P78" s="1999"/>
      <c r="Q78" s="2000"/>
    </row>
    <row r="79" spans="2:19" s="498" customFormat="1" ht="15.5" x14ac:dyDescent="0.35">
      <c r="B79" s="860" t="s">
        <v>497</v>
      </c>
      <c r="C79" s="525" t="s">
        <v>496</v>
      </c>
      <c r="D79" s="856">
        <v>275378757.50999999</v>
      </c>
      <c r="E79" s="861">
        <v>304223834.48000002</v>
      </c>
      <c r="F79" s="861">
        <v>273939630</v>
      </c>
      <c r="G79" s="861">
        <v>197219764</v>
      </c>
      <c r="H79" s="861">
        <v>160847356</v>
      </c>
      <c r="I79" s="861">
        <v>138085724</v>
      </c>
      <c r="J79" s="861">
        <v>129310601</v>
      </c>
      <c r="K79" s="841">
        <f t="shared" si="28"/>
        <v>-9.4815309324149402E-2</v>
      </c>
      <c r="L79" s="841">
        <f t="shared" si="27"/>
        <v>1.129591505881254</v>
      </c>
      <c r="M79" s="1032"/>
      <c r="N79" s="1999"/>
      <c r="O79" s="1999"/>
      <c r="P79" s="1999"/>
      <c r="Q79" s="2000"/>
    </row>
    <row r="80" spans="2:19" s="498" customFormat="1" ht="15.5" x14ac:dyDescent="0.35">
      <c r="B80" s="862" t="s">
        <v>639</v>
      </c>
      <c r="C80" s="525" t="s">
        <v>496</v>
      </c>
      <c r="D80" s="856">
        <v>268926924.44999999</v>
      </c>
      <c r="E80" s="839">
        <v>297631783.12</v>
      </c>
      <c r="F80" s="839">
        <v>267102053.56999999</v>
      </c>
      <c r="G80" s="839">
        <v>190405483.81999999</v>
      </c>
      <c r="H80" s="839">
        <v>157535140.99000001</v>
      </c>
      <c r="I80" s="857">
        <v>134840463.40000001</v>
      </c>
      <c r="J80" s="857">
        <v>125857368.5</v>
      </c>
      <c r="K80" s="841">
        <f t="shared" si="28"/>
        <v>-9.6444198160203581E-2</v>
      </c>
      <c r="L80" s="841">
        <f t="shared" si="27"/>
        <v>1.1367594734828734</v>
      </c>
      <c r="M80" s="1032"/>
      <c r="N80" s="1999"/>
      <c r="O80" s="1999"/>
      <c r="P80" s="1999"/>
      <c r="Q80" s="2000"/>
    </row>
    <row r="81" spans="1:20" s="498" customFormat="1" ht="15.5" x14ac:dyDescent="0.35">
      <c r="B81" s="862" t="s">
        <v>640</v>
      </c>
      <c r="C81" s="525" t="s">
        <v>496</v>
      </c>
      <c r="D81" s="856">
        <v>5959060</v>
      </c>
      <c r="E81" s="839">
        <v>6060826.3200000003</v>
      </c>
      <c r="F81" s="839">
        <v>6474521.7199999997</v>
      </c>
      <c r="G81" s="839">
        <v>6433507.0800000001</v>
      </c>
      <c r="H81" s="839">
        <v>3133736</v>
      </c>
      <c r="I81" s="857">
        <v>3105849</v>
      </c>
      <c r="J81" s="857">
        <v>3113854</v>
      </c>
      <c r="K81" s="841">
        <f>(D81-E81)/E81</f>
        <v>-1.6790832574129975E-2</v>
      </c>
      <c r="L81" s="841">
        <f t="shared" si="27"/>
        <v>0.91372492095005098</v>
      </c>
      <c r="M81" s="1032"/>
      <c r="N81" s="2001"/>
      <c r="O81" s="2001"/>
      <c r="P81" s="1999"/>
      <c r="Q81" s="2000"/>
    </row>
    <row r="82" spans="1:20" s="498" customFormat="1" ht="15.5" x14ac:dyDescent="0.35">
      <c r="B82" s="862" t="s">
        <v>641</v>
      </c>
      <c r="C82" s="525" t="s">
        <v>496</v>
      </c>
      <c r="D82" s="856">
        <v>492773.06</v>
      </c>
      <c r="E82" s="839">
        <v>531225.04</v>
      </c>
      <c r="F82" s="839">
        <v>363054.59</v>
      </c>
      <c r="G82" s="839">
        <v>380773.52</v>
      </c>
      <c r="H82" s="839">
        <v>178479.39</v>
      </c>
      <c r="I82" s="857">
        <v>139411.24</v>
      </c>
      <c r="J82" s="857">
        <v>339378.87</v>
      </c>
      <c r="K82" s="841">
        <f>(D82-E82)/E82</f>
        <v>-7.2383598483987191E-2</v>
      </c>
      <c r="L82" s="841">
        <f t="shared" si="27"/>
        <v>0.45198509264881459</v>
      </c>
      <c r="M82" s="1032"/>
      <c r="N82" s="1999"/>
      <c r="O82" s="1999"/>
      <c r="P82" s="1999"/>
      <c r="Q82" s="2000"/>
    </row>
    <row r="83" spans="1:20" s="498" customFormat="1" ht="15.5" x14ac:dyDescent="0.35">
      <c r="B83" s="862" t="s">
        <v>642</v>
      </c>
      <c r="C83" s="525" t="s">
        <v>496</v>
      </c>
      <c r="D83" s="856">
        <v>0</v>
      </c>
      <c r="E83" s="839">
        <v>0</v>
      </c>
      <c r="F83" s="839">
        <v>0</v>
      </c>
      <c r="G83" s="839">
        <v>0</v>
      </c>
      <c r="H83" s="839">
        <v>0</v>
      </c>
      <c r="I83" s="839">
        <v>0</v>
      </c>
      <c r="J83" s="839">
        <v>0</v>
      </c>
      <c r="K83" s="841"/>
      <c r="L83" s="841"/>
      <c r="M83" s="1032"/>
      <c r="N83" s="1999"/>
      <c r="O83" s="1999"/>
      <c r="P83" s="1999"/>
      <c r="Q83" s="1999"/>
    </row>
    <row r="84" spans="1:20" s="1147" customFormat="1" ht="15.5" x14ac:dyDescent="0.35">
      <c r="D84" s="1270"/>
      <c r="E84" s="1176"/>
      <c r="F84" s="1176"/>
      <c r="G84" s="1176"/>
      <c r="H84" s="1176"/>
      <c r="I84" s="1176"/>
      <c r="J84" s="1176"/>
      <c r="K84" s="1148"/>
      <c r="L84" s="1148"/>
      <c r="N84" s="1999"/>
      <c r="O84" s="1999"/>
      <c r="P84" s="1999"/>
      <c r="Q84" s="1999"/>
    </row>
    <row r="85" spans="1:20" s="498" customFormat="1" ht="15.5" x14ac:dyDescent="0.35">
      <c r="B85" s="1442"/>
      <c r="C85" s="676"/>
      <c r="D85" s="685"/>
      <c r="E85" s="685"/>
      <c r="F85" s="685"/>
      <c r="K85" s="1149"/>
      <c r="L85" s="1149"/>
      <c r="N85" s="1999"/>
      <c r="O85" s="1999"/>
      <c r="P85" s="1999"/>
      <c r="Q85" s="1999"/>
    </row>
    <row r="86" spans="1:20" s="498" customFormat="1" ht="15.5" x14ac:dyDescent="0.35">
      <c r="B86" s="1138" t="s">
        <v>643</v>
      </c>
      <c r="C86" s="1110"/>
      <c r="D86" s="1111"/>
      <c r="E86" s="1111"/>
      <c r="F86" s="1111"/>
      <c r="G86" s="1111"/>
      <c r="H86" s="1111"/>
      <c r="I86" s="1111"/>
      <c r="J86" s="1621"/>
      <c r="K86" s="1621"/>
      <c r="L86" s="1621"/>
      <c r="N86" s="1999"/>
      <c r="O86" s="1999"/>
      <c r="P86" s="1999"/>
      <c r="Q86" s="2002"/>
      <c r="R86" s="1032"/>
      <c r="S86" s="1032"/>
      <c r="T86" s="1032"/>
    </row>
    <row r="87" spans="1:20" s="498" customFormat="1" ht="15" x14ac:dyDescent="0.35">
      <c r="B87" s="1150"/>
      <c r="C87" s="1151"/>
      <c r="D87" s="1152"/>
      <c r="E87" s="1153"/>
      <c r="F87" s="1153"/>
      <c r="G87" s="1153"/>
      <c r="H87" s="1153"/>
      <c r="I87" s="1154"/>
      <c r="J87" s="1154"/>
      <c r="K87" s="1154"/>
    </row>
    <row r="88" spans="1:20" s="498" customFormat="1" ht="46.4" customHeight="1" x14ac:dyDescent="0.35">
      <c r="B88" s="1155" t="s">
        <v>38</v>
      </c>
      <c r="C88" s="1077" t="s">
        <v>458</v>
      </c>
      <c r="D88" s="1096" t="s">
        <v>459</v>
      </c>
      <c r="E88" s="1097" t="s">
        <v>460</v>
      </c>
      <c r="F88" s="1097" t="s">
        <v>461</v>
      </c>
      <c r="G88" s="1097" t="s">
        <v>462</v>
      </c>
      <c r="H88" s="1097" t="s">
        <v>463</v>
      </c>
      <c r="I88" s="1098" t="s">
        <v>464</v>
      </c>
      <c r="J88" s="1098" t="s">
        <v>465</v>
      </c>
      <c r="K88" s="1125" t="str">
        <f>K18</f>
        <v>Performance against prior year</v>
      </c>
      <c r="L88" s="1125" t="str">
        <f>L18</f>
        <v>Performance against 2019/20 baseline</v>
      </c>
    </row>
    <row r="89" spans="1:20" s="498" customFormat="1" ht="15" x14ac:dyDescent="0.35">
      <c r="B89" s="1156" t="s">
        <v>644</v>
      </c>
      <c r="C89" s="928"/>
      <c r="D89" s="863"/>
      <c r="E89" s="863"/>
      <c r="F89" s="863"/>
      <c r="G89" s="863"/>
      <c r="H89" s="863"/>
      <c r="I89" s="863"/>
      <c r="J89" s="863"/>
      <c r="K89" s="864"/>
      <c r="L89" s="864"/>
    </row>
    <row r="90" spans="1:20" s="498" customFormat="1" ht="16.5" x14ac:dyDescent="0.35">
      <c r="B90" s="1445" t="s">
        <v>645</v>
      </c>
      <c r="C90" s="867" t="s">
        <v>503</v>
      </c>
      <c r="D90" s="865">
        <v>1388442</v>
      </c>
      <c r="E90" s="839">
        <v>1441490</v>
      </c>
      <c r="F90" s="839">
        <v>1610140</v>
      </c>
      <c r="G90" s="839">
        <v>1712853</v>
      </c>
      <c r="H90" s="839">
        <v>1815369</v>
      </c>
      <c r="I90" s="866">
        <v>1729882</v>
      </c>
      <c r="J90" s="866">
        <v>1837437</v>
      </c>
      <c r="K90" s="1092">
        <f>(D90-E90)/E90</f>
        <v>-3.6800810272703939E-2</v>
      </c>
      <c r="L90" s="1092">
        <f>(D90-J90)/J90</f>
        <v>-0.24435939844468138</v>
      </c>
      <c r="M90" s="624"/>
    </row>
    <row r="91" spans="1:20" s="498" customFormat="1" ht="16.5" x14ac:dyDescent="0.35">
      <c r="B91" s="1444" t="s">
        <v>646</v>
      </c>
      <c r="C91" s="867" t="s">
        <v>503</v>
      </c>
      <c r="D91" s="868">
        <v>0</v>
      </c>
      <c r="E91" s="869">
        <v>0</v>
      </c>
      <c r="F91" s="869">
        <v>0</v>
      </c>
      <c r="G91" s="869">
        <v>0</v>
      </c>
      <c r="H91" s="869">
        <v>0</v>
      </c>
      <c r="I91" s="870">
        <v>0</v>
      </c>
      <c r="J91" s="870">
        <v>0</v>
      </c>
      <c r="K91" s="1092"/>
      <c r="L91" s="1092"/>
    </row>
    <row r="92" spans="1:20" s="498" customFormat="1" ht="16.5" x14ac:dyDescent="0.35">
      <c r="B92" s="1444" t="s">
        <v>647</v>
      </c>
      <c r="C92" s="867" t="s">
        <v>503</v>
      </c>
      <c r="D92" s="865">
        <v>107959</v>
      </c>
      <c r="E92" s="869">
        <v>87682</v>
      </c>
      <c r="F92" s="869">
        <v>72649</v>
      </c>
      <c r="G92" s="869">
        <v>92696</v>
      </c>
      <c r="H92" s="869">
        <v>91118</v>
      </c>
      <c r="I92" s="871">
        <v>70306</v>
      </c>
      <c r="J92" s="871">
        <v>66119</v>
      </c>
      <c r="K92" s="1092">
        <f>(D92-E92)/E92</f>
        <v>0.2312561301065213</v>
      </c>
      <c r="L92" s="1092">
        <f t="shared" ref="L92:L96" si="29">(D92-J92)/J92</f>
        <v>0.63279843917784595</v>
      </c>
    </row>
    <row r="93" spans="1:20" s="498" customFormat="1" ht="16.5" x14ac:dyDescent="0.35">
      <c r="B93" s="1446" t="s">
        <v>648</v>
      </c>
      <c r="C93" s="867" t="s">
        <v>503</v>
      </c>
      <c r="D93" s="865">
        <v>1794</v>
      </c>
      <c r="E93" s="872">
        <v>1078</v>
      </c>
      <c r="F93" s="872">
        <v>430</v>
      </c>
      <c r="G93" s="872">
        <v>603</v>
      </c>
      <c r="H93" s="1100"/>
      <c r="I93" s="1100"/>
      <c r="J93" s="1100"/>
      <c r="K93" s="1092"/>
      <c r="L93" s="1092"/>
    </row>
    <row r="94" spans="1:20" s="498" customFormat="1" ht="16.5" x14ac:dyDescent="0.35">
      <c r="B94" s="873" t="s">
        <v>502</v>
      </c>
      <c r="C94" s="927" t="s">
        <v>649</v>
      </c>
      <c r="D94" s="1080">
        <v>1498195</v>
      </c>
      <c r="E94" s="874">
        <v>1530250</v>
      </c>
      <c r="F94" s="874">
        <v>1683219</v>
      </c>
      <c r="G94" s="874">
        <v>1806152</v>
      </c>
      <c r="H94" s="874">
        <v>1906487</v>
      </c>
      <c r="I94" s="874">
        <v>1800189</v>
      </c>
      <c r="J94" s="874">
        <v>1903556</v>
      </c>
      <c r="K94" s="1092">
        <f>(D94-E94)/E94</f>
        <v>-2.0947557588629311E-2</v>
      </c>
      <c r="L94" s="1092">
        <f t="shared" si="29"/>
        <v>-0.2129493432291984</v>
      </c>
    </row>
    <row r="95" spans="1:20" s="498" customFormat="1" ht="15" x14ac:dyDescent="0.35">
      <c r="B95" s="1156" t="s">
        <v>650</v>
      </c>
      <c r="C95" s="928"/>
      <c r="D95" s="875"/>
      <c r="E95" s="863"/>
      <c r="F95" s="863"/>
      <c r="G95" s="863"/>
      <c r="H95" s="863"/>
      <c r="I95" s="863"/>
      <c r="J95" s="863"/>
      <c r="K95" s="1092"/>
      <c r="L95" s="1092"/>
    </row>
    <row r="96" spans="1:20" s="498" customFormat="1" ht="16.5" x14ac:dyDescent="0.35">
      <c r="A96" s="1442"/>
      <c r="B96" s="1619" t="s">
        <v>504</v>
      </c>
      <c r="C96" s="867" t="s">
        <v>649</v>
      </c>
      <c r="D96" s="875">
        <v>57929</v>
      </c>
      <c r="E96" s="869">
        <v>33966</v>
      </c>
      <c r="F96" s="869">
        <v>36477</v>
      </c>
      <c r="G96" s="869">
        <v>48993</v>
      </c>
      <c r="H96" s="869">
        <v>77174</v>
      </c>
      <c r="I96" s="871">
        <v>65976</v>
      </c>
      <c r="J96" s="871">
        <v>72194</v>
      </c>
      <c r="K96" s="1092">
        <f>(D96-E96)/E96</f>
        <v>0.7054996172643232</v>
      </c>
      <c r="L96" s="1092">
        <f t="shared" si="29"/>
        <v>-0.19759259772280244</v>
      </c>
    </row>
    <row r="97" spans="1:19" s="498" customFormat="1" ht="20.9" customHeight="1" x14ac:dyDescent="0.35">
      <c r="A97" s="1442"/>
      <c r="B97" s="1444" t="s">
        <v>1550</v>
      </c>
      <c r="C97" s="867" t="s">
        <v>503</v>
      </c>
      <c r="D97" s="1081">
        <v>983393</v>
      </c>
      <c r="E97" s="871">
        <v>946147</v>
      </c>
      <c r="F97" s="871">
        <v>1150406</v>
      </c>
      <c r="G97" s="871">
        <v>1281490</v>
      </c>
      <c r="H97" s="871">
        <v>1296848</v>
      </c>
      <c r="I97" s="871">
        <v>1413729</v>
      </c>
      <c r="J97" s="871">
        <v>1294571</v>
      </c>
      <c r="K97" s="1092">
        <f>(D97-E97)/E97</f>
        <v>3.9365975900150819E-2</v>
      </c>
      <c r="L97" s="1092">
        <f>(D97-J97)/J97</f>
        <v>-0.24037152075861423</v>
      </c>
    </row>
    <row r="98" spans="1:19" s="498" customFormat="1" ht="16.5" x14ac:dyDescent="0.35">
      <c r="A98" s="1442"/>
      <c r="B98" s="1444" t="s">
        <v>1549</v>
      </c>
      <c r="C98" s="867" t="s">
        <v>503</v>
      </c>
      <c r="D98" s="1081">
        <v>498</v>
      </c>
      <c r="E98" s="871">
        <v>3638</v>
      </c>
      <c r="F98" s="1443"/>
      <c r="G98" s="1443"/>
      <c r="H98" s="1443"/>
      <c r="I98" s="1443"/>
      <c r="J98" s="1443"/>
      <c r="K98" s="1092"/>
      <c r="L98" s="1092"/>
    </row>
    <row r="99" spans="1:19" s="498" customFormat="1" ht="20.9" customHeight="1" x14ac:dyDescent="0.35">
      <c r="A99" s="1442"/>
      <c r="B99" s="1444" t="s">
        <v>1548</v>
      </c>
      <c r="C99" s="867" t="s">
        <v>503</v>
      </c>
      <c r="D99" s="1081">
        <v>8650</v>
      </c>
      <c r="E99" s="871">
        <v>16965</v>
      </c>
      <c r="F99" s="871">
        <v>10805</v>
      </c>
      <c r="G99" s="871">
        <v>11393</v>
      </c>
      <c r="H99" s="871">
        <v>10331</v>
      </c>
      <c r="I99" s="871">
        <v>7413</v>
      </c>
      <c r="J99" s="871">
        <v>7795</v>
      </c>
      <c r="K99" s="1092"/>
      <c r="L99" s="1092"/>
    </row>
    <row r="100" spans="1:19" s="498" customFormat="1" ht="16.5" x14ac:dyDescent="0.35">
      <c r="A100" s="1442"/>
      <c r="B100" s="867" t="s">
        <v>652</v>
      </c>
      <c r="C100" s="867" t="s">
        <v>653</v>
      </c>
      <c r="D100" s="875">
        <v>1050470.52</v>
      </c>
      <c r="E100" s="869">
        <v>1000716</v>
      </c>
      <c r="F100" s="869">
        <v>1197825</v>
      </c>
      <c r="G100" s="869">
        <v>1342455</v>
      </c>
      <c r="H100" s="869">
        <v>1385139</v>
      </c>
      <c r="I100" s="871">
        <v>1487696</v>
      </c>
      <c r="J100" s="871">
        <v>1375207</v>
      </c>
      <c r="K100" s="1092">
        <f>(D100-E100)/E100</f>
        <v>4.9718921252383315E-2</v>
      </c>
      <c r="L100" s="1092">
        <f>(D100-J100)/J100</f>
        <v>-0.23613643618742486</v>
      </c>
    </row>
    <row r="101" spans="1:19" s="498" customFormat="1" ht="15" x14ac:dyDescent="0.35">
      <c r="B101" s="886"/>
      <c r="C101" s="929"/>
      <c r="D101" s="1180"/>
      <c r="E101" s="1179"/>
      <c r="F101" s="1179"/>
      <c r="G101" s="876"/>
      <c r="H101" s="876"/>
      <c r="I101" s="876"/>
      <c r="J101" s="876"/>
      <c r="K101" s="877"/>
      <c r="L101" s="878"/>
    </row>
    <row r="102" spans="1:19" s="498" customFormat="1" ht="15" x14ac:dyDescent="0.35">
      <c r="B102" s="1156" t="s">
        <v>654</v>
      </c>
      <c r="C102" s="928"/>
      <c r="D102" s="875"/>
      <c r="E102" s="879"/>
      <c r="F102" s="879"/>
      <c r="G102" s="879"/>
      <c r="H102" s="879"/>
      <c r="I102" s="863"/>
      <c r="J102" s="863"/>
      <c r="K102" s="880"/>
      <c r="L102" s="881"/>
    </row>
    <row r="103" spans="1:19" s="498" customFormat="1" ht="15" x14ac:dyDescent="0.35">
      <c r="B103" s="527" t="s">
        <v>508</v>
      </c>
      <c r="C103" s="930" t="s">
        <v>509</v>
      </c>
      <c r="D103" s="922">
        <v>248.59800000000001</v>
      </c>
      <c r="E103" s="882">
        <v>346</v>
      </c>
      <c r="F103" s="882">
        <v>264</v>
      </c>
      <c r="G103" s="882">
        <v>242</v>
      </c>
      <c r="H103" s="882">
        <v>220</v>
      </c>
      <c r="I103" s="882">
        <v>112</v>
      </c>
      <c r="J103" s="882">
        <v>104</v>
      </c>
      <c r="K103" s="880"/>
      <c r="L103" s="883"/>
    </row>
    <row r="104" spans="1:19" s="498" customFormat="1" ht="15" x14ac:dyDescent="0.35">
      <c r="B104" s="1451" t="s">
        <v>1551</v>
      </c>
      <c r="C104" s="1452" t="s">
        <v>655</v>
      </c>
      <c r="D104" s="1453">
        <v>261.14506999999998</v>
      </c>
      <c r="E104" s="1454">
        <v>346.06516599999998</v>
      </c>
      <c r="F104" s="1443"/>
      <c r="G104" s="1443"/>
      <c r="H104" s="1443"/>
      <c r="I104" s="1443"/>
      <c r="J104" s="1443"/>
      <c r="K104" s="880"/>
      <c r="L104" s="883"/>
    </row>
    <row r="105" spans="1:19" s="498" customFormat="1" ht="15" x14ac:dyDescent="0.35">
      <c r="B105" s="527" t="s">
        <v>510</v>
      </c>
      <c r="C105" s="930" t="s">
        <v>494</v>
      </c>
      <c r="D105" s="853">
        <v>0.5</v>
      </c>
      <c r="E105" s="884">
        <v>0.91</v>
      </c>
      <c r="F105" s="884">
        <v>0.9</v>
      </c>
      <c r="G105" s="884">
        <v>0.75</v>
      </c>
      <c r="H105" s="884">
        <v>0.78</v>
      </c>
      <c r="I105" s="884">
        <v>0.8</v>
      </c>
      <c r="J105" s="884">
        <v>0.7</v>
      </c>
      <c r="K105" s="877"/>
      <c r="L105" s="885"/>
    </row>
    <row r="106" spans="1:19" s="498" customFormat="1" ht="15" x14ac:dyDescent="0.35">
      <c r="B106" s="886"/>
      <c r="C106" s="929"/>
      <c r="D106" s="887"/>
      <c r="E106" s="888"/>
      <c r="F106" s="888"/>
      <c r="G106" s="888"/>
      <c r="H106" s="888"/>
      <c r="I106" s="888"/>
      <c r="J106" s="888"/>
      <c r="K106" s="877"/>
      <c r="L106" s="885"/>
    </row>
    <row r="107" spans="1:19" s="498" customFormat="1" ht="15" x14ac:dyDescent="0.35">
      <c r="B107" s="1156" t="s">
        <v>656</v>
      </c>
      <c r="C107" s="928"/>
      <c r="D107" s="875"/>
      <c r="E107" s="863"/>
      <c r="F107" s="863"/>
      <c r="G107" s="863"/>
      <c r="H107" s="863"/>
      <c r="I107" s="863"/>
      <c r="J107" s="863"/>
      <c r="K107" s="864"/>
      <c r="L107" s="864"/>
    </row>
    <row r="108" spans="1:19" s="498" customFormat="1" ht="16.5" x14ac:dyDescent="0.3">
      <c r="A108" s="822" t="s">
        <v>582</v>
      </c>
      <c r="B108" s="529" t="s">
        <v>505</v>
      </c>
      <c r="C108" s="930" t="s">
        <v>657</v>
      </c>
      <c r="D108" s="875">
        <v>1437.97389</v>
      </c>
      <c r="E108" s="889">
        <v>1491.569</v>
      </c>
      <c r="F108" s="889">
        <v>1646</v>
      </c>
      <c r="G108" s="889">
        <v>1757</v>
      </c>
      <c r="H108" s="889">
        <v>1829</v>
      </c>
      <c r="I108" s="889">
        <v>1734</v>
      </c>
      <c r="J108" s="889">
        <v>1831.3620000000001</v>
      </c>
      <c r="K108" s="1092">
        <f>(D108-E108)/E108</f>
        <v>-3.5932035326558795E-2</v>
      </c>
      <c r="L108" s="1092">
        <f>(D108-J108)/J108</f>
        <v>-0.21480630809201026</v>
      </c>
      <c r="O108" s="690"/>
      <c r="P108" s="690"/>
      <c r="Q108" s="690"/>
      <c r="R108" s="690"/>
      <c r="S108" s="690"/>
    </row>
    <row r="109" spans="1:19" s="498" customFormat="1" ht="16.5" x14ac:dyDescent="0.35">
      <c r="B109" s="523" t="s">
        <v>507</v>
      </c>
      <c r="C109" s="1441" t="s">
        <v>658</v>
      </c>
      <c r="D109" s="1368">
        <v>326</v>
      </c>
      <c r="E109" s="890">
        <v>344</v>
      </c>
      <c r="F109" s="890">
        <v>397</v>
      </c>
      <c r="G109" s="890">
        <v>408</v>
      </c>
      <c r="H109" s="890">
        <v>436</v>
      </c>
      <c r="I109" s="890">
        <v>414</v>
      </c>
      <c r="J109" s="871">
        <v>470</v>
      </c>
      <c r="K109" s="1092">
        <f>(D109-E109)/E109</f>
        <v>-5.232558139534884E-2</v>
      </c>
      <c r="L109" s="1092">
        <f t="shared" ref="L109:L110" si="30">(D109-J109)/J109</f>
        <v>-0.30638297872340425</v>
      </c>
    </row>
    <row r="110" spans="1:19" s="498" customFormat="1" ht="15" x14ac:dyDescent="0.35">
      <c r="B110" s="523" t="s">
        <v>659</v>
      </c>
      <c r="C110" s="1441" t="s">
        <v>494</v>
      </c>
      <c r="D110" s="1447">
        <f>D109/D108</f>
        <v>0.22670787158729286</v>
      </c>
      <c r="E110" s="891">
        <v>0.23</v>
      </c>
      <c r="F110" s="891">
        <v>0.24</v>
      </c>
      <c r="G110" s="891">
        <v>0.23</v>
      </c>
      <c r="H110" s="891">
        <v>0.24</v>
      </c>
      <c r="I110" s="891">
        <v>0.24</v>
      </c>
      <c r="J110" s="892">
        <v>0.26</v>
      </c>
      <c r="K110" s="1092">
        <f>(D110-E110)/E110</f>
        <v>-1.4313601794378919E-2</v>
      </c>
      <c r="L110" s="1092">
        <f t="shared" si="30"/>
        <v>-0.12804664774118135</v>
      </c>
    </row>
    <row r="111" spans="1:19" s="1099" customFormat="1" ht="16.5" x14ac:dyDescent="0.35">
      <c r="B111" s="1074" t="s">
        <v>660</v>
      </c>
      <c r="C111" s="1075" t="s">
        <v>661</v>
      </c>
      <c r="D111" s="875">
        <f>D108/D171</f>
        <v>464.91234723569352</v>
      </c>
      <c r="E111" s="1370">
        <f>E108/E171</f>
        <v>429.84697406340052</v>
      </c>
      <c r="F111" s="1370">
        <f t="shared" ref="F111:J111" si="31">F108/F171</f>
        <v>421.61885245901641</v>
      </c>
      <c r="G111" s="1370">
        <f t="shared" si="31"/>
        <v>418.23375386812666</v>
      </c>
      <c r="H111" s="1370">
        <f t="shared" si="31"/>
        <v>484.11858125992586</v>
      </c>
      <c r="I111" s="1370">
        <f t="shared" si="31"/>
        <v>442.12136664966852</v>
      </c>
      <c r="J111" s="1370">
        <f t="shared" si="31"/>
        <v>439.17553956834536</v>
      </c>
      <c r="K111" s="498"/>
      <c r="L111" s="498"/>
      <c r="N111" s="1157"/>
    </row>
    <row r="112" spans="1:19" s="1099" customFormat="1" ht="15" x14ac:dyDescent="0.35">
      <c r="B112" s="1252" t="s">
        <v>662</v>
      </c>
      <c r="C112" s="1168" t="s">
        <v>663</v>
      </c>
      <c r="D112" s="875">
        <v>12</v>
      </c>
      <c r="E112" s="542">
        <v>12</v>
      </c>
      <c r="F112" s="1100"/>
      <c r="G112" s="1100"/>
      <c r="H112" s="1100"/>
      <c r="I112" s="1100"/>
      <c r="J112" s="1100"/>
      <c r="K112" s="498"/>
      <c r="L112" s="498"/>
      <c r="N112" s="1157"/>
    </row>
    <row r="113" spans="1:14" s="1099" customFormat="1" ht="15" x14ac:dyDescent="0.35">
      <c r="B113" s="1253" t="s">
        <v>664</v>
      </c>
      <c r="C113" s="1076" t="s">
        <v>663</v>
      </c>
      <c r="D113" s="1368">
        <v>33</v>
      </c>
      <c r="E113" s="1369">
        <v>36</v>
      </c>
      <c r="F113" s="1100"/>
      <c r="G113" s="1100"/>
      <c r="H113" s="1100"/>
      <c r="I113" s="1100"/>
      <c r="J113" s="1100"/>
      <c r="K113" s="498"/>
      <c r="L113" s="498"/>
      <c r="N113" s="1157"/>
    </row>
    <row r="114" spans="1:14" s="1099" customFormat="1" ht="15" x14ac:dyDescent="0.35">
      <c r="B114" s="1252" t="s">
        <v>665</v>
      </c>
      <c r="C114" s="1076" t="s">
        <v>494</v>
      </c>
      <c r="D114" s="853">
        <f>D112/D113</f>
        <v>0.36363636363636365</v>
      </c>
      <c r="E114" s="1182">
        <f>E112/E113</f>
        <v>0.33333333333333331</v>
      </c>
      <c r="F114" s="1181"/>
      <c r="G114" s="1100"/>
      <c r="H114" s="1100"/>
      <c r="I114" s="1100"/>
      <c r="J114" s="1100"/>
      <c r="K114" s="498"/>
      <c r="L114" s="498"/>
      <c r="N114" s="1157"/>
    </row>
    <row r="115" spans="1:14" s="498" customFormat="1" ht="15" x14ac:dyDescent="0.35">
      <c r="D115" s="685"/>
      <c r="E115" s="685"/>
      <c r="F115" s="685"/>
      <c r="G115" s="685"/>
      <c r="H115" s="685"/>
      <c r="I115" s="685"/>
      <c r="J115" s="685"/>
    </row>
    <row r="116" spans="1:14" s="498" customFormat="1" ht="47.15" customHeight="1" x14ac:dyDescent="0.35">
      <c r="B116" s="1155" t="s">
        <v>170</v>
      </c>
      <c r="C116" s="1077" t="s">
        <v>458</v>
      </c>
      <c r="D116" s="1096" t="s">
        <v>459</v>
      </c>
      <c r="E116" s="1097" t="s">
        <v>460</v>
      </c>
      <c r="F116" s="1097" t="s">
        <v>461</v>
      </c>
      <c r="G116" s="1097" t="s">
        <v>462</v>
      </c>
      <c r="H116" s="1097" t="s">
        <v>463</v>
      </c>
      <c r="I116" s="1098" t="s">
        <v>464</v>
      </c>
      <c r="J116" s="1098" t="s">
        <v>465</v>
      </c>
      <c r="K116" s="1125" t="str">
        <f>K88</f>
        <v>Performance against prior year</v>
      </c>
      <c r="L116" s="1125" t="str">
        <f>L88</f>
        <v>Performance against 2019/20 baseline</v>
      </c>
    </row>
    <row r="117" spans="1:14" s="498" customFormat="1" ht="15" x14ac:dyDescent="0.35">
      <c r="B117" s="1158" t="s">
        <v>666</v>
      </c>
      <c r="C117" s="933"/>
      <c r="D117" s="893"/>
      <c r="E117" s="893"/>
      <c r="F117" s="893"/>
      <c r="G117" s="893"/>
      <c r="H117" s="893"/>
      <c r="I117" s="893"/>
      <c r="J117" s="893"/>
      <c r="K117" s="894"/>
      <c r="L117" s="895"/>
    </row>
    <row r="118" spans="1:14" s="498" customFormat="1" ht="15" x14ac:dyDescent="0.35">
      <c r="B118" s="1248" t="s">
        <v>667</v>
      </c>
      <c r="C118" s="860" t="s">
        <v>512</v>
      </c>
      <c r="D118" s="896">
        <v>38132.75</v>
      </c>
      <c r="E118" s="897">
        <v>34735</v>
      </c>
      <c r="F118" s="897">
        <v>39340</v>
      </c>
      <c r="G118" s="897">
        <v>38492</v>
      </c>
      <c r="H118" s="897">
        <v>45130</v>
      </c>
      <c r="I118" s="897">
        <v>40994</v>
      </c>
      <c r="J118" s="898">
        <v>39991</v>
      </c>
      <c r="K118" s="1092">
        <f>(D118-E118)/E118</f>
        <v>9.7819202533467681E-2</v>
      </c>
      <c r="L118" s="1092">
        <f>(D118-J118)/J118</f>
        <v>-4.6466705008626943E-2</v>
      </c>
    </row>
    <row r="119" spans="1:14" s="498" customFormat="1" ht="15" x14ac:dyDescent="0.35">
      <c r="B119" s="1051" t="s">
        <v>668</v>
      </c>
      <c r="C119" s="860" t="s">
        <v>512</v>
      </c>
      <c r="D119" s="896">
        <v>2424.69</v>
      </c>
      <c r="E119" s="840">
        <v>2700</v>
      </c>
      <c r="F119" s="840">
        <v>2955</v>
      </c>
      <c r="G119" s="840">
        <v>3331</v>
      </c>
      <c r="H119" s="840">
        <v>2635</v>
      </c>
      <c r="I119" s="840">
        <v>2614</v>
      </c>
      <c r="J119" s="898">
        <v>2462</v>
      </c>
      <c r="K119" s="1092">
        <f t="shared" ref="K119:K123" si="32">(D119-E119)/E119</f>
        <v>-0.10196666666666665</v>
      </c>
      <c r="L119" s="1092">
        <f t="shared" ref="L119:L124" si="33">(D119-J119)/J119</f>
        <v>-1.5154346060113707E-2</v>
      </c>
    </row>
    <row r="120" spans="1:14" s="498" customFormat="1" ht="15" x14ac:dyDescent="0.3">
      <c r="A120" s="822" t="s">
        <v>582</v>
      </c>
      <c r="B120" s="522" t="s">
        <v>567</v>
      </c>
      <c r="C120" s="860" t="s">
        <v>512</v>
      </c>
      <c r="D120" s="896">
        <v>40557.440000000002</v>
      </c>
      <c r="E120" s="897">
        <v>37435</v>
      </c>
      <c r="F120" s="1245">
        <v>42295</v>
      </c>
      <c r="G120" s="897">
        <v>41823</v>
      </c>
      <c r="H120" s="897">
        <v>47765</v>
      </c>
      <c r="I120" s="897">
        <v>43608</v>
      </c>
      <c r="J120" s="898">
        <v>42453</v>
      </c>
      <c r="K120" s="1092">
        <f t="shared" si="32"/>
        <v>8.340964338186195E-2</v>
      </c>
      <c r="L120" s="1092">
        <f t="shared" si="33"/>
        <v>-4.4650790285727694E-2</v>
      </c>
      <c r="M120" s="690"/>
    </row>
    <row r="121" spans="1:14" s="498" customFormat="1" ht="15" x14ac:dyDescent="0.35">
      <c r="B121" s="1051" t="s">
        <v>669</v>
      </c>
      <c r="C121" s="860" t="s">
        <v>512</v>
      </c>
      <c r="D121" s="896">
        <v>5738.52</v>
      </c>
      <c r="E121" s="840">
        <v>4557</v>
      </c>
      <c r="F121" s="840">
        <v>10625</v>
      </c>
      <c r="G121" s="840">
        <v>7056</v>
      </c>
      <c r="H121" s="840">
        <v>8559</v>
      </c>
      <c r="I121" s="840">
        <v>7013</v>
      </c>
      <c r="J121" s="898">
        <v>7772</v>
      </c>
      <c r="K121" s="1092">
        <f t="shared" si="32"/>
        <v>0.25927583936800536</v>
      </c>
      <c r="L121" s="1092">
        <f t="shared" si="33"/>
        <v>-0.26164179104477608</v>
      </c>
    </row>
    <row r="122" spans="1:14" s="498" customFormat="1" ht="15" x14ac:dyDescent="0.35">
      <c r="B122" s="1051" t="s">
        <v>670</v>
      </c>
      <c r="C122" s="860" t="s">
        <v>512</v>
      </c>
      <c r="D122" s="896">
        <v>14023.87</v>
      </c>
      <c r="E122" s="842">
        <v>12923</v>
      </c>
      <c r="F122" s="842">
        <v>11837</v>
      </c>
      <c r="G122" s="842">
        <v>13158</v>
      </c>
      <c r="H122" s="842">
        <v>14686</v>
      </c>
      <c r="I122" s="842">
        <v>10896</v>
      </c>
      <c r="J122" s="866">
        <v>12948</v>
      </c>
      <c r="K122" s="1092">
        <f t="shared" si="32"/>
        <v>8.5186876112357868E-2</v>
      </c>
      <c r="L122" s="1092">
        <f t="shared" si="33"/>
        <v>8.3091597157862282E-2</v>
      </c>
    </row>
    <row r="123" spans="1:14" s="498" customFormat="1" ht="15" x14ac:dyDescent="0.35">
      <c r="B123" s="957" t="s">
        <v>671</v>
      </c>
      <c r="C123" s="860" t="s">
        <v>512</v>
      </c>
      <c r="D123" s="896">
        <v>19762.39</v>
      </c>
      <c r="E123" s="866">
        <f>E121+E122</f>
        <v>17480</v>
      </c>
      <c r="F123" s="866">
        <f t="shared" ref="F123:J123" si="34">F121+F122</f>
        <v>22462</v>
      </c>
      <c r="G123" s="866">
        <f t="shared" si="34"/>
        <v>20214</v>
      </c>
      <c r="H123" s="866">
        <f t="shared" si="34"/>
        <v>23245</v>
      </c>
      <c r="I123" s="866">
        <f t="shared" si="34"/>
        <v>17909</v>
      </c>
      <c r="J123" s="866">
        <f t="shared" si="34"/>
        <v>20720</v>
      </c>
      <c r="K123" s="1092">
        <f t="shared" si="32"/>
        <v>0.13057151029748282</v>
      </c>
      <c r="L123" s="1092">
        <f t="shared" si="33"/>
        <v>-4.6216698841698871E-2</v>
      </c>
    </row>
    <row r="124" spans="1:14" s="498" customFormat="1" ht="15" x14ac:dyDescent="0.35">
      <c r="B124" s="873" t="s">
        <v>516</v>
      </c>
      <c r="C124" s="1249" t="s">
        <v>512</v>
      </c>
      <c r="D124" s="899">
        <f>D120+D123</f>
        <v>60319.83</v>
      </c>
      <c r="E124" s="900">
        <v>54915</v>
      </c>
      <c r="F124" s="900">
        <v>64757</v>
      </c>
      <c r="G124" s="900">
        <v>62037</v>
      </c>
      <c r="H124" s="900">
        <v>71010</v>
      </c>
      <c r="I124" s="900">
        <v>61517</v>
      </c>
      <c r="J124" s="900">
        <v>63173</v>
      </c>
      <c r="K124" s="1092">
        <f>(D124-E124)/E124</f>
        <v>9.8421742693253239E-2</v>
      </c>
      <c r="L124" s="1092">
        <f t="shared" si="33"/>
        <v>-4.5164389850094161E-2</v>
      </c>
    </row>
    <row r="125" spans="1:14" s="498" customFormat="1" ht="15" x14ac:dyDescent="0.35">
      <c r="B125" s="1060"/>
      <c r="C125" s="932"/>
      <c r="D125" s="1183"/>
      <c r="E125" s="1183"/>
      <c r="F125" s="1183"/>
      <c r="G125" s="1183"/>
      <c r="H125" s="1183"/>
      <c r="I125" s="1183"/>
      <c r="J125" s="1183"/>
      <c r="K125" s="1159"/>
      <c r="L125" s="1159"/>
      <c r="M125" s="1159"/>
    </row>
    <row r="126" spans="1:14" s="498" customFormat="1" ht="15" x14ac:dyDescent="0.35">
      <c r="B126" s="1158" t="s">
        <v>672</v>
      </c>
      <c r="C126" s="933"/>
      <c r="D126" s="893"/>
      <c r="E126" s="893"/>
      <c r="F126" s="893"/>
      <c r="G126" s="893"/>
      <c r="H126" s="893"/>
      <c r="I126" s="893"/>
      <c r="J126" s="893"/>
      <c r="K126" s="1173"/>
      <c r="L126" s="923"/>
    </row>
    <row r="127" spans="1:14" s="498" customFormat="1" ht="15" x14ac:dyDescent="0.35">
      <c r="B127" s="1088" t="s">
        <v>673</v>
      </c>
      <c r="C127" s="525" t="s">
        <v>512</v>
      </c>
      <c r="D127" s="901">
        <v>511.28999999999996</v>
      </c>
      <c r="E127" s="1245">
        <v>500</v>
      </c>
      <c r="F127" s="1245">
        <v>532</v>
      </c>
      <c r="G127" s="1245">
        <v>1038</v>
      </c>
      <c r="H127" s="1245">
        <v>1002</v>
      </c>
      <c r="I127" s="1245">
        <v>1031</v>
      </c>
      <c r="J127" s="866">
        <v>718</v>
      </c>
      <c r="K127" s="1092">
        <f>(D127-E127)/E127</f>
        <v>2.2579999999999927E-2</v>
      </c>
      <c r="L127" s="1092">
        <f t="shared" ref="L127:L132" si="35">(D127-J127)/J127</f>
        <v>-0.28789693593314769</v>
      </c>
    </row>
    <row r="128" spans="1:14" s="498" customFormat="1" ht="15" x14ac:dyDescent="0.35">
      <c r="B128" s="1089" t="s">
        <v>674</v>
      </c>
      <c r="C128" s="525" t="s">
        <v>512</v>
      </c>
      <c r="D128" s="901">
        <v>35313.4</v>
      </c>
      <c r="E128" s="842">
        <v>33971</v>
      </c>
      <c r="F128" s="842">
        <v>36633</v>
      </c>
      <c r="G128" s="842">
        <v>36128</v>
      </c>
      <c r="H128" s="842">
        <v>37739</v>
      </c>
      <c r="I128" s="842">
        <v>22788</v>
      </c>
      <c r="J128" s="866">
        <v>18865</v>
      </c>
      <c r="K128" s="1092">
        <f>(D128-E128)/E128</f>
        <v>3.9516057814017881E-2</v>
      </c>
      <c r="L128" s="1092">
        <f t="shared" si="35"/>
        <v>0.87190034455340581</v>
      </c>
    </row>
    <row r="129" spans="2:13" s="498" customFormat="1" ht="15" x14ac:dyDescent="0.35">
      <c r="B129" s="1089" t="s">
        <v>514</v>
      </c>
      <c r="C129" s="525" t="s">
        <v>512</v>
      </c>
      <c r="D129" s="901">
        <v>1303.75</v>
      </c>
      <c r="E129" s="842">
        <v>1200</v>
      </c>
      <c r="F129" s="842">
        <v>1245</v>
      </c>
      <c r="G129" s="842">
        <v>1067</v>
      </c>
      <c r="H129" s="842">
        <v>2032</v>
      </c>
      <c r="I129" s="842">
        <v>990</v>
      </c>
      <c r="J129" s="866">
        <v>1652</v>
      </c>
      <c r="K129" s="1092">
        <f t="shared" ref="K129:K132" si="36">(D129-E129)/E129</f>
        <v>8.6458333333333331E-2</v>
      </c>
      <c r="L129" s="1092">
        <f t="shared" si="35"/>
        <v>-0.21080508474576271</v>
      </c>
    </row>
    <row r="130" spans="2:13" s="498" customFormat="1" ht="15" x14ac:dyDescent="0.35">
      <c r="B130" s="1089" t="s">
        <v>515</v>
      </c>
      <c r="C130" s="525" t="s">
        <v>512</v>
      </c>
      <c r="D130" s="901">
        <v>19695.72</v>
      </c>
      <c r="E130" s="842">
        <v>16403</v>
      </c>
      <c r="F130" s="842">
        <v>23045</v>
      </c>
      <c r="G130" s="842">
        <v>19504</v>
      </c>
      <c r="H130" s="842">
        <v>26148</v>
      </c>
      <c r="I130" s="842">
        <v>33557</v>
      </c>
      <c r="J130" s="866">
        <v>38968</v>
      </c>
      <c r="K130" s="1092">
        <f t="shared" si="36"/>
        <v>0.2007388892275804</v>
      </c>
      <c r="L130" s="1092">
        <f t="shared" si="35"/>
        <v>-0.4945668240607678</v>
      </c>
    </row>
    <row r="131" spans="2:13" s="498" customFormat="1" ht="15" x14ac:dyDescent="0.35">
      <c r="B131" s="1090" t="s">
        <v>513</v>
      </c>
      <c r="C131" s="525" t="s">
        <v>512</v>
      </c>
      <c r="D131" s="902">
        <v>3495.67</v>
      </c>
      <c r="E131" s="903">
        <v>2841</v>
      </c>
      <c r="F131" s="903">
        <v>3302</v>
      </c>
      <c r="G131" s="903">
        <v>4301</v>
      </c>
      <c r="H131" s="903">
        <v>4089</v>
      </c>
      <c r="I131" s="903">
        <v>3152</v>
      </c>
      <c r="J131" s="903">
        <v>2970</v>
      </c>
      <c r="K131" s="1092">
        <f t="shared" si="36"/>
        <v>0.23043646603308696</v>
      </c>
      <c r="L131" s="1092">
        <f t="shared" si="35"/>
        <v>0.17699326599326601</v>
      </c>
    </row>
    <row r="132" spans="2:13" s="498" customFormat="1" ht="13.5" customHeight="1" x14ac:dyDescent="0.35">
      <c r="B132" s="529" t="s">
        <v>516</v>
      </c>
      <c r="C132" s="931" t="s">
        <v>512</v>
      </c>
      <c r="D132" s="904">
        <v>60319.83</v>
      </c>
      <c r="E132" s="905">
        <v>54915</v>
      </c>
      <c r="F132" s="905">
        <v>64757</v>
      </c>
      <c r="G132" s="905">
        <v>62037</v>
      </c>
      <c r="H132" s="905">
        <v>71010</v>
      </c>
      <c r="I132" s="905">
        <v>61517</v>
      </c>
      <c r="J132" s="905">
        <v>63173</v>
      </c>
      <c r="K132" s="1092">
        <f t="shared" si="36"/>
        <v>9.8421742693253239E-2</v>
      </c>
      <c r="L132" s="1092">
        <f t="shared" si="35"/>
        <v>-4.5164389850094161E-2</v>
      </c>
    </row>
    <row r="133" spans="2:13" s="498" customFormat="1" ht="15" x14ac:dyDescent="0.35">
      <c r="C133" s="1160"/>
      <c r="D133" s="1189"/>
      <c r="E133" s="1189"/>
      <c r="F133" s="1189"/>
      <c r="G133" s="1189"/>
      <c r="H133" s="1189"/>
      <c r="I133" s="1184"/>
      <c r="J133" s="1184"/>
    </row>
    <row r="134" spans="2:13" s="498" customFormat="1" ht="25.5" customHeight="1" x14ac:dyDescent="0.35">
      <c r="B134" s="1155" t="s">
        <v>675</v>
      </c>
      <c r="C134" s="1077" t="s">
        <v>458</v>
      </c>
      <c r="D134" s="1096" t="s">
        <v>459</v>
      </c>
      <c r="E134" s="1097" t="s">
        <v>460</v>
      </c>
      <c r="F134" s="1097" t="s">
        <v>461</v>
      </c>
      <c r="G134" s="1097" t="s">
        <v>462</v>
      </c>
      <c r="H134" s="1097" t="s">
        <v>463</v>
      </c>
      <c r="I134" s="1098" t="s">
        <v>464</v>
      </c>
      <c r="J134" s="1098" t="s">
        <v>465</v>
      </c>
      <c r="K134" s="877"/>
      <c r="L134" s="877"/>
    </row>
    <row r="135" spans="2:13" s="498" customFormat="1" ht="15" x14ac:dyDescent="0.35">
      <c r="B135" s="1091" t="s">
        <v>676</v>
      </c>
      <c r="C135" s="906" t="s">
        <v>512</v>
      </c>
      <c r="D135" s="1185">
        <v>1046.33</v>
      </c>
      <c r="E135" s="1246">
        <v>967</v>
      </c>
      <c r="F135" s="1246">
        <v>1044</v>
      </c>
      <c r="G135" s="1246">
        <v>848</v>
      </c>
      <c r="H135" s="1246">
        <v>1744</v>
      </c>
      <c r="I135" s="1246">
        <v>866</v>
      </c>
      <c r="J135" s="907">
        <v>1468</v>
      </c>
      <c r="K135" s="877"/>
      <c r="L135" s="877"/>
    </row>
    <row r="136" spans="2:13" s="498" customFormat="1" ht="30" x14ac:dyDescent="0.35">
      <c r="B136" s="1091" t="s">
        <v>677</v>
      </c>
      <c r="C136" s="906" t="s">
        <v>512</v>
      </c>
      <c r="D136" s="1185">
        <v>4024.98</v>
      </c>
      <c r="E136" s="1246">
        <v>2566</v>
      </c>
      <c r="F136" s="1246">
        <v>7600</v>
      </c>
      <c r="G136" s="1246">
        <v>3869</v>
      </c>
      <c r="H136" s="1246">
        <v>6882</v>
      </c>
      <c r="I136" s="1246">
        <v>5355</v>
      </c>
      <c r="J136" s="907">
        <v>4990</v>
      </c>
      <c r="K136" s="877"/>
      <c r="L136" s="908"/>
    </row>
    <row r="137" spans="2:13" s="498" customFormat="1" ht="15" x14ac:dyDescent="0.35">
      <c r="B137" s="1091" t="s">
        <v>678</v>
      </c>
      <c r="C137" s="906" t="s">
        <v>512</v>
      </c>
      <c r="D137" s="1185">
        <v>2907.44</v>
      </c>
      <c r="E137" s="1246">
        <v>2234</v>
      </c>
      <c r="F137" s="1246">
        <v>1930</v>
      </c>
      <c r="G137" s="1246">
        <v>1993</v>
      </c>
      <c r="H137" s="1246">
        <v>2734</v>
      </c>
      <c r="I137" s="1246">
        <v>1533</v>
      </c>
      <c r="J137" s="907">
        <v>1334</v>
      </c>
      <c r="K137" s="877"/>
      <c r="L137" s="877"/>
    </row>
    <row r="138" spans="2:13" s="498" customFormat="1" ht="15" x14ac:dyDescent="0.35">
      <c r="B138" s="934" t="s">
        <v>679</v>
      </c>
      <c r="C138" s="909" t="s">
        <v>512</v>
      </c>
      <c r="D138" s="1186">
        <v>7978.75</v>
      </c>
      <c r="E138" s="1247">
        <v>5767</v>
      </c>
      <c r="F138" s="1247">
        <v>10574</v>
      </c>
      <c r="G138" s="1247">
        <v>6710</v>
      </c>
      <c r="H138" s="1247">
        <v>11360</v>
      </c>
      <c r="I138" s="1247">
        <v>7754</v>
      </c>
      <c r="J138" s="910">
        <v>7792</v>
      </c>
      <c r="K138" s="877"/>
      <c r="L138" s="877"/>
    </row>
    <row r="139" spans="2:13" s="498" customFormat="1" ht="15" x14ac:dyDescent="0.35">
      <c r="B139" s="1091" t="s">
        <v>680</v>
      </c>
      <c r="C139" s="906" t="s">
        <v>512</v>
      </c>
      <c r="D139" s="1185">
        <v>257.42</v>
      </c>
      <c r="E139" s="1246">
        <v>234</v>
      </c>
      <c r="F139" s="1246">
        <v>201</v>
      </c>
      <c r="G139" s="1246">
        <v>218</v>
      </c>
      <c r="H139" s="1246">
        <v>287</v>
      </c>
      <c r="I139" s="1246">
        <v>124</v>
      </c>
      <c r="J139" s="907">
        <v>184</v>
      </c>
      <c r="K139" s="877"/>
      <c r="L139" s="877"/>
    </row>
    <row r="140" spans="2:13" s="498" customFormat="1" ht="15" x14ac:dyDescent="0.35">
      <c r="B140" s="1091" t="s">
        <v>681</v>
      </c>
      <c r="C140" s="906" t="s">
        <v>512</v>
      </c>
      <c r="D140" s="1185">
        <v>15670.74</v>
      </c>
      <c r="E140" s="1246">
        <v>13836</v>
      </c>
      <c r="F140" s="1246">
        <v>15445</v>
      </c>
      <c r="G140" s="1246">
        <v>15635</v>
      </c>
      <c r="H140" s="1246">
        <v>19266</v>
      </c>
      <c r="I140" s="1246">
        <v>28202</v>
      </c>
      <c r="J140" s="907">
        <v>33978</v>
      </c>
      <c r="K140" s="877"/>
      <c r="L140" s="877"/>
    </row>
    <row r="141" spans="2:13" s="498" customFormat="1" ht="15" x14ac:dyDescent="0.35">
      <c r="B141" s="1091" t="s">
        <v>682</v>
      </c>
      <c r="C141" s="906" t="s">
        <v>512</v>
      </c>
      <c r="D141" s="1185">
        <v>588.23</v>
      </c>
      <c r="E141" s="1246">
        <v>607</v>
      </c>
      <c r="F141" s="1246">
        <v>1372</v>
      </c>
      <c r="G141" s="1246">
        <v>2308</v>
      </c>
      <c r="H141" s="1246">
        <v>1355</v>
      </c>
      <c r="I141" s="1246">
        <v>1619</v>
      </c>
      <c r="J141" s="907">
        <v>1636</v>
      </c>
      <c r="K141" s="877"/>
      <c r="L141" s="877"/>
    </row>
    <row r="142" spans="2:13" s="498" customFormat="1" ht="15" x14ac:dyDescent="0.35">
      <c r="B142" s="934" t="s">
        <v>683</v>
      </c>
      <c r="C142" s="909" t="s">
        <v>512</v>
      </c>
      <c r="D142" s="1186">
        <v>16516.39</v>
      </c>
      <c r="E142" s="1247">
        <v>14677</v>
      </c>
      <c r="F142" s="1247">
        <v>17018</v>
      </c>
      <c r="G142" s="1247">
        <v>18161</v>
      </c>
      <c r="H142" s="1247">
        <v>20908</v>
      </c>
      <c r="I142" s="1247">
        <v>29945</v>
      </c>
      <c r="J142" s="910">
        <v>35798</v>
      </c>
      <c r="K142" s="877"/>
      <c r="L142" s="877"/>
    </row>
    <row r="143" spans="2:13" s="498" customFormat="1" ht="15" x14ac:dyDescent="0.35">
      <c r="B143" s="934" t="s">
        <v>684</v>
      </c>
      <c r="C143" s="909" t="s">
        <v>512</v>
      </c>
      <c r="D143" s="1186">
        <v>24495.14</v>
      </c>
      <c r="E143" s="1247">
        <v>20444</v>
      </c>
      <c r="F143" s="1247">
        <v>27592</v>
      </c>
      <c r="G143" s="1247">
        <v>24871</v>
      </c>
      <c r="H143" s="1247">
        <v>32268</v>
      </c>
      <c r="I143" s="1247">
        <v>37699</v>
      </c>
      <c r="J143" s="910">
        <v>43590</v>
      </c>
      <c r="K143" s="877"/>
      <c r="L143" s="877"/>
    </row>
    <row r="144" spans="2:13" s="498" customFormat="1" ht="15" x14ac:dyDescent="0.35">
      <c r="B144" s="934" t="s">
        <v>685</v>
      </c>
      <c r="C144" s="909" t="s">
        <v>512</v>
      </c>
      <c r="D144" s="1186">
        <v>3495.67</v>
      </c>
      <c r="E144" s="1247">
        <v>2841</v>
      </c>
      <c r="F144" s="1247">
        <v>3302</v>
      </c>
      <c r="G144" s="1247">
        <v>4301</v>
      </c>
      <c r="H144" s="1247">
        <v>4089</v>
      </c>
      <c r="I144" s="1247">
        <v>3152</v>
      </c>
      <c r="J144" s="910">
        <v>2970</v>
      </c>
      <c r="K144" s="877"/>
      <c r="L144" s="877"/>
      <c r="M144" s="624"/>
    </row>
    <row r="145" spans="2:12" s="498" customFormat="1" ht="23.9" customHeight="1" x14ac:dyDescent="0.35">
      <c r="B145" s="1161" t="s">
        <v>686</v>
      </c>
      <c r="C145" s="1077" t="s">
        <v>458</v>
      </c>
      <c r="D145" s="1172" t="s">
        <v>459</v>
      </c>
      <c r="E145" s="1097" t="s">
        <v>460</v>
      </c>
      <c r="F145" s="1097" t="s">
        <v>461</v>
      </c>
      <c r="G145" s="1097" t="s">
        <v>462</v>
      </c>
      <c r="H145" s="1097" t="s">
        <v>463</v>
      </c>
      <c r="I145" s="1098" t="s">
        <v>464</v>
      </c>
      <c r="J145" s="1098" t="s">
        <v>465</v>
      </c>
      <c r="K145" s="877"/>
      <c r="L145" s="877"/>
    </row>
    <row r="146" spans="2:12" s="498" customFormat="1" ht="15" x14ac:dyDescent="0.35">
      <c r="B146" s="1085" t="s">
        <v>687</v>
      </c>
      <c r="C146" s="906" t="s">
        <v>512</v>
      </c>
      <c r="D146" s="1185">
        <v>99.289999999999992</v>
      </c>
      <c r="E146" s="912">
        <v>127</v>
      </c>
      <c r="F146" s="912">
        <v>119</v>
      </c>
      <c r="G146" s="912">
        <v>119</v>
      </c>
      <c r="H146" s="912">
        <v>109</v>
      </c>
      <c r="I146" s="912">
        <v>106</v>
      </c>
      <c r="J146" s="912">
        <v>125</v>
      </c>
      <c r="K146" s="877"/>
      <c r="L146" s="877"/>
    </row>
    <row r="147" spans="2:12" s="498" customFormat="1" ht="15" x14ac:dyDescent="0.35">
      <c r="B147" s="1085" t="s">
        <v>688</v>
      </c>
      <c r="C147" s="906" t="s">
        <v>512</v>
      </c>
      <c r="D147" s="1185">
        <v>412</v>
      </c>
      <c r="E147" s="1250">
        <v>373</v>
      </c>
      <c r="F147" s="1250">
        <v>413</v>
      </c>
      <c r="G147" s="1250">
        <v>920</v>
      </c>
      <c r="H147" s="1250">
        <v>893</v>
      </c>
      <c r="I147" s="1250">
        <v>925</v>
      </c>
      <c r="J147" s="912">
        <v>593</v>
      </c>
      <c r="K147" s="877"/>
      <c r="L147" s="877"/>
    </row>
    <row r="148" spans="2:12" s="498" customFormat="1" ht="15" x14ac:dyDescent="0.35">
      <c r="B148" s="1085" t="s">
        <v>689</v>
      </c>
      <c r="C148" s="906" t="s">
        <v>512</v>
      </c>
      <c r="D148" s="1185">
        <v>11684.35</v>
      </c>
      <c r="E148" s="1250">
        <v>11586</v>
      </c>
      <c r="F148" s="1250">
        <v>11769</v>
      </c>
      <c r="G148" s="1250">
        <v>13386</v>
      </c>
      <c r="H148" s="1250">
        <v>11775</v>
      </c>
      <c r="I148" s="1246">
        <v>10049</v>
      </c>
      <c r="J148" s="907">
        <v>12803</v>
      </c>
      <c r="K148" s="877"/>
      <c r="L148" s="877"/>
    </row>
    <row r="149" spans="2:12" s="498" customFormat="1" ht="15" x14ac:dyDescent="0.35">
      <c r="B149" s="1085" t="s">
        <v>690</v>
      </c>
      <c r="C149" s="906" t="s">
        <v>512</v>
      </c>
      <c r="D149" s="1185">
        <v>23629.05</v>
      </c>
      <c r="E149" s="1250">
        <v>22385</v>
      </c>
      <c r="F149" s="1250">
        <v>24864</v>
      </c>
      <c r="G149" s="1250">
        <v>22742</v>
      </c>
      <c r="H149" s="1250">
        <v>25964</v>
      </c>
      <c r="I149" s="1250">
        <v>12738</v>
      </c>
      <c r="J149" s="912">
        <v>6062</v>
      </c>
      <c r="K149" s="877"/>
      <c r="L149" s="877"/>
    </row>
    <row r="150" spans="2:12" s="498" customFormat="1" ht="15" x14ac:dyDescent="0.35">
      <c r="B150" s="935" t="s">
        <v>691</v>
      </c>
      <c r="C150" s="909" t="s">
        <v>512</v>
      </c>
      <c r="D150" s="1186">
        <v>35824.69</v>
      </c>
      <c r="E150" s="1247">
        <f>SUM(E146:E149)</f>
        <v>34471</v>
      </c>
      <c r="F150" s="1247">
        <f t="shared" ref="F150:G150" si="37">SUM(F146:F149)</f>
        <v>37165</v>
      </c>
      <c r="G150" s="1247">
        <f t="shared" si="37"/>
        <v>37167</v>
      </c>
      <c r="H150" s="1247">
        <f t="shared" ref="H150" si="38">SUM(H146:H149)</f>
        <v>38741</v>
      </c>
      <c r="I150" s="1247">
        <f t="shared" ref="I150" si="39">SUM(I146:I149)</f>
        <v>23818</v>
      </c>
      <c r="J150" s="1247">
        <f t="shared" ref="J150" si="40">SUM(J146:J149)</f>
        <v>19583</v>
      </c>
      <c r="K150" s="913"/>
      <c r="L150" s="913"/>
    </row>
    <row r="151" spans="2:12" s="498" customFormat="1" ht="15" x14ac:dyDescent="0.35">
      <c r="B151" s="911" t="s">
        <v>692</v>
      </c>
      <c r="C151" s="906" t="s">
        <v>494</v>
      </c>
      <c r="D151" s="1187">
        <v>0.5962659374701138</v>
      </c>
      <c r="E151" s="1251">
        <v>0.67</v>
      </c>
      <c r="F151" s="1251">
        <v>0.52900000000000003</v>
      </c>
      <c r="G151" s="1251">
        <v>0.66800000000000004</v>
      </c>
      <c r="H151" s="1251">
        <v>0.51100000000000001</v>
      </c>
      <c r="I151" s="1251">
        <v>0.56699999999999995</v>
      </c>
      <c r="J151" s="914">
        <v>0.624</v>
      </c>
      <c r="K151" s="885"/>
      <c r="L151" s="885"/>
    </row>
    <row r="152" spans="2:12" s="498" customFormat="1" ht="15" x14ac:dyDescent="0.35">
      <c r="B152" s="915" t="s">
        <v>693</v>
      </c>
      <c r="C152" s="916" t="s">
        <v>494</v>
      </c>
      <c r="D152" s="1187">
        <v>0.59276547040444361</v>
      </c>
      <c r="E152" s="1251">
        <v>0.60799999999999998</v>
      </c>
      <c r="F152" s="1251">
        <v>0.59799999999999998</v>
      </c>
      <c r="G152" s="1251">
        <v>0.56599999999999995</v>
      </c>
      <c r="H152" s="1251">
        <v>0.56200000000000006</v>
      </c>
      <c r="I152" s="1251">
        <v>0.313</v>
      </c>
      <c r="J152" s="914">
        <v>0.157</v>
      </c>
      <c r="K152" s="877"/>
      <c r="L152" s="877"/>
    </row>
    <row r="153" spans="2:12" s="498" customFormat="1" ht="15" x14ac:dyDescent="0.35">
      <c r="B153" s="915" t="s">
        <v>694</v>
      </c>
      <c r="C153" s="916" t="s">
        <v>494</v>
      </c>
      <c r="D153" s="1187">
        <v>0.59391231706057535</v>
      </c>
      <c r="E153" s="1251">
        <v>0.628</v>
      </c>
      <c r="F153" s="1251">
        <v>0.57399999999999995</v>
      </c>
      <c r="G153" s="1251">
        <v>0.59899999999999998</v>
      </c>
      <c r="H153" s="1251">
        <v>0.54600000000000004</v>
      </c>
      <c r="I153" s="1251">
        <v>0.38700000000000001</v>
      </c>
      <c r="J153" s="914">
        <v>0.31</v>
      </c>
      <c r="K153" s="877"/>
      <c r="L153" s="877"/>
    </row>
    <row r="154" spans="2:12" s="498" customFormat="1" ht="15" x14ac:dyDescent="0.35">
      <c r="B154" s="1095" t="s">
        <v>695</v>
      </c>
      <c r="C154" s="1077" t="s">
        <v>458</v>
      </c>
      <c r="D154" s="1172" t="s">
        <v>459</v>
      </c>
      <c r="E154" s="1097" t="s">
        <v>460</v>
      </c>
      <c r="F154" s="1097" t="s">
        <v>461</v>
      </c>
      <c r="G154" s="1097" t="s">
        <v>462</v>
      </c>
      <c r="H154" s="1097" t="s">
        <v>463</v>
      </c>
      <c r="I154" s="1098" t="s">
        <v>464</v>
      </c>
      <c r="J154" s="1098" t="s">
        <v>465</v>
      </c>
      <c r="K154" s="877"/>
      <c r="L154" s="877"/>
    </row>
    <row r="155" spans="2:12" s="498" customFormat="1" ht="15" x14ac:dyDescent="0.35">
      <c r="B155" s="1087" t="s">
        <v>696</v>
      </c>
      <c r="C155" s="906" t="s">
        <v>512</v>
      </c>
      <c r="D155" s="1188">
        <v>109.85</v>
      </c>
      <c r="E155" s="918">
        <v>146</v>
      </c>
      <c r="F155" s="918">
        <v>195</v>
      </c>
      <c r="G155" s="918">
        <v>481</v>
      </c>
      <c r="H155" s="918">
        <v>512</v>
      </c>
      <c r="I155" s="918">
        <v>421</v>
      </c>
      <c r="J155" s="918">
        <v>219</v>
      </c>
      <c r="K155" s="877"/>
      <c r="L155" s="877"/>
    </row>
    <row r="156" spans="2:12" s="498" customFormat="1" ht="15" x14ac:dyDescent="0.35">
      <c r="B156" s="1087" t="s">
        <v>697</v>
      </c>
      <c r="C156" s="906" t="s">
        <v>512</v>
      </c>
      <c r="D156" s="1188">
        <v>12823.04</v>
      </c>
      <c r="E156" s="918">
        <v>12070</v>
      </c>
      <c r="F156" s="918">
        <v>11032</v>
      </c>
      <c r="G156" s="918">
        <v>11695</v>
      </c>
      <c r="H156" s="918">
        <v>11433</v>
      </c>
      <c r="I156" s="919">
        <v>9676</v>
      </c>
      <c r="J156" s="919">
        <v>11205</v>
      </c>
      <c r="K156" s="877"/>
      <c r="L156" s="877"/>
    </row>
    <row r="157" spans="2:12" s="498" customFormat="1" ht="15" x14ac:dyDescent="0.35">
      <c r="B157" s="1087" t="s">
        <v>522</v>
      </c>
      <c r="C157" s="906" t="s">
        <v>512</v>
      </c>
      <c r="D157" s="1185">
        <v>3515.67</v>
      </c>
      <c r="E157" s="917">
        <f>E158-E155-E156</f>
        <v>3407</v>
      </c>
      <c r="F157" s="917">
        <f t="shared" ref="F157:J157" si="41">F158-F155-F156</f>
        <v>3565</v>
      </c>
      <c r="G157" s="917">
        <f t="shared" si="41"/>
        <v>4314</v>
      </c>
      <c r="H157" s="917">
        <f t="shared" si="41"/>
        <v>5376</v>
      </c>
      <c r="I157" s="917">
        <f t="shared" si="41"/>
        <v>3413</v>
      </c>
      <c r="J157" s="917">
        <f t="shared" si="41"/>
        <v>3986</v>
      </c>
      <c r="K157" s="877"/>
      <c r="L157" s="877"/>
    </row>
    <row r="158" spans="2:12" s="886" customFormat="1" ht="17.899999999999999" customHeight="1" x14ac:dyDescent="0.35">
      <c r="B158" s="920" t="s">
        <v>523</v>
      </c>
      <c r="C158" s="909" t="s">
        <v>512</v>
      </c>
      <c r="D158" s="1186">
        <v>16448.560000000001</v>
      </c>
      <c r="E158" s="921">
        <v>15623</v>
      </c>
      <c r="F158" s="921">
        <v>14792</v>
      </c>
      <c r="G158" s="921">
        <v>16490</v>
      </c>
      <c r="H158" s="921">
        <v>17321</v>
      </c>
      <c r="I158" s="921">
        <v>13510</v>
      </c>
      <c r="J158" s="921">
        <v>15410</v>
      </c>
      <c r="K158" s="1086"/>
      <c r="L158" s="1086"/>
    </row>
    <row r="159" spans="2:12" s="498" customFormat="1" ht="13.5" customHeight="1" x14ac:dyDescent="0.35">
      <c r="C159" s="1160"/>
      <c r="D159" s="1184"/>
      <c r="E159" s="1184"/>
      <c r="F159" s="1184"/>
      <c r="G159" s="1184"/>
      <c r="H159" s="1184"/>
      <c r="I159" s="1184"/>
      <c r="J159" s="1184"/>
    </row>
    <row r="160" spans="2:12" s="498" customFormat="1" ht="33" customHeight="1" x14ac:dyDescent="0.35">
      <c r="B160" s="1162" t="s">
        <v>698</v>
      </c>
      <c r="C160" s="1143" t="s">
        <v>458</v>
      </c>
      <c r="D160" s="1096" t="s">
        <v>459</v>
      </c>
      <c r="E160" s="1097" t="s">
        <v>460</v>
      </c>
      <c r="F160" s="1097" t="s">
        <v>461</v>
      </c>
      <c r="G160" s="1097" t="s">
        <v>462</v>
      </c>
      <c r="H160" s="1097" t="s">
        <v>463</v>
      </c>
      <c r="I160" s="1098" t="s">
        <v>464</v>
      </c>
      <c r="J160" s="1098" t="s">
        <v>465</v>
      </c>
      <c r="K160" s="1125" t="str">
        <f>K88</f>
        <v>Performance against prior year</v>
      </c>
      <c r="L160" s="877"/>
    </row>
    <row r="161" spans="2:19" s="498" customFormat="1" ht="17" x14ac:dyDescent="0.35">
      <c r="B161" s="526" t="s">
        <v>699</v>
      </c>
      <c r="C161" s="525" t="s">
        <v>512</v>
      </c>
      <c r="D161" s="922">
        <v>246</v>
      </c>
      <c r="E161" s="857">
        <v>278</v>
      </c>
      <c r="F161" s="857">
        <v>318.29000000000002</v>
      </c>
      <c r="G161" s="857">
        <v>336.7</v>
      </c>
      <c r="H161" s="857">
        <v>358.26</v>
      </c>
      <c r="I161" s="857">
        <v>338.34</v>
      </c>
      <c r="J161" s="857">
        <v>320.41000000000003</v>
      </c>
      <c r="K161" s="1092">
        <f>(D161-E161)/E161</f>
        <v>-0.11510791366906475</v>
      </c>
      <c r="L161" s="877"/>
    </row>
    <row r="162" spans="2:19" s="498" customFormat="1" ht="17" x14ac:dyDescent="0.35">
      <c r="B162" s="526" t="s">
        <v>700</v>
      </c>
      <c r="C162" s="525" t="s">
        <v>512</v>
      </c>
      <c r="D162" s="922">
        <v>34.299999999999997</v>
      </c>
      <c r="E162" s="857">
        <v>42</v>
      </c>
      <c r="F162" s="857">
        <v>36.020000000000003</v>
      </c>
      <c r="G162" s="857">
        <v>31.17</v>
      </c>
      <c r="H162" s="857">
        <v>73.42</v>
      </c>
      <c r="I162" s="857">
        <v>42.28</v>
      </c>
      <c r="J162" s="857">
        <v>16.420000000000002</v>
      </c>
      <c r="K162" s="1092">
        <f t="shared" ref="K162:K163" si="42">(D162-E162)/E162</f>
        <v>-0.1833333333333334</v>
      </c>
      <c r="L162" s="877"/>
    </row>
    <row r="163" spans="2:19" s="498" customFormat="1" ht="15" x14ac:dyDescent="0.35">
      <c r="B163" s="526" t="s">
        <v>528</v>
      </c>
      <c r="C163" s="525" t="s">
        <v>512</v>
      </c>
      <c r="D163" s="922">
        <v>19.8</v>
      </c>
      <c r="E163" s="857">
        <v>50</v>
      </c>
      <c r="F163" s="857">
        <v>44.76</v>
      </c>
      <c r="G163" s="857">
        <v>42.41</v>
      </c>
      <c r="H163" s="857">
        <v>49.72</v>
      </c>
      <c r="I163" s="857">
        <v>38.729999999999997</v>
      </c>
      <c r="J163" s="857">
        <v>47.06</v>
      </c>
      <c r="K163" s="1092">
        <f t="shared" si="42"/>
        <v>-0.60399999999999998</v>
      </c>
      <c r="L163" s="877"/>
    </row>
    <row r="164" spans="2:19" s="498" customFormat="1" ht="17" x14ac:dyDescent="0.35">
      <c r="B164" s="526" t="s">
        <v>701</v>
      </c>
      <c r="C164" s="525" t="s">
        <v>494</v>
      </c>
      <c r="D164" s="853">
        <v>0.79549999999999998</v>
      </c>
      <c r="E164" s="854">
        <v>0.85299999999999998</v>
      </c>
      <c r="F164" s="854">
        <v>0.875</v>
      </c>
      <c r="G164" s="854">
        <v>0.86</v>
      </c>
      <c r="H164" s="854">
        <v>0.85</v>
      </c>
      <c r="I164" s="892">
        <v>0.85</v>
      </c>
      <c r="J164" s="892">
        <v>0.82</v>
      </c>
      <c r="K164" s="878"/>
      <c r="L164" s="877"/>
    </row>
    <row r="165" spans="2:19" s="498" customFormat="1" ht="17" x14ac:dyDescent="0.35">
      <c r="B165" s="536" t="s">
        <v>702</v>
      </c>
      <c r="C165" s="525" t="s">
        <v>494</v>
      </c>
      <c r="D165" s="853">
        <v>0.68179999999999996</v>
      </c>
      <c r="E165" s="854">
        <v>0.68</v>
      </c>
      <c r="F165" s="854">
        <v>0.67500000000000004</v>
      </c>
      <c r="G165" s="854">
        <v>0.36</v>
      </c>
      <c r="H165" s="854">
        <v>0.34</v>
      </c>
      <c r="I165" s="892">
        <v>0.36</v>
      </c>
      <c r="J165" s="892">
        <v>0.32</v>
      </c>
      <c r="K165" s="878"/>
      <c r="L165" s="877"/>
    </row>
    <row r="166" spans="2:19" s="498" customFormat="1" ht="15" x14ac:dyDescent="0.35">
      <c r="B166" s="536" t="s">
        <v>531</v>
      </c>
      <c r="C166" s="525" t="s">
        <v>494</v>
      </c>
      <c r="D166" s="853">
        <v>0.72729999999999995</v>
      </c>
      <c r="E166" s="854">
        <v>0.82</v>
      </c>
      <c r="F166" s="854">
        <v>0.8</v>
      </c>
      <c r="G166" s="854">
        <v>0.56999999999999995</v>
      </c>
      <c r="H166" s="854">
        <v>0.56000000000000005</v>
      </c>
      <c r="I166" s="892">
        <v>0.54</v>
      </c>
      <c r="J166" s="892">
        <v>0.53</v>
      </c>
      <c r="K166" s="878"/>
      <c r="L166" s="877"/>
    </row>
    <row r="167" spans="2:19" s="498" customFormat="1" ht="15" x14ac:dyDescent="0.35">
      <c r="B167" s="1130"/>
      <c r="C167" s="1163"/>
      <c r="D167" s="1164"/>
      <c r="E167" s="1165"/>
      <c r="F167" s="1165"/>
      <c r="G167" s="1165"/>
      <c r="H167" s="1165"/>
      <c r="I167" s="1165"/>
      <c r="J167" s="1166"/>
      <c r="K167" s="878"/>
      <c r="L167" s="877"/>
    </row>
    <row r="168" spans="2:19" s="498" customFormat="1" ht="15" x14ac:dyDescent="0.35">
      <c r="B168" s="1124" t="s">
        <v>703</v>
      </c>
      <c r="C168" s="1077" t="s">
        <v>458</v>
      </c>
      <c r="D168" s="1096" t="s">
        <v>459</v>
      </c>
      <c r="E168" s="1134" t="s">
        <v>460</v>
      </c>
      <c r="F168" s="1134" t="s">
        <v>461</v>
      </c>
      <c r="G168" s="1134" t="str">
        <f>G38</f>
        <v>2022/23</v>
      </c>
      <c r="H168" s="1134" t="str">
        <f>H38</f>
        <v>2021/22</v>
      </c>
      <c r="I168" s="1134" t="str">
        <f>I38</f>
        <v>2020/21</v>
      </c>
      <c r="J168" s="1134" t="str">
        <f>J38</f>
        <v>2019/20</v>
      </c>
      <c r="K168" s="878"/>
      <c r="L168" s="878"/>
      <c r="M168" s="1135"/>
      <c r="N168" s="1031"/>
      <c r="S168" s="1031"/>
    </row>
    <row r="169" spans="2:19" s="498" customFormat="1" ht="17.899999999999999" customHeight="1" x14ac:dyDescent="0.35">
      <c r="B169" s="535" t="s">
        <v>704</v>
      </c>
      <c r="C169" s="837" t="s">
        <v>705</v>
      </c>
      <c r="D169" s="838">
        <v>94730</v>
      </c>
      <c r="E169" s="840">
        <v>97876</v>
      </c>
      <c r="F169" s="840">
        <v>104994</v>
      </c>
      <c r="G169" s="840">
        <v>103566</v>
      </c>
      <c r="H169" s="840">
        <v>105896</v>
      </c>
      <c r="I169" s="840">
        <v>102204</v>
      </c>
      <c r="J169" s="840">
        <v>108710</v>
      </c>
      <c r="K169" s="878"/>
      <c r="L169" s="878"/>
      <c r="M169" s="1135"/>
      <c r="N169" s="1031"/>
      <c r="S169" s="1031"/>
    </row>
    <row r="170" spans="2:19" s="498" customFormat="1" ht="15" x14ac:dyDescent="0.35">
      <c r="B170" s="535" t="s">
        <v>706</v>
      </c>
      <c r="C170" s="837" t="s">
        <v>707</v>
      </c>
      <c r="D170" s="838">
        <v>13120</v>
      </c>
      <c r="E170" s="1093">
        <v>11674</v>
      </c>
      <c r="F170" s="1093">
        <v>12843</v>
      </c>
      <c r="G170" s="1093">
        <v>14933</v>
      </c>
      <c r="H170" s="1093">
        <v>16025</v>
      </c>
      <c r="I170" s="1093">
        <v>15435</v>
      </c>
      <c r="J170" s="1093">
        <v>14577</v>
      </c>
      <c r="K170" s="1159"/>
      <c r="L170" s="1159"/>
      <c r="M170" s="1135"/>
      <c r="N170" s="1031"/>
      <c r="S170" s="1031"/>
    </row>
    <row r="171" spans="2:19" s="498" customFormat="1" ht="15" x14ac:dyDescent="0.35">
      <c r="B171" s="535" t="s">
        <v>708</v>
      </c>
      <c r="C171" s="837" t="s">
        <v>709</v>
      </c>
      <c r="D171" s="1228">
        <v>3.093</v>
      </c>
      <c r="E171" s="1094">
        <v>3.47</v>
      </c>
      <c r="F171" s="1094">
        <v>3.9039999999999999</v>
      </c>
      <c r="G171" s="1094">
        <v>4.2009999999999996</v>
      </c>
      <c r="H171" s="1094">
        <v>3.778</v>
      </c>
      <c r="I171" s="1094">
        <v>3.9220000000000002</v>
      </c>
      <c r="J171" s="1094">
        <v>4.17</v>
      </c>
      <c r="K171" s="1159"/>
      <c r="L171" s="1159"/>
      <c r="M171" s="1135"/>
      <c r="N171" s="1031"/>
      <c r="S171" s="1031"/>
    </row>
    <row r="172" spans="2:19" s="498" customFormat="1" ht="15" x14ac:dyDescent="0.35">
      <c r="B172" s="1031"/>
      <c r="C172" s="1131"/>
      <c r="D172" s="1132"/>
      <c r="E172" s="1130"/>
      <c r="F172" s="1130"/>
      <c r="G172" s="1130"/>
      <c r="H172" s="1130"/>
      <c r="I172" s="1130"/>
      <c r="J172" s="1133"/>
      <c r="K172" s="1133"/>
      <c r="L172" s="1133"/>
      <c r="M172" s="1135"/>
      <c r="N172" s="1135"/>
    </row>
    <row r="173" spans="2:19" s="498" customFormat="1" ht="15" x14ac:dyDescent="0.35">
      <c r="B173" s="1202" t="s">
        <v>710</v>
      </c>
      <c r="C173" s="1203" t="s">
        <v>458</v>
      </c>
      <c r="D173" s="1204" t="s">
        <v>459</v>
      </c>
      <c r="E173" s="1205" t="s">
        <v>460</v>
      </c>
      <c r="F173" s="1205" t="s">
        <v>461</v>
      </c>
      <c r="G173" s="1205" t="s">
        <v>462</v>
      </c>
      <c r="S173" s="1031"/>
    </row>
    <row r="174" spans="2:19" s="498" customFormat="1" ht="17.149999999999999" customHeight="1" x14ac:dyDescent="0.35">
      <c r="B174" s="1265" t="s">
        <v>711</v>
      </c>
      <c r="C174" s="1200" t="s">
        <v>663</v>
      </c>
      <c r="D174" s="1206">
        <v>1</v>
      </c>
      <c r="E174" s="1207">
        <v>1</v>
      </c>
      <c r="F174" s="1207">
        <v>1</v>
      </c>
      <c r="G174" s="1207">
        <v>1</v>
      </c>
      <c r="S174" s="1031"/>
    </row>
    <row r="175" spans="2:19" s="498" customFormat="1" ht="245.5" customHeight="1" x14ac:dyDescent="0.35">
      <c r="B175" s="1266" t="s">
        <v>712</v>
      </c>
      <c r="C175" s="1200" t="s">
        <v>713</v>
      </c>
      <c r="D175" s="1209" t="s">
        <v>1553</v>
      </c>
      <c r="E175" s="1201" t="s">
        <v>714</v>
      </c>
      <c r="F175" s="1192"/>
      <c r="G175" s="1192"/>
    </row>
    <row r="176" spans="2:19" s="498" customFormat="1" ht="15" x14ac:dyDescent="0.35">
      <c r="B176" s="1200" t="s">
        <v>715</v>
      </c>
      <c r="C176" s="1200" t="s">
        <v>716</v>
      </c>
      <c r="D176" s="1208">
        <f>69600/1.32</f>
        <v>52727.272727272728</v>
      </c>
      <c r="E176" s="1201">
        <v>47000</v>
      </c>
      <c r="F176" s="1201">
        <v>0</v>
      </c>
      <c r="G176" s="1201">
        <v>0</v>
      </c>
    </row>
    <row r="177" spans="2:13" s="498" customFormat="1" ht="15" x14ac:dyDescent="0.35">
      <c r="C177" s="1160"/>
      <c r="D177" s="1160"/>
    </row>
    <row r="178" spans="2:13" s="498" customFormat="1" ht="15" x14ac:dyDescent="0.35">
      <c r="B178" s="1155" t="s">
        <v>717</v>
      </c>
      <c r="C178" s="1143" t="s">
        <v>458</v>
      </c>
      <c r="D178" s="1096" t="s">
        <v>459</v>
      </c>
      <c r="E178" s="1134" t="s">
        <v>460</v>
      </c>
      <c r="F178" s="1134" t="s">
        <v>461</v>
      </c>
      <c r="G178" s="1134" t="s">
        <v>462</v>
      </c>
    </row>
    <row r="179" spans="2:13" s="498" customFormat="1" ht="15" x14ac:dyDescent="0.35">
      <c r="B179" s="523" t="s">
        <v>718</v>
      </c>
      <c r="C179" s="525" t="s">
        <v>494</v>
      </c>
      <c r="D179" s="923">
        <v>0.94</v>
      </c>
      <c r="E179" s="924">
        <v>0.92</v>
      </c>
      <c r="F179" s="924">
        <v>0.93</v>
      </c>
      <c r="G179" s="857"/>
    </row>
    <row r="180" spans="2:13" x14ac:dyDescent="0.35">
      <c r="F180" s="90"/>
    </row>
    <row r="181" spans="2:13" x14ac:dyDescent="0.35">
      <c r="F181" s="90"/>
      <c r="K181" s="99"/>
    </row>
    <row r="182" spans="2:13" x14ac:dyDescent="0.35">
      <c r="M182" s="99"/>
    </row>
    <row r="183" spans="2:13" x14ac:dyDescent="0.35"/>
    <row r="185" spans="2:13" ht="13.5" customHeight="1" x14ac:dyDescent="0.35">
      <c r="C185" s="1083"/>
      <c r="D185" s="1083"/>
      <c r="E185" s="1083"/>
    </row>
    <row r="186" spans="2:13" ht="13.5" customHeight="1" x14ac:dyDescent="0.35">
      <c r="D186" s="1083"/>
    </row>
    <row r="187" spans="2:13" ht="13.5" customHeight="1" x14ac:dyDescent="0.35">
      <c r="D187" s="1083"/>
    </row>
    <row r="189" spans="2:13" ht="13.5" customHeight="1" x14ac:dyDescent="0.35">
      <c r="D189" s="1084"/>
    </row>
    <row r="190" spans="2:13" ht="13.5" customHeight="1" x14ac:dyDescent="0.35">
      <c r="C190" s="925"/>
      <c r="D190" s="1082"/>
    </row>
    <row r="191" spans="2:13" ht="13.5" customHeight="1" x14ac:dyDescent="0.35">
      <c r="C191" s="925"/>
      <c r="D191" s="925"/>
      <c r="E191" s="925"/>
      <c r="F191" s="845"/>
    </row>
    <row r="192" spans="2:13" ht="13.5" customHeight="1" x14ac:dyDescent="0.35">
      <c r="C192" s="926"/>
      <c r="D192" s="926"/>
    </row>
  </sheetData>
  <sheetProtection algorithmName="SHA-512" hashValue="1pxyX5/CGYE/Ec4hNO7x5BxL8fA/HfDnJAJe+s087EGTaauewR3KXgxVYsIXk44GAUpP+LnCF2nvXVW1kK1YzQ==" saltValue="aLuMYYBWkUgVOu90BK/KTw==" spinCount="100000" sheet="1" objects="1" scenarios="1"/>
  <mergeCells count="9">
    <mergeCell ref="N76:O76"/>
    <mergeCell ref="N81:O81"/>
    <mergeCell ref="J86:L86"/>
    <mergeCell ref="B4:G4"/>
    <mergeCell ref="B5:J5"/>
    <mergeCell ref="B9:B10"/>
    <mergeCell ref="C9:C10"/>
    <mergeCell ref="B52:B53"/>
    <mergeCell ref="C52:C53"/>
  </mergeCells>
  <conditionalFormatting sqref="D29:L29">
    <cfRule type="dataBar" priority="6">
      <dataBar>
        <cfvo type="num" val="-0.2"/>
        <cfvo type="num" val="1"/>
        <color theme="3"/>
      </dataBar>
      <extLst>
        <ext xmlns:x14="http://schemas.microsoft.com/office/spreadsheetml/2009/9/main" uri="{B025F937-C7B1-47D3-B67F-A62EFF666E3E}">
          <x14:id>{5EF0DC99-635E-40D9-95D6-16D0BEE115E1}</x14:id>
        </ext>
      </extLst>
    </cfRule>
  </conditionalFormatting>
  <conditionalFormatting sqref="E58:K58">
    <cfRule type="dataBar" priority="4">
      <dataBar>
        <cfvo type="num" val="-0.2"/>
        <cfvo type="num" val="1"/>
        <color theme="3"/>
      </dataBar>
      <extLst>
        <ext xmlns:x14="http://schemas.microsoft.com/office/spreadsheetml/2009/9/main" uri="{B025F937-C7B1-47D3-B67F-A62EFF666E3E}">
          <x14:id>{CBE36DC8-0456-4D93-B4CF-B5E0DAA6A425}</x14:id>
        </ext>
      </extLst>
    </cfRule>
  </conditionalFormatting>
  <conditionalFormatting sqref="F175:G175">
    <cfRule type="dataBar" priority="5">
      <dataBar>
        <cfvo type="num" val="-0.2"/>
        <cfvo type="num" val="1"/>
        <color theme="3"/>
      </dataBar>
      <extLst>
        <ext xmlns:x14="http://schemas.microsoft.com/office/spreadsheetml/2009/9/main" uri="{B025F937-C7B1-47D3-B67F-A62EFF666E3E}">
          <x14:id>{7EC41749-E80E-41D2-A9A8-F87900028672}</x14:id>
        </ext>
      </extLst>
    </cfRule>
  </conditionalFormatting>
  <conditionalFormatting sqref="F98:J98">
    <cfRule type="dataBar" priority="2">
      <dataBar>
        <cfvo type="num" val="-0.2"/>
        <cfvo type="num" val="1"/>
        <color theme="3"/>
      </dataBar>
      <extLst>
        <ext xmlns:x14="http://schemas.microsoft.com/office/spreadsheetml/2009/9/main" uri="{B025F937-C7B1-47D3-B67F-A62EFF666E3E}">
          <x14:id>{52BD8AD7-2297-4E38-82FB-FB399563C67D}</x14:id>
        </ext>
      </extLst>
    </cfRule>
  </conditionalFormatting>
  <conditionalFormatting sqref="F104:J104">
    <cfRule type="dataBar" priority="1">
      <dataBar>
        <cfvo type="num" val="-0.2"/>
        <cfvo type="num" val="1"/>
        <color theme="3"/>
      </dataBar>
      <extLst>
        <ext xmlns:x14="http://schemas.microsoft.com/office/spreadsheetml/2009/9/main" uri="{B025F937-C7B1-47D3-B67F-A62EFF666E3E}">
          <x14:id>{D3188542-D31A-4CB1-B75B-C6A0CA2166C8}</x14:id>
        </ext>
      </extLst>
    </cfRule>
  </conditionalFormatting>
  <conditionalFormatting sqref="F112:J114">
    <cfRule type="dataBar" priority="12">
      <dataBar>
        <cfvo type="num" val="-0.2"/>
        <cfvo type="num" val="1"/>
        <color theme="3"/>
      </dataBar>
      <extLst>
        <ext xmlns:x14="http://schemas.microsoft.com/office/spreadsheetml/2009/9/main" uri="{B025F937-C7B1-47D3-B67F-A62EFF666E3E}">
          <x14:id>{ED169281-CB13-4F42-A1C3-883221E0D6FF}</x14:id>
        </ext>
      </extLst>
    </cfRule>
  </conditionalFormatting>
  <conditionalFormatting sqref="H93:J93">
    <cfRule type="dataBar" priority="7">
      <dataBar>
        <cfvo type="num" val="-0.2"/>
        <cfvo type="num" val="1"/>
        <color theme="3"/>
      </dataBar>
      <extLst>
        <ext xmlns:x14="http://schemas.microsoft.com/office/spreadsheetml/2009/9/main" uri="{B025F937-C7B1-47D3-B67F-A62EFF666E3E}">
          <x14:id>{AC187D97-1024-4DB6-A4F8-9E82E39C0667}</x14:id>
        </ext>
      </extLst>
    </cfRule>
  </conditionalFormatting>
  <conditionalFormatting sqref="J48">
    <cfRule type="dataBar" priority="3">
      <dataBar>
        <cfvo type="num" val="-0.2"/>
        <cfvo type="num" val="1"/>
        <color theme="3"/>
      </dataBar>
      <extLst>
        <ext xmlns:x14="http://schemas.microsoft.com/office/spreadsheetml/2009/9/main" uri="{B025F937-C7B1-47D3-B67F-A62EFF666E3E}">
          <x14:id>{7F1D35FB-AE1D-4D8F-8756-43C8AFFAD4DF}</x14:id>
        </ext>
      </extLst>
    </cfRule>
  </conditionalFormatting>
  <conditionalFormatting sqref="J78">
    <cfRule type="dataBar" priority="8">
      <dataBar>
        <cfvo type="num" val="-0.2"/>
        <cfvo type="num" val="1"/>
        <color theme="3"/>
      </dataBar>
      <extLst>
        <ext xmlns:x14="http://schemas.microsoft.com/office/spreadsheetml/2009/9/main" uri="{B025F937-C7B1-47D3-B67F-A62EFF666E3E}">
          <x14:id>{0F663824-0F91-4A98-A689-54300145D833}</x14:id>
        </ext>
      </extLst>
    </cfRule>
  </conditionalFormatting>
  <hyperlinks>
    <hyperlink ref="B4:E4" location="'Basis of Reporting'!A1" display="Please see ERM CVS' full assurance report on page 196-198 of our ARA 2025 and on Basis of Reporting tab for more details." xr:uid="{F050F261-BB78-4EE2-BDCB-0024428FD581}"/>
  </hyperlinks>
  <pageMargins left="0.23622047244094491" right="0.23622047244094491" top="0.74803149606299213" bottom="0.74803149606299213" header="0.31496062992125984" footer="0.31496062992125984"/>
  <pageSetup paperSize="9" scale="41" fitToHeight="0" orientation="landscape" r:id="rId1"/>
  <rowBreaks count="2" manualBreakCount="2">
    <brk id="48" min="1" max="11" man="1"/>
    <brk id="115" min="1" max="11" man="1"/>
  </rowBreaks>
  <drawing r:id="rId2"/>
  <legacyDrawing r:id="rId3"/>
  <extLst>
    <ext xmlns:x14="http://schemas.microsoft.com/office/spreadsheetml/2009/9/main" uri="{78C0D931-6437-407d-A8EE-F0AAD7539E65}">
      <x14:conditionalFormattings>
        <x14:conditionalFormatting xmlns:xm="http://schemas.microsoft.com/office/excel/2006/main">
          <x14:cfRule type="dataBar" id="{5EF0DC99-635E-40D9-95D6-16D0BEE115E1}">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D29:L29</xm:sqref>
        </x14:conditionalFormatting>
        <x14:conditionalFormatting xmlns:xm="http://schemas.microsoft.com/office/excel/2006/main">
          <x14:cfRule type="dataBar" id="{CBE36DC8-0456-4D93-B4CF-B5E0DAA6A425}">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E58:K58</xm:sqref>
        </x14:conditionalFormatting>
        <x14:conditionalFormatting xmlns:xm="http://schemas.microsoft.com/office/excel/2006/main">
          <x14:cfRule type="dataBar" id="{7EC41749-E80E-41D2-A9A8-F87900028672}">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F175:G175</xm:sqref>
        </x14:conditionalFormatting>
        <x14:conditionalFormatting xmlns:xm="http://schemas.microsoft.com/office/excel/2006/main">
          <x14:cfRule type="dataBar" id="{52BD8AD7-2297-4E38-82FB-FB399563C67D}">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F98:J98</xm:sqref>
        </x14:conditionalFormatting>
        <x14:conditionalFormatting xmlns:xm="http://schemas.microsoft.com/office/excel/2006/main">
          <x14:cfRule type="dataBar" id="{D3188542-D31A-4CB1-B75B-C6A0CA2166C8}">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F104:J104</xm:sqref>
        </x14:conditionalFormatting>
        <x14:conditionalFormatting xmlns:xm="http://schemas.microsoft.com/office/excel/2006/main">
          <x14:cfRule type="dataBar" id="{ED169281-CB13-4F42-A1C3-883221E0D6FF}">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F112:J114</xm:sqref>
        </x14:conditionalFormatting>
        <x14:conditionalFormatting xmlns:xm="http://schemas.microsoft.com/office/excel/2006/main">
          <x14:cfRule type="dataBar" id="{AC187D97-1024-4DB6-A4F8-9E82E39C0667}">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H93:J93</xm:sqref>
        </x14:conditionalFormatting>
        <x14:conditionalFormatting xmlns:xm="http://schemas.microsoft.com/office/excel/2006/main">
          <x14:cfRule type="dataBar" id="{7F1D35FB-AE1D-4D8F-8756-43C8AFFAD4DF}">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J48</xm:sqref>
        </x14:conditionalFormatting>
        <x14:conditionalFormatting xmlns:xm="http://schemas.microsoft.com/office/excel/2006/main">
          <x14:cfRule type="dataBar" id="{0F663824-0F91-4A98-A689-54300145D833}">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J78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1A6B4-BFB5-4FFA-B771-0CD89AA40FF1}">
  <sheetPr codeName="Sheet5">
    <tabColor rgb="FFFFC000"/>
  </sheetPr>
  <dimension ref="A2:Y144"/>
  <sheetViews>
    <sheetView workbookViewId="0"/>
  </sheetViews>
  <sheetFormatPr defaultColWidth="8.54296875" defaultRowHeight="13.5" x14ac:dyDescent="0.25"/>
  <cols>
    <col min="1" max="1" width="14.54296875" style="2" customWidth="1"/>
    <col min="2" max="2" width="88.54296875" style="2" customWidth="1"/>
    <col min="3" max="3" width="97.453125" style="2" customWidth="1"/>
    <col min="4" max="4" width="24.453125" style="2" customWidth="1"/>
    <col min="5" max="5" width="19.453125" style="2" customWidth="1"/>
    <col min="6" max="6" width="17.453125" style="2" customWidth="1"/>
    <col min="7" max="7" width="18.54296875" style="2" bestFit="1" customWidth="1"/>
    <col min="8" max="8" width="21.453125" style="2" customWidth="1"/>
    <col min="9" max="9" width="17.54296875" style="2" customWidth="1"/>
    <col min="10" max="10" width="19.453125" style="2" bestFit="1" customWidth="1"/>
    <col min="11" max="12" width="20.453125" style="2" customWidth="1"/>
    <col min="13" max="13" width="22.453125" style="2" customWidth="1"/>
    <col min="14" max="14" width="21.54296875" style="2" customWidth="1"/>
    <col min="15" max="15" width="20.453125" style="2" customWidth="1"/>
    <col min="16" max="16" width="17.54296875" style="2" customWidth="1"/>
    <col min="17" max="16384" width="8.54296875" style="2"/>
  </cols>
  <sheetData>
    <row r="2" spans="1:25" ht="40.5" x14ac:dyDescent="0.25">
      <c r="A2" s="10" t="s">
        <v>720</v>
      </c>
      <c r="B2" s="1825" t="s">
        <v>35</v>
      </c>
      <c r="C2" s="1825"/>
      <c r="D2" s="1825"/>
      <c r="E2" s="1825"/>
      <c r="F2" s="1825"/>
      <c r="G2" s="1825"/>
      <c r="H2" s="1825"/>
      <c r="I2" s="1825"/>
      <c r="J2" s="1825"/>
      <c r="K2" s="1825"/>
      <c r="L2" s="1825"/>
      <c r="M2" s="1825"/>
      <c r="N2" s="1825"/>
      <c r="O2" s="4"/>
      <c r="P2" s="13"/>
      <c r="Q2" s="13"/>
      <c r="R2" s="13"/>
      <c r="S2" s="13"/>
      <c r="T2" s="13"/>
      <c r="U2" s="14"/>
      <c r="V2" s="14"/>
      <c r="W2" s="14"/>
      <c r="X2" s="14"/>
    </row>
    <row r="3" spans="1:25" ht="19.5" x14ac:dyDescent="0.25">
      <c r="B3" s="15"/>
      <c r="C3" s="15"/>
      <c r="D3" s="15"/>
      <c r="E3" s="15"/>
      <c r="F3" s="15"/>
      <c r="G3" s="16"/>
      <c r="H3" s="16"/>
      <c r="I3" s="16"/>
      <c r="J3" s="16"/>
      <c r="K3" s="16"/>
      <c r="L3" s="16"/>
      <c r="M3" s="16"/>
      <c r="N3" s="16"/>
      <c r="O3" s="16"/>
      <c r="P3" s="16"/>
      <c r="Q3" s="16"/>
      <c r="R3" s="16"/>
      <c r="S3" s="16"/>
      <c r="T3" s="16"/>
      <c r="U3" s="14"/>
      <c r="V3" s="14"/>
      <c r="W3" s="14"/>
      <c r="X3" s="14"/>
    </row>
    <row r="4" spans="1:25" ht="184.5" customHeight="1" x14ac:dyDescent="0.25">
      <c r="B4" s="1819" t="s">
        <v>721</v>
      </c>
      <c r="C4" s="1819"/>
      <c r="D4" s="1819"/>
      <c r="E4" s="1819"/>
      <c r="F4" s="1819"/>
      <c r="G4" s="1819"/>
      <c r="H4" s="1819"/>
      <c r="I4" s="1819"/>
      <c r="J4" s="1819"/>
      <c r="K4" s="1819"/>
      <c r="L4" s="1819"/>
      <c r="M4" s="14"/>
      <c r="N4" s="14"/>
      <c r="O4" s="14"/>
      <c r="P4" s="14"/>
      <c r="Q4" s="14"/>
      <c r="R4" s="14"/>
      <c r="S4" s="14"/>
      <c r="T4" s="14"/>
      <c r="U4" s="14"/>
      <c r="V4" s="14"/>
      <c r="W4" s="14"/>
      <c r="X4" s="14"/>
    </row>
    <row r="5" spans="1:25" x14ac:dyDescent="0.25">
      <c r="B5" s="17"/>
      <c r="C5" s="17"/>
      <c r="D5" s="17"/>
      <c r="E5" s="17"/>
      <c r="F5" s="17"/>
      <c r="G5" s="18"/>
      <c r="H5" s="18"/>
      <c r="I5" s="18"/>
      <c r="J5" s="14"/>
      <c r="K5" s="14"/>
      <c r="L5" s="14"/>
      <c r="M5" s="14"/>
      <c r="N5" s="14"/>
      <c r="O5" s="14"/>
      <c r="P5" s="19"/>
      <c r="Q5" s="14"/>
      <c r="R5" s="14"/>
      <c r="S5" s="14"/>
      <c r="T5" s="14"/>
      <c r="U5" s="14"/>
      <c r="V5" s="14"/>
      <c r="W5" s="14"/>
      <c r="X5" s="14"/>
    </row>
    <row r="6" spans="1:25" ht="24.5" x14ac:dyDescent="0.45">
      <c r="B6" s="20" t="s">
        <v>579</v>
      </c>
      <c r="C6" s="21"/>
      <c r="D6" s="22"/>
      <c r="E6" s="22"/>
      <c r="F6" s="22"/>
      <c r="G6" s="1821"/>
      <c r="H6" s="1821"/>
      <c r="I6" s="1821"/>
      <c r="J6" s="23"/>
      <c r="K6" s="23"/>
      <c r="L6" s="23"/>
      <c r="M6" s="23"/>
      <c r="N6" s="23"/>
      <c r="O6" s="14"/>
      <c r="P6" s="14"/>
      <c r="Q6" s="14"/>
      <c r="R6" s="14"/>
      <c r="S6" s="14"/>
      <c r="T6" s="14"/>
      <c r="U6" s="14"/>
      <c r="V6" s="14"/>
      <c r="W6" s="14"/>
      <c r="X6" s="14"/>
    </row>
    <row r="7" spans="1:25" x14ac:dyDescent="0.25">
      <c r="C7" s="24"/>
      <c r="D7" s="25"/>
      <c r="E7" s="25"/>
      <c r="F7" s="25"/>
      <c r="G7" s="26"/>
      <c r="H7" s="26"/>
      <c r="I7" s="26"/>
      <c r="J7" s="26"/>
      <c r="K7" s="26"/>
      <c r="L7" s="26"/>
      <c r="M7" s="27"/>
      <c r="N7" s="27"/>
      <c r="O7" s="14"/>
      <c r="P7" s="27"/>
      <c r="Q7" s="27"/>
      <c r="R7" s="27"/>
      <c r="S7" s="27"/>
      <c r="T7" s="27"/>
      <c r="U7" s="27"/>
      <c r="V7" s="27"/>
      <c r="W7" s="27"/>
      <c r="X7" s="27"/>
    </row>
    <row r="8" spans="1:25" ht="14.25" customHeight="1" x14ac:dyDescent="0.25">
      <c r="B8" s="1826" t="s">
        <v>457</v>
      </c>
      <c r="C8" s="1827" t="s">
        <v>722</v>
      </c>
      <c r="D8" s="1828" t="s">
        <v>458</v>
      </c>
      <c r="E8" s="1820" t="s">
        <v>462</v>
      </c>
      <c r="F8" s="1820"/>
      <c r="G8" s="1820"/>
      <c r="H8" s="1823" t="s">
        <v>463</v>
      </c>
      <c r="I8" s="1823"/>
      <c r="J8" s="1823"/>
      <c r="K8" s="1823" t="s">
        <v>464</v>
      </c>
      <c r="L8" s="1823"/>
      <c r="M8" s="1823"/>
      <c r="N8" s="224" t="s">
        <v>465</v>
      </c>
      <c r="O8" s="14"/>
      <c r="P8" s="14"/>
      <c r="Q8" s="14"/>
      <c r="R8" s="14"/>
      <c r="S8" s="14"/>
      <c r="T8" s="14"/>
      <c r="U8" s="14"/>
      <c r="V8" s="14"/>
      <c r="W8" s="14"/>
      <c r="X8" s="14"/>
      <c r="Y8" s="14"/>
    </row>
    <row r="9" spans="1:25" ht="28.4" customHeight="1" x14ac:dyDescent="0.25">
      <c r="B9" s="1826"/>
      <c r="C9" s="1827"/>
      <c r="D9" s="1829"/>
      <c r="E9" s="223" t="s">
        <v>467</v>
      </c>
      <c r="F9" s="223" t="s">
        <v>723</v>
      </c>
      <c r="G9" s="223" t="s">
        <v>724</v>
      </c>
      <c r="H9" s="224" t="s">
        <v>467</v>
      </c>
      <c r="I9" s="224" t="s">
        <v>723</v>
      </c>
      <c r="J9" s="225" t="s">
        <v>724</v>
      </c>
      <c r="K9" s="224" t="s">
        <v>467</v>
      </c>
      <c r="L9" s="224" t="s">
        <v>723</v>
      </c>
      <c r="M9" s="225" t="s">
        <v>724</v>
      </c>
      <c r="N9" s="224" t="s">
        <v>467</v>
      </c>
      <c r="O9" s="14"/>
      <c r="P9" s="28"/>
      <c r="Q9" s="28"/>
      <c r="R9" s="14"/>
      <c r="S9" s="14"/>
      <c r="T9" s="14"/>
      <c r="U9" s="14"/>
      <c r="V9" s="14"/>
      <c r="W9" s="14"/>
      <c r="X9" s="14"/>
      <c r="Y9" s="14"/>
    </row>
    <row r="10" spans="1:25" ht="127.5" x14ac:dyDescent="0.25">
      <c r="B10" s="146" t="s">
        <v>395</v>
      </c>
      <c r="C10" s="147" t="s">
        <v>725</v>
      </c>
      <c r="D10" s="147" t="s">
        <v>726</v>
      </c>
      <c r="E10" s="235">
        <v>235892</v>
      </c>
      <c r="F10" s="235">
        <v>100466</v>
      </c>
      <c r="G10" s="235">
        <f>E10-F10</f>
        <v>135426</v>
      </c>
      <c r="H10" s="148">
        <v>262233</v>
      </c>
      <c r="I10" s="148">
        <v>108639</v>
      </c>
      <c r="J10" s="148">
        <f>H10-I10</f>
        <v>153594</v>
      </c>
      <c r="K10" s="148">
        <v>255832</v>
      </c>
      <c r="L10" s="148">
        <v>116770</v>
      </c>
      <c r="M10" s="148">
        <f>K10-L10</f>
        <v>139062</v>
      </c>
      <c r="N10" s="148">
        <v>253097</v>
      </c>
      <c r="O10" s="14"/>
      <c r="P10" s="29"/>
      <c r="Q10" s="29"/>
      <c r="R10" s="14"/>
      <c r="S10" s="14"/>
      <c r="T10" s="14"/>
      <c r="U10" s="14"/>
      <c r="V10" s="14"/>
      <c r="W10" s="14"/>
      <c r="X10" s="14"/>
      <c r="Y10" s="14"/>
    </row>
    <row r="11" spans="1:25" ht="81" x14ac:dyDescent="0.25">
      <c r="B11" s="146" t="s">
        <v>397</v>
      </c>
      <c r="C11" s="147" t="s">
        <v>727</v>
      </c>
      <c r="D11" s="147" t="s">
        <v>726</v>
      </c>
      <c r="E11" s="235">
        <v>131449</v>
      </c>
      <c r="F11" s="235">
        <v>1024</v>
      </c>
      <c r="G11" s="235">
        <f t="shared" ref="G11:G14" si="0">E11-F11</f>
        <v>130425</v>
      </c>
      <c r="H11" s="148">
        <v>181419</v>
      </c>
      <c r="I11" s="148">
        <v>1482</v>
      </c>
      <c r="J11" s="148">
        <f t="shared" ref="J11:J14" si="1">H11-I11</f>
        <v>179937</v>
      </c>
      <c r="K11" s="148">
        <v>181525</v>
      </c>
      <c r="L11" s="148">
        <v>3969</v>
      </c>
      <c r="M11" s="148">
        <f>K11-L11</f>
        <v>177556</v>
      </c>
      <c r="N11" s="148">
        <v>192333</v>
      </c>
      <c r="O11" s="14"/>
      <c r="P11" s="29"/>
      <c r="Q11" s="29"/>
      <c r="R11" s="14"/>
      <c r="S11" s="14"/>
      <c r="T11" s="14"/>
      <c r="U11" s="14"/>
      <c r="V11" s="14"/>
      <c r="W11" s="14"/>
      <c r="X11" s="14"/>
      <c r="Y11" s="14"/>
    </row>
    <row r="12" spans="1:25" ht="81" x14ac:dyDescent="0.25">
      <c r="B12" s="146" t="s">
        <v>471</v>
      </c>
      <c r="C12" s="147" t="s">
        <v>728</v>
      </c>
      <c r="D12" s="147" t="s">
        <v>726</v>
      </c>
      <c r="E12" s="235">
        <v>206357</v>
      </c>
      <c r="F12" s="235">
        <v>21721</v>
      </c>
      <c r="G12" s="235">
        <f t="shared" si="0"/>
        <v>184636</v>
      </c>
      <c r="H12" s="148">
        <v>241531</v>
      </c>
      <c r="I12" s="148">
        <v>29037</v>
      </c>
      <c r="J12" s="148">
        <f t="shared" si="1"/>
        <v>212494</v>
      </c>
      <c r="K12" s="148">
        <v>226283</v>
      </c>
      <c r="L12" s="148">
        <v>33772</v>
      </c>
      <c r="M12" s="148">
        <f t="shared" ref="M12:M14" si="2">K12-L12</f>
        <v>192511</v>
      </c>
      <c r="N12" s="148">
        <v>251569</v>
      </c>
      <c r="O12" s="14"/>
      <c r="P12" s="29"/>
      <c r="Q12" s="29"/>
      <c r="R12" s="14"/>
      <c r="S12" s="14"/>
      <c r="T12" s="14"/>
      <c r="U12" s="14"/>
      <c r="V12" s="14"/>
      <c r="W12" s="14"/>
      <c r="X12" s="14"/>
      <c r="Y12" s="14"/>
    </row>
    <row r="13" spans="1:25" ht="27" x14ac:dyDescent="0.25">
      <c r="B13" s="149" t="s">
        <v>472</v>
      </c>
      <c r="C13" s="150" t="s">
        <v>729</v>
      </c>
      <c r="D13" s="150" t="s">
        <v>730</v>
      </c>
      <c r="E13" s="235">
        <v>367341</v>
      </c>
      <c r="F13" s="235">
        <v>101489</v>
      </c>
      <c r="G13" s="235">
        <f t="shared" si="0"/>
        <v>265852</v>
      </c>
      <c r="H13" s="232">
        <f>H10+H11</f>
        <v>443652</v>
      </c>
      <c r="I13" s="232">
        <f t="shared" ref="I13" si="3">I10+I11</f>
        <v>110121</v>
      </c>
      <c r="J13" s="232">
        <f t="shared" si="1"/>
        <v>333531</v>
      </c>
      <c r="K13" s="232">
        <v>437357</v>
      </c>
      <c r="L13" s="232">
        <v>120739</v>
      </c>
      <c r="M13" s="232">
        <f t="shared" si="2"/>
        <v>316618</v>
      </c>
      <c r="N13" s="232">
        <v>445430</v>
      </c>
      <c r="O13" s="14"/>
      <c r="P13" s="66"/>
      <c r="Q13" s="29"/>
      <c r="R13" s="14"/>
      <c r="S13" s="14"/>
      <c r="T13" s="14"/>
      <c r="U13" s="14"/>
      <c r="V13" s="14"/>
      <c r="W13" s="14"/>
      <c r="X13" s="14"/>
      <c r="Y13" s="14"/>
    </row>
    <row r="14" spans="1:25" ht="27" x14ac:dyDescent="0.25">
      <c r="B14" s="146" t="s">
        <v>474</v>
      </c>
      <c r="C14" s="147" t="s">
        <v>731</v>
      </c>
      <c r="D14" s="147" t="s">
        <v>726</v>
      </c>
      <c r="E14" s="235">
        <v>442248</v>
      </c>
      <c r="F14" s="235">
        <v>122186</v>
      </c>
      <c r="G14" s="235">
        <f t="shared" si="0"/>
        <v>320062</v>
      </c>
      <c r="H14" s="148">
        <f>H10+H12</f>
        <v>503764</v>
      </c>
      <c r="I14" s="148">
        <v>137676</v>
      </c>
      <c r="J14" s="148">
        <f t="shared" si="1"/>
        <v>366088</v>
      </c>
      <c r="K14" s="148">
        <f>K10+K12</f>
        <v>482115</v>
      </c>
      <c r="L14" s="148">
        <f t="shared" ref="L14" si="4">L10+L12</f>
        <v>150542</v>
      </c>
      <c r="M14" s="148">
        <f t="shared" si="2"/>
        <v>331573</v>
      </c>
      <c r="N14" s="148">
        <v>504666</v>
      </c>
      <c r="O14" s="14"/>
      <c r="P14" s="67"/>
      <c r="Q14" s="29"/>
      <c r="R14" s="14"/>
      <c r="S14" s="14"/>
      <c r="T14" s="14"/>
      <c r="U14" s="14"/>
      <c r="V14" s="14"/>
      <c r="W14" s="14"/>
      <c r="X14" s="14"/>
      <c r="Y14" s="14"/>
    </row>
    <row r="15" spans="1:25" ht="30" x14ac:dyDescent="0.25">
      <c r="B15" s="149" t="s">
        <v>475</v>
      </c>
      <c r="C15" s="150" t="s">
        <v>732</v>
      </c>
      <c r="D15" s="150" t="s">
        <v>733</v>
      </c>
      <c r="E15" s="236">
        <v>3.4</v>
      </c>
      <c r="F15" s="236">
        <v>22.3</v>
      </c>
      <c r="G15" s="236">
        <v>2.6</v>
      </c>
      <c r="H15" s="233">
        <v>3.9</v>
      </c>
      <c r="I15" s="233">
        <v>20.5</v>
      </c>
      <c r="J15" s="234">
        <v>3.1</v>
      </c>
      <c r="K15" s="233">
        <v>3.9</v>
      </c>
      <c r="L15" s="233">
        <v>12.2</v>
      </c>
      <c r="M15" s="233">
        <v>3.1</v>
      </c>
      <c r="N15" s="233">
        <v>3.6</v>
      </c>
      <c r="O15" s="14"/>
      <c r="P15" s="29"/>
      <c r="Q15" s="29"/>
      <c r="R15" s="14"/>
      <c r="S15" s="14"/>
      <c r="T15" s="14"/>
      <c r="U15" s="14"/>
      <c r="V15" s="14"/>
      <c r="W15" s="14"/>
      <c r="X15" s="14"/>
      <c r="Y15" s="14"/>
    </row>
    <row r="16" spans="1:25" x14ac:dyDescent="0.25">
      <c r="B16" s="30"/>
      <c r="C16" s="30"/>
      <c r="D16" s="31"/>
      <c r="E16" s="31"/>
      <c r="F16" s="31"/>
      <c r="G16" s="32"/>
      <c r="H16" s="33"/>
      <c r="I16" s="33"/>
      <c r="J16" s="33"/>
      <c r="K16" s="33"/>
      <c r="L16" s="33"/>
      <c r="M16" s="34"/>
      <c r="N16" s="14"/>
      <c r="O16" s="14"/>
      <c r="P16" s="14"/>
      <c r="Q16" s="14"/>
      <c r="R16" s="14"/>
      <c r="S16" s="14"/>
      <c r="T16" s="14"/>
      <c r="U16" s="14"/>
      <c r="V16" s="14"/>
      <c r="W16" s="14"/>
      <c r="X16" s="14"/>
    </row>
    <row r="17" spans="2:24" x14ac:dyDescent="0.25">
      <c r="B17" s="387" t="s">
        <v>584</v>
      </c>
      <c r="C17" s="387" t="s">
        <v>734</v>
      </c>
      <c r="D17" s="388" t="s">
        <v>458</v>
      </c>
      <c r="E17" s="389" t="s">
        <v>462</v>
      </c>
      <c r="F17" s="390" t="s">
        <v>463</v>
      </c>
      <c r="G17" s="390" t="s">
        <v>464</v>
      </c>
      <c r="H17" s="390" t="s">
        <v>465</v>
      </c>
      <c r="I17" s="28"/>
      <c r="J17" s="35"/>
      <c r="K17" s="33"/>
      <c r="L17" s="33"/>
      <c r="M17" s="34"/>
      <c r="N17" s="14"/>
      <c r="O17" s="14"/>
      <c r="P17" s="14"/>
      <c r="Q17" s="14"/>
      <c r="R17" s="14"/>
      <c r="S17" s="14"/>
      <c r="T17" s="14"/>
      <c r="U17" s="14"/>
      <c r="V17" s="14"/>
      <c r="W17" s="14"/>
      <c r="X17" s="14"/>
    </row>
    <row r="18" spans="2:24" ht="40.5" x14ac:dyDescent="0.25">
      <c r="B18" s="392" t="s">
        <v>585</v>
      </c>
      <c r="C18" s="391" t="s">
        <v>735</v>
      </c>
      <c r="D18" s="392" t="s">
        <v>736</v>
      </c>
      <c r="E18" s="393">
        <v>2495473</v>
      </c>
      <c r="F18" s="394">
        <v>2978197</v>
      </c>
      <c r="G18" s="394">
        <v>2812518</v>
      </c>
      <c r="H18" s="394">
        <v>3433660</v>
      </c>
      <c r="I18" s="36"/>
      <c r="J18" s="68"/>
      <c r="K18" s="33"/>
      <c r="L18" s="33"/>
      <c r="M18" s="34"/>
      <c r="N18" s="14"/>
      <c r="O18" s="14"/>
      <c r="P18" s="14"/>
      <c r="Q18" s="14"/>
      <c r="R18" s="14"/>
      <c r="S18" s="14"/>
      <c r="T18" s="14"/>
      <c r="U18" s="14"/>
      <c r="V18" s="14"/>
      <c r="W18" s="14"/>
      <c r="X18" s="14"/>
    </row>
    <row r="19" spans="2:24" ht="27" x14ac:dyDescent="0.25">
      <c r="B19" s="392" t="s">
        <v>587</v>
      </c>
      <c r="C19" s="391" t="s">
        <v>737</v>
      </c>
      <c r="D19" s="392" t="s">
        <v>736</v>
      </c>
      <c r="E19" s="393">
        <v>182667</v>
      </c>
      <c r="F19" s="394">
        <v>348360</v>
      </c>
      <c r="G19" s="394">
        <v>308835</v>
      </c>
      <c r="H19" s="394">
        <v>399630</v>
      </c>
      <c r="I19" s="33"/>
      <c r="J19" s="33"/>
      <c r="K19" s="33"/>
      <c r="L19" s="33"/>
      <c r="M19" s="34"/>
      <c r="N19" s="14"/>
      <c r="O19" s="14"/>
      <c r="P19" s="14"/>
      <c r="Q19" s="14"/>
      <c r="R19" s="14"/>
      <c r="S19" s="14"/>
      <c r="T19" s="14"/>
      <c r="U19" s="14"/>
      <c r="V19" s="14"/>
      <c r="W19" s="14"/>
      <c r="X19" s="14"/>
    </row>
    <row r="20" spans="2:24" ht="40.5" x14ac:dyDescent="0.25">
      <c r="B20" s="392" t="s">
        <v>588</v>
      </c>
      <c r="C20" s="391" t="s">
        <v>738</v>
      </c>
      <c r="D20" s="392" t="s">
        <v>736</v>
      </c>
      <c r="E20" s="393">
        <v>41485</v>
      </c>
      <c r="F20" s="407">
        <v>47438</v>
      </c>
      <c r="G20" s="407">
        <v>39899</v>
      </c>
      <c r="H20" s="407">
        <v>41259</v>
      </c>
      <c r="I20" s="33"/>
      <c r="J20" s="33"/>
      <c r="K20" s="33"/>
      <c r="L20" s="33"/>
      <c r="M20" s="34"/>
      <c r="N20" s="14"/>
      <c r="O20" s="14"/>
      <c r="P20" s="14"/>
      <c r="Q20" s="14"/>
      <c r="R20" s="14"/>
      <c r="S20" s="14"/>
      <c r="T20" s="14"/>
      <c r="U20" s="14"/>
      <c r="V20" s="14"/>
      <c r="W20" s="14"/>
      <c r="X20" s="14"/>
    </row>
    <row r="21" spans="2:24" ht="27" x14ac:dyDescent="0.25">
      <c r="B21" s="392" t="s">
        <v>589</v>
      </c>
      <c r="C21" s="391" t="s">
        <v>739</v>
      </c>
      <c r="D21" s="392" t="s">
        <v>736</v>
      </c>
      <c r="E21" s="393">
        <v>81999</v>
      </c>
      <c r="F21" s="394">
        <v>168750</v>
      </c>
      <c r="G21" s="394">
        <v>102552</v>
      </c>
      <c r="H21" s="394">
        <v>102552</v>
      </c>
      <c r="I21" s="33"/>
      <c r="J21" s="33"/>
      <c r="K21" s="33"/>
      <c r="L21" s="33"/>
      <c r="M21" s="34"/>
      <c r="N21" s="14"/>
      <c r="O21" s="14"/>
      <c r="P21" s="14"/>
      <c r="Q21" s="14"/>
      <c r="R21" s="14"/>
      <c r="S21" s="14"/>
      <c r="T21" s="14"/>
      <c r="U21" s="14"/>
      <c r="V21" s="14"/>
      <c r="W21" s="14"/>
      <c r="X21" s="14"/>
    </row>
    <row r="22" spans="2:24" ht="40.5" x14ac:dyDescent="0.25">
      <c r="B22" s="392" t="s">
        <v>590</v>
      </c>
      <c r="C22" s="391" t="s">
        <v>740</v>
      </c>
      <c r="D22" s="392" t="s">
        <v>736</v>
      </c>
      <c r="E22" s="393">
        <v>4029</v>
      </c>
      <c r="F22" s="394">
        <v>5879</v>
      </c>
      <c r="G22" s="394">
        <v>5346</v>
      </c>
      <c r="H22" s="394">
        <v>5303</v>
      </c>
      <c r="I22" s="33"/>
      <c r="J22" s="33"/>
      <c r="K22" s="33"/>
      <c r="L22" s="33"/>
      <c r="M22" s="34"/>
      <c r="N22" s="14"/>
      <c r="O22" s="14"/>
      <c r="P22" s="14"/>
      <c r="Q22" s="14"/>
      <c r="R22" s="14"/>
      <c r="S22" s="14"/>
      <c r="T22" s="14"/>
      <c r="U22" s="14"/>
      <c r="V22" s="14"/>
      <c r="W22" s="14"/>
      <c r="X22" s="14"/>
    </row>
    <row r="23" spans="2:24" ht="67.5" x14ac:dyDescent="0.25">
      <c r="B23" s="392" t="s">
        <v>591</v>
      </c>
      <c r="C23" s="391" t="s">
        <v>741</v>
      </c>
      <c r="D23" s="392" t="s">
        <v>736</v>
      </c>
      <c r="E23" s="393">
        <v>5077.333333333333</v>
      </c>
      <c r="F23" s="394">
        <v>1336</v>
      </c>
      <c r="G23" s="394">
        <v>67</v>
      </c>
      <c r="H23" s="394">
        <v>9202</v>
      </c>
      <c r="I23" s="33"/>
      <c r="J23" s="33"/>
      <c r="K23" s="33"/>
      <c r="L23" s="33"/>
      <c r="M23" s="34"/>
      <c r="N23" s="14"/>
      <c r="O23" s="14"/>
      <c r="P23" s="14"/>
      <c r="Q23" s="14"/>
      <c r="R23" s="14"/>
      <c r="S23" s="14"/>
      <c r="T23" s="14"/>
      <c r="U23" s="14"/>
      <c r="V23" s="14"/>
      <c r="W23" s="14"/>
      <c r="X23" s="14"/>
    </row>
    <row r="24" spans="2:24" ht="40.5" x14ac:dyDescent="0.25">
      <c r="B24" s="392" t="s">
        <v>592</v>
      </c>
      <c r="C24" s="391" t="s">
        <v>742</v>
      </c>
      <c r="D24" s="392" t="s">
        <v>736</v>
      </c>
      <c r="E24" s="393">
        <v>13627</v>
      </c>
      <c r="F24" s="394">
        <v>15718</v>
      </c>
      <c r="G24" s="394">
        <v>29957</v>
      </c>
      <c r="H24" s="394">
        <v>29957</v>
      </c>
      <c r="I24" s="33"/>
      <c r="J24" s="33"/>
      <c r="K24" s="33"/>
      <c r="L24" s="33"/>
      <c r="M24" s="34"/>
      <c r="N24" s="14"/>
      <c r="O24" s="14"/>
      <c r="P24" s="14"/>
      <c r="Q24" s="14"/>
      <c r="R24" s="14"/>
      <c r="S24" s="14"/>
      <c r="T24" s="14"/>
      <c r="U24" s="14"/>
      <c r="V24" s="14"/>
      <c r="W24" s="14"/>
      <c r="X24" s="14"/>
    </row>
    <row r="25" spans="2:24" ht="16.5" x14ac:dyDescent="0.25">
      <c r="B25" s="392" t="s">
        <v>593</v>
      </c>
      <c r="C25" s="391" t="s">
        <v>743</v>
      </c>
      <c r="D25" s="392" t="s">
        <v>736</v>
      </c>
      <c r="E25" s="393">
        <v>523</v>
      </c>
      <c r="F25" s="394">
        <v>698</v>
      </c>
      <c r="G25" s="394">
        <v>602</v>
      </c>
      <c r="H25" s="394">
        <v>5094</v>
      </c>
      <c r="I25" s="33"/>
      <c r="J25" s="33"/>
      <c r="K25" s="33"/>
      <c r="L25" s="33"/>
      <c r="M25" s="34"/>
      <c r="N25" s="14"/>
      <c r="O25" s="14"/>
      <c r="P25" s="14"/>
      <c r="Q25" s="14"/>
      <c r="R25" s="14"/>
      <c r="S25" s="14"/>
      <c r="T25" s="14"/>
      <c r="U25" s="14"/>
      <c r="V25" s="14"/>
      <c r="W25" s="14"/>
      <c r="X25" s="14"/>
    </row>
    <row r="26" spans="2:24" ht="40.5" x14ac:dyDescent="0.25">
      <c r="B26" s="392" t="s">
        <v>594</v>
      </c>
      <c r="C26" s="391" t="s">
        <v>744</v>
      </c>
      <c r="D26" s="392" t="s">
        <v>736</v>
      </c>
      <c r="E26" s="393">
        <v>0</v>
      </c>
      <c r="F26" s="394">
        <v>0</v>
      </c>
      <c r="G26" s="394">
        <v>0</v>
      </c>
      <c r="H26" s="394">
        <v>0</v>
      </c>
      <c r="I26" s="33"/>
      <c r="J26" s="33"/>
      <c r="K26" s="33"/>
      <c r="L26" s="33"/>
      <c r="M26" s="34"/>
      <c r="N26" s="14"/>
      <c r="O26" s="14"/>
      <c r="P26" s="14"/>
      <c r="Q26" s="14"/>
      <c r="R26" s="14"/>
      <c r="S26" s="14"/>
      <c r="T26" s="14"/>
      <c r="U26" s="14"/>
      <c r="V26" s="14"/>
      <c r="W26" s="14"/>
      <c r="X26" s="14"/>
    </row>
    <row r="27" spans="2:24" ht="27" x14ac:dyDescent="0.25">
      <c r="B27" s="392" t="s">
        <v>595</v>
      </c>
      <c r="C27" s="391" t="s">
        <v>745</v>
      </c>
      <c r="D27" s="392" t="s">
        <v>736</v>
      </c>
      <c r="E27" s="393">
        <v>0</v>
      </c>
      <c r="F27" s="394">
        <v>0</v>
      </c>
      <c r="G27" s="394">
        <v>0</v>
      </c>
      <c r="H27" s="394">
        <v>0</v>
      </c>
      <c r="I27" s="33"/>
      <c r="J27" s="33"/>
      <c r="K27" s="33"/>
      <c r="L27" s="33"/>
      <c r="M27" s="34"/>
      <c r="N27" s="14"/>
      <c r="O27" s="14"/>
      <c r="P27" s="14"/>
      <c r="Q27" s="14"/>
      <c r="R27" s="14"/>
      <c r="S27" s="14"/>
      <c r="T27" s="14"/>
      <c r="U27" s="14"/>
      <c r="V27" s="14"/>
      <c r="W27" s="14"/>
      <c r="X27" s="14"/>
    </row>
    <row r="28" spans="2:24" ht="40.5" x14ac:dyDescent="0.25">
      <c r="B28" s="392" t="s">
        <v>596</v>
      </c>
      <c r="C28" s="391" t="s">
        <v>746</v>
      </c>
      <c r="D28" s="392" t="s">
        <v>736</v>
      </c>
      <c r="E28" s="393">
        <v>0</v>
      </c>
      <c r="F28" s="394">
        <v>0</v>
      </c>
      <c r="G28" s="394">
        <v>0</v>
      </c>
      <c r="H28" s="394">
        <v>0</v>
      </c>
      <c r="I28" s="37"/>
      <c r="J28" s="37"/>
      <c r="K28" s="33"/>
      <c r="L28" s="33"/>
      <c r="M28" s="34"/>
      <c r="N28" s="14"/>
      <c r="O28" s="14"/>
      <c r="P28" s="14"/>
      <c r="Q28" s="14"/>
      <c r="R28" s="14"/>
      <c r="S28" s="14"/>
      <c r="T28" s="14"/>
      <c r="U28" s="14"/>
      <c r="V28" s="14"/>
      <c r="W28" s="14"/>
      <c r="X28" s="14"/>
    </row>
    <row r="29" spans="2:24" ht="40.5" x14ac:dyDescent="0.25">
      <c r="B29" s="392" t="s">
        <v>747</v>
      </c>
      <c r="C29" s="391" t="s">
        <v>748</v>
      </c>
      <c r="D29" s="392" t="s">
        <v>736</v>
      </c>
      <c r="E29" s="393">
        <v>0</v>
      </c>
      <c r="F29" s="394">
        <v>0</v>
      </c>
      <c r="G29" s="394">
        <v>0</v>
      </c>
      <c r="H29" s="394">
        <v>0</v>
      </c>
      <c r="I29" s="37"/>
      <c r="J29" s="37"/>
      <c r="K29" s="33"/>
      <c r="L29" s="33"/>
      <c r="M29" s="34"/>
      <c r="N29" s="14"/>
      <c r="O29" s="14"/>
      <c r="P29" s="14"/>
      <c r="Q29" s="14"/>
      <c r="R29" s="14"/>
      <c r="S29" s="14"/>
      <c r="T29" s="14"/>
      <c r="U29" s="14"/>
      <c r="V29" s="14"/>
      <c r="W29" s="14"/>
      <c r="X29" s="14"/>
    </row>
    <row r="30" spans="2:24" ht="16.5" x14ac:dyDescent="0.25">
      <c r="B30" s="392" t="s">
        <v>600</v>
      </c>
      <c r="C30" s="391" t="s">
        <v>749</v>
      </c>
      <c r="D30" s="392" t="s">
        <v>736</v>
      </c>
      <c r="E30" s="393">
        <v>0</v>
      </c>
      <c r="F30" s="394">
        <v>0</v>
      </c>
      <c r="G30" s="394">
        <v>0</v>
      </c>
      <c r="H30" s="394">
        <v>0</v>
      </c>
      <c r="I30" s="37"/>
      <c r="J30" s="37"/>
      <c r="K30" s="33"/>
      <c r="L30" s="33"/>
      <c r="M30" s="34"/>
      <c r="N30" s="14"/>
      <c r="O30" s="14"/>
      <c r="P30" s="14"/>
      <c r="Q30" s="14"/>
      <c r="R30" s="14"/>
      <c r="S30" s="14"/>
      <c r="T30" s="14"/>
      <c r="U30" s="14"/>
      <c r="V30" s="14"/>
      <c r="W30" s="14"/>
      <c r="X30" s="14"/>
    </row>
    <row r="31" spans="2:24" ht="16.5" x14ac:dyDescent="0.25">
      <c r="B31" s="392" t="s">
        <v>601</v>
      </c>
      <c r="C31" s="391" t="s">
        <v>750</v>
      </c>
      <c r="D31" s="392" t="s">
        <v>736</v>
      </c>
      <c r="E31" s="393">
        <v>0</v>
      </c>
      <c r="F31" s="394">
        <v>0</v>
      </c>
      <c r="G31" s="394">
        <v>0</v>
      </c>
      <c r="H31" s="394">
        <v>0</v>
      </c>
      <c r="I31" s="37"/>
      <c r="J31" s="37"/>
      <c r="K31" s="33"/>
      <c r="L31" s="33"/>
      <c r="M31" s="34"/>
      <c r="N31" s="14"/>
      <c r="O31" s="14"/>
      <c r="P31" s="14"/>
      <c r="Q31" s="14"/>
      <c r="R31" s="14"/>
      <c r="S31" s="14"/>
      <c r="T31" s="14"/>
      <c r="U31" s="14"/>
      <c r="V31" s="14"/>
      <c r="W31" s="14"/>
      <c r="X31" s="14"/>
    </row>
    <row r="32" spans="2:24" ht="40.5" x14ac:dyDescent="0.25">
      <c r="B32" s="392" t="s">
        <v>602</v>
      </c>
      <c r="C32" s="391" t="s">
        <v>751</v>
      </c>
      <c r="D32" s="392" t="s">
        <v>736</v>
      </c>
      <c r="E32" s="393">
        <v>125196</v>
      </c>
      <c r="F32" s="394">
        <v>118356</v>
      </c>
      <c r="G32" s="394">
        <v>119005</v>
      </c>
      <c r="H32" s="394">
        <v>129337</v>
      </c>
      <c r="I32" s="33"/>
      <c r="J32" s="33"/>
      <c r="K32" s="33"/>
      <c r="L32" s="33"/>
      <c r="M32" s="34"/>
      <c r="N32" s="14"/>
      <c r="O32" s="14"/>
      <c r="P32" s="14"/>
      <c r="Q32" s="14"/>
      <c r="R32" s="14"/>
      <c r="S32" s="14"/>
      <c r="T32" s="14"/>
      <c r="U32" s="14"/>
      <c r="V32" s="14"/>
      <c r="W32" s="14"/>
      <c r="X32" s="14"/>
    </row>
    <row r="33" spans="2:24" ht="16.5" x14ac:dyDescent="0.25">
      <c r="B33" s="392" t="s">
        <v>752</v>
      </c>
      <c r="C33" s="392"/>
      <c r="D33" s="395" t="s">
        <v>753</v>
      </c>
      <c r="E33" s="393">
        <f>SUM(E18:E32)</f>
        <v>2950076.3333333335</v>
      </c>
      <c r="F33" s="396">
        <f>SUM(F18:F32)</f>
        <v>3684732</v>
      </c>
      <c r="G33" s="396">
        <f>SUM(G18:G32)</f>
        <v>3418781</v>
      </c>
      <c r="H33" s="396">
        <f>SUM(H18:H32)</f>
        <v>4155994</v>
      </c>
      <c r="I33" s="33"/>
      <c r="J33" s="33"/>
      <c r="K33" s="33"/>
      <c r="L33" s="33"/>
      <c r="M33" s="34"/>
      <c r="N33" s="14"/>
      <c r="O33" s="14"/>
      <c r="P33" s="14"/>
      <c r="Q33" s="14"/>
      <c r="R33" s="14"/>
      <c r="S33" s="14"/>
      <c r="T33" s="14"/>
      <c r="U33" s="14"/>
      <c r="V33" s="14"/>
      <c r="W33" s="14"/>
      <c r="X33" s="14"/>
    </row>
    <row r="34" spans="2:24" x14ac:dyDescent="0.25">
      <c r="B34" s="11"/>
      <c r="C34" s="11"/>
      <c r="D34" s="11"/>
      <c r="E34" s="11"/>
      <c r="F34" s="11"/>
      <c r="G34" s="38"/>
      <c r="H34" s="38"/>
      <c r="I34" s="33"/>
      <c r="J34" s="33"/>
      <c r="K34" s="33"/>
      <c r="L34" s="33"/>
      <c r="M34" s="34"/>
      <c r="N34" s="14"/>
      <c r="O34" s="14"/>
      <c r="P34" s="14"/>
      <c r="Q34" s="14"/>
      <c r="R34" s="14"/>
      <c r="S34" s="14"/>
      <c r="T34" s="14"/>
      <c r="U34" s="14"/>
      <c r="V34" s="14"/>
      <c r="W34" s="14"/>
      <c r="X34" s="14"/>
    </row>
    <row r="35" spans="2:24" x14ac:dyDescent="0.25">
      <c r="B35" s="39"/>
      <c r="C35" s="12"/>
      <c r="E35" s="11"/>
      <c r="F35" s="11"/>
      <c r="G35" s="38"/>
      <c r="H35" s="38"/>
      <c r="I35" s="33"/>
      <c r="J35" s="33"/>
      <c r="K35" s="33"/>
      <c r="L35" s="33"/>
      <c r="M35" s="34"/>
      <c r="N35" s="14"/>
      <c r="O35" s="14"/>
      <c r="P35" s="14"/>
      <c r="Q35" s="14"/>
      <c r="R35" s="14"/>
      <c r="S35" s="14"/>
      <c r="T35" s="14"/>
      <c r="U35" s="14"/>
      <c r="V35" s="14"/>
      <c r="W35" s="14"/>
      <c r="X35" s="14"/>
    </row>
    <row r="36" spans="2:24" x14ac:dyDescent="0.25">
      <c r="B36" s="39"/>
      <c r="C36" s="12"/>
      <c r="E36" s="11"/>
      <c r="F36" s="11"/>
      <c r="G36" s="38"/>
      <c r="H36" s="38"/>
      <c r="I36" s="33"/>
      <c r="J36" s="33"/>
      <c r="K36" s="33"/>
      <c r="L36" s="33"/>
      <c r="M36" s="34"/>
      <c r="N36" s="14"/>
      <c r="O36" s="14"/>
      <c r="P36" s="14"/>
      <c r="Q36" s="14"/>
      <c r="R36" s="14"/>
      <c r="S36" s="14"/>
      <c r="T36" s="14"/>
      <c r="U36" s="14"/>
      <c r="V36" s="14"/>
      <c r="W36" s="14"/>
      <c r="X36" s="14"/>
    </row>
    <row r="37" spans="2:24" x14ac:dyDescent="0.25">
      <c r="B37" s="11"/>
      <c r="C37" s="11"/>
      <c r="D37" s="11"/>
      <c r="E37" s="11"/>
      <c r="F37" s="11"/>
      <c r="G37" s="38"/>
      <c r="H37" s="38"/>
      <c r="I37" s="38"/>
      <c r="J37" s="40"/>
      <c r="K37" s="40"/>
      <c r="L37" s="40"/>
      <c r="M37" s="14"/>
      <c r="N37" s="14"/>
      <c r="O37" s="14"/>
      <c r="P37" s="14"/>
      <c r="Q37" s="14"/>
      <c r="R37" s="14"/>
      <c r="S37" s="14"/>
      <c r="T37" s="14"/>
      <c r="U37" s="14"/>
      <c r="V37" s="14"/>
      <c r="W37" s="14"/>
      <c r="X37" s="14"/>
    </row>
    <row r="38" spans="2:24" ht="17.5" x14ac:dyDescent="0.25">
      <c r="B38" s="226" t="s">
        <v>754</v>
      </c>
      <c r="C38" s="157"/>
      <c r="D38" s="227" t="s">
        <v>458</v>
      </c>
      <c r="E38" s="265" t="str">
        <f>E17</f>
        <v>2022/23</v>
      </c>
      <c r="F38" s="266" t="str">
        <f>F17</f>
        <v>2021/22</v>
      </c>
      <c r="G38" s="266" t="str">
        <f>G17</f>
        <v>2020/21</v>
      </c>
      <c r="H38" s="266" t="str">
        <f>H17</f>
        <v>2019/20</v>
      </c>
      <c r="I38" s="38"/>
      <c r="J38" s="40"/>
      <c r="K38" s="40"/>
      <c r="L38" s="40"/>
      <c r="M38" s="14"/>
      <c r="N38" s="14"/>
      <c r="O38" s="14"/>
      <c r="P38" s="14"/>
      <c r="Q38" s="14"/>
      <c r="R38" s="14"/>
      <c r="S38" s="14"/>
      <c r="T38" s="14"/>
      <c r="U38" s="14"/>
      <c r="V38" s="14"/>
      <c r="W38" s="14"/>
      <c r="X38" s="14"/>
    </row>
    <row r="39" spans="2:24" ht="16.5" x14ac:dyDescent="0.25">
      <c r="B39" s="158" t="str">
        <f>B10</f>
        <v>Total Scope 1 GHG emissions</v>
      </c>
      <c r="C39" s="159" t="s">
        <v>467</v>
      </c>
      <c r="D39" s="153" t="s">
        <v>736</v>
      </c>
      <c r="E39" s="238">
        <f>E10</f>
        <v>235892</v>
      </c>
      <c r="F39" s="160">
        <f>H10</f>
        <v>262233</v>
      </c>
      <c r="G39" s="160">
        <f>K10</f>
        <v>255832</v>
      </c>
      <c r="H39" s="160">
        <f>N10</f>
        <v>253097</v>
      </c>
      <c r="J39" s="69"/>
      <c r="K39" s="40"/>
      <c r="L39" s="40"/>
      <c r="M39" s="14"/>
      <c r="N39" s="14"/>
      <c r="O39" s="14"/>
      <c r="P39" s="14"/>
      <c r="Q39" s="14"/>
      <c r="R39" s="14"/>
      <c r="S39" s="14"/>
      <c r="T39" s="14"/>
      <c r="U39" s="14"/>
      <c r="V39" s="14"/>
      <c r="W39" s="14"/>
      <c r="X39" s="14"/>
    </row>
    <row r="40" spans="2:24" ht="16.5" x14ac:dyDescent="0.25">
      <c r="B40" s="158" t="str">
        <f>B11</f>
        <v>Total Scope 2 GHG emissions (market-based)</v>
      </c>
      <c r="C40" s="159" t="s">
        <v>467</v>
      </c>
      <c r="D40" s="153" t="s">
        <v>736</v>
      </c>
      <c r="E40" s="238">
        <f>E11</f>
        <v>131449</v>
      </c>
      <c r="F40" s="160">
        <f>H11</f>
        <v>181419</v>
      </c>
      <c r="G40" s="160">
        <f>K11</f>
        <v>181525</v>
      </c>
      <c r="H40" s="160">
        <f>N11</f>
        <v>192333</v>
      </c>
      <c r="J40" s="69"/>
      <c r="K40" s="40"/>
      <c r="L40" s="40"/>
      <c r="M40" s="14"/>
      <c r="N40" s="14"/>
      <c r="O40" s="14"/>
      <c r="P40" s="14"/>
      <c r="Q40" s="14"/>
      <c r="R40" s="14"/>
      <c r="S40" s="14"/>
      <c r="T40" s="14"/>
      <c r="U40" s="14"/>
      <c r="V40" s="14"/>
      <c r="W40" s="14"/>
      <c r="X40" s="14"/>
    </row>
    <row r="41" spans="2:24" ht="16.5" x14ac:dyDescent="0.25">
      <c r="B41" s="158" t="str">
        <f>"Scope 3 - "&amp;B18</f>
        <v>Scope 3 - Total Scope 3 (Category 1) Purchased goods and services GHG emissions</v>
      </c>
      <c r="C41" s="152" t="s">
        <v>755</v>
      </c>
      <c r="D41" s="153" t="s">
        <v>736</v>
      </c>
      <c r="E41" s="238">
        <f>E18</f>
        <v>2495473</v>
      </c>
      <c r="F41" s="160">
        <f>F18</f>
        <v>2978197</v>
      </c>
      <c r="G41" s="160">
        <f>G18</f>
        <v>2812518</v>
      </c>
      <c r="H41" s="160">
        <f>H18</f>
        <v>3433660</v>
      </c>
      <c r="J41" s="69"/>
      <c r="K41" s="40"/>
      <c r="L41" s="40"/>
      <c r="M41" s="14"/>
      <c r="N41" s="14"/>
      <c r="O41" s="14"/>
      <c r="P41" s="14"/>
      <c r="Q41" s="14"/>
      <c r="R41" s="14"/>
      <c r="S41" s="14"/>
      <c r="T41" s="14"/>
      <c r="U41" s="14"/>
      <c r="V41" s="14"/>
      <c r="W41" s="14"/>
      <c r="X41" s="14"/>
    </row>
    <row r="42" spans="2:24" ht="16.5" x14ac:dyDescent="0.25">
      <c r="B42" s="158" t="str">
        <f>"Scope 3 - All other categories"</f>
        <v>Scope 3 - All other categories</v>
      </c>
      <c r="C42" s="159" t="s">
        <v>756</v>
      </c>
      <c r="D42" s="153" t="s">
        <v>736</v>
      </c>
      <c r="E42" s="238">
        <f>E33-E18</f>
        <v>454603.33333333349</v>
      </c>
      <c r="F42" s="160">
        <f>F33-F18</f>
        <v>706535</v>
      </c>
      <c r="G42" s="160">
        <f>G33-G18</f>
        <v>606263</v>
      </c>
      <c r="H42" s="160">
        <f>H33-H18</f>
        <v>722334</v>
      </c>
      <c r="J42" s="69"/>
      <c r="K42" s="40"/>
      <c r="L42" s="40"/>
      <c r="M42" s="14"/>
      <c r="N42" s="14"/>
      <c r="O42" s="14"/>
      <c r="P42" s="14"/>
      <c r="Q42" s="14"/>
      <c r="R42" s="14"/>
      <c r="S42" s="14"/>
      <c r="T42" s="14"/>
      <c r="U42" s="14"/>
      <c r="V42" s="14"/>
      <c r="W42" s="14"/>
      <c r="X42" s="14"/>
    </row>
    <row r="43" spans="2:24" ht="16.5" x14ac:dyDescent="0.25">
      <c r="B43" s="230" t="s">
        <v>757</v>
      </c>
      <c r="C43" s="230"/>
      <c r="D43" s="155" t="s">
        <v>753</v>
      </c>
      <c r="E43" s="238">
        <f>SUM(E39:E42)</f>
        <v>3317417.3333333335</v>
      </c>
      <c r="F43" s="231">
        <f t="shared" ref="F43:H43" si="5">SUM(F39:F42)</f>
        <v>4128384</v>
      </c>
      <c r="G43" s="231">
        <f t="shared" si="5"/>
        <v>3856138</v>
      </c>
      <c r="H43" s="231">
        <f t="shared" si="5"/>
        <v>4601424</v>
      </c>
      <c r="J43" s="69"/>
      <c r="K43" s="40"/>
      <c r="L43" s="40"/>
      <c r="M43" s="14"/>
      <c r="N43" s="14"/>
      <c r="O43" s="14"/>
      <c r="P43" s="14"/>
      <c r="Q43" s="14"/>
      <c r="R43" s="14"/>
      <c r="S43" s="14"/>
      <c r="T43" s="14"/>
      <c r="U43" s="14"/>
      <c r="V43" s="14"/>
      <c r="W43" s="14"/>
      <c r="X43" s="14"/>
    </row>
    <row r="44" spans="2:24" x14ac:dyDescent="0.25">
      <c r="B44" s="11"/>
      <c r="C44" s="11"/>
      <c r="D44" s="11"/>
      <c r="E44" s="11"/>
      <c r="F44" s="11"/>
      <c r="G44" s="38"/>
      <c r="H44" s="38"/>
      <c r="I44" s="38"/>
      <c r="J44" s="40"/>
      <c r="K44" s="40"/>
      <c r="L44" s="40"/>
      <c r="M44" s="14"/>
      <c r="N44" s="14"/>
      <c r="O44" s="14"/>
      <c r="P44" s="14"/>
      <c r="Q44" s="14"/>
      <c r="R44" s="14"/>
      <c r="S44" s="14"/>
      <c r="T44" s="14"/>
      <c r="U44" s="14"/>
      <c r="V44" s="14"/>
      <c r="W44" s="14"/>
      <c r="X44" s="14"/>
    </row>
    <row r="45" spans="2:24" ht="24.5" x14ac:dyDescent="0.45">
      <c r="B45" s="41" t="s">
        <v>643</v>
      </c>
      <c r="C45" s="21"/>
      <c r="D45" s="22"/>
      <c r="E45" s="22"/>
      <c r="F45" s="22"/>
      <c r="G45" s="1821"/>
      <c r="H45" s="1821"/>
      <c r="I45" s="1821"/>
      <c r="J45" s="1822"/>
      <c r="K45" s="1822"/>
      <c r="L45" s="1822"/>
      <c r="M45" s="1822"/>
      <c r="N45" s="1822"/>
      <c r="O45" s="1822"/>
    </row>
    <row r="46" spans="2:24" x14ac:dyDescent="0.25">
      <c r="B46" s="42"/>
      <c r="C46" s="43"/>
      <c r="D46" s="44"/>
      <c r="E46" s="45"/>
      <c r="F46" s="44"/>
      <c r="G46" s="44"/>
      <c r="H46" s="44"/>
    </row>
    <row r="47" spans="2:24" ht="19.5" x14ac:dyDescent="0.25">
      <c r="B47" s="241" t="s">
        <v>38</v>
      </c>
      <c r="C47" s="242" t="s">
        <v>734</v>
      </c>
      <c r="D47" s="227"/>
      <c r="E47" s="243" t="s">
        <v>462</v>
      </c>
      <c r="F47" s="267" t="s">
        <v>463</v>
      </c>
      <c r="G47" s="268" t="s">
        <v>464</v>
      </c>
      <c r="H47" s="268" t="s">
        <v>465</v>
      </c>
    </row>
    <row r="48" spans="2:24" ht="18" customHeight="1" x14ac:dyDescent="0.25">
      <c r="B48" s="184" t="s">
        <v>644</v>
      </c>
      <c r="C48" s="162"/>
      <c r="D48" s="161"/>
      <c r="E48" s="163"/>
      <c r="F48" s="163"/>
      <c r="G48" s="163"/>
      <c r="H48" s="163"/>
    </row>
    <row r="49" spans="2:11" ht="18" customHeight="1" x14ac:dyDescent="0.25">
      <c r="B49" s="164" t="s">
        <v>645</v>
      </c>
      <c r="C49" s="165" t="s">
        <v>758</v>
      </c>
      <c r="D49" s="166" t="s">
        <v>759</v>
      </c>
      <c r="E49" s="239">
        <v>1750260</v>
      </c>
      <c r="F49" s="167">
        <v>2116235</v>
      </c>
      <c r="G49" s="168">
        <v>2008299</v>
      </c>
      <c r="H49" s="168">
        <v>2205806</v>
      </c>
    </row>
    <row r="50" spans="2:11" ht="18" customHeight="1" x14ac:dyDescent="0.25">
      <c r="B50" s="164" t="s">
        <v>646</v>
      </c>
      <c r="C50" s="165" t="s">
        <v>760</v>
      </c>
      <c r="D50" s="166" t="s">
        <v>759</v>
      </c>
      <c r="E50" s="240">
        <v>0</v>
      </c>
      <c r="F50" s="169">
        <v>39220</v>
      </c>
      <c r="G50" s="170">
        <v>47064</v>
      </c>
      <c r="H50" s="170">
        <v>63024</v>
      </c>
    </row>
    <row r="51" spans="2:11" ht="40.5" x14ac:dyDescent="0.25">
      <c r="B51" s="164" t="s">
        <v>647</v>
      </c>
      <c r="C51" s="165" t="s">
        <v>761</v>
      </c>
      <c r="D51" s="166" t="s">
        <v>759</v>
      </c>
      <c r="E51" s="240">
        <v>95221</v>
      </c>
      <c r="F51" s="169">
        <v>128713</v>
      </c>
      <c r="G51" s="171">
        <v>113638</v>
      </c>
      <c r="H51" s="171">
        <v>108276</v>
      </c>
    </row>
    <row r="52" spans="2:11" ht="27" x14ac:dyDescent="0.25">
      <c r="B52" s="172" t="s">
        <v>762</v>
      </c>
      <c r="C52" s="173" t="s">
        <v>763</v>
      </c>
      <c r="D52" s="174" t="s">
        <v>764</v>
      </c>
      <c r="E52" s="163">
        <f>SUM(E49:E51)</f>
        <v>1845481</v>
      </c>
      <c r="F52" s="175">
        <f>SUM(F49:F51)</f>
        <v>2284168</v>
      </c>
      <c r="G52" s="175">
        <f t="shared" ref="G52:H52" si="6">SUM(G49:G51)</f>
        <v>2169001</v>
      </c>
      <c r="H52" s="175">
        <f t="shared" si="6"/>
        <v>2377106</v>
      </c>
    </row>
    <row r="53" spans="2:11" ht="18" customHeight="1" x14ac:dyDescent="0.25">
      <c r="B53" s="184" t="s">
        <v>765</v>
      </c>
      <c r="C53" s="162"/>
      <c r="D53" s="161"/>
      <c r="E53" s="163"/>
      <c r="F53" s="163"/>
      <c r="G53" s="163"/>
      <c r="H53" s="163"/>
    </row>
    <row r="54" spans="2:11" ht="40.5" x14ac:dyDescent="0.25">
      <c r="B54" s="178" t="s">
        <v>766</v>
      </c>
      <c r="C54" s="165" t="s">
        <v>767</v>
      </c>
      <c r="D54" s="174" t="s">
        <v>759</v>
      </c>
      <c r="E54" s="239">
        <v>48993</v>
      </c>
      <c r="F54" s="177">
        <v>115790</v>
      </c>
      <c r="G54" s="177">
        <v>105378</v>
      </c>
      <c r="H54" s="177">
        <v>117936</v>
      </c>
    </row>
    <row r="55" spans="2:11" ht="17.5" x14ac:dyDescent="0.25">
      <c r="B55" s="184" t="s">
        <v>656</v>
      </c>
      <c r="C55" s="162"/>
      <c r="D55" s="161"/>
      <c r="E55" s="163"/>
      <c r="F55" s="163"/>
      <c r="G55" s="163"/>
      <c r="H55" s="163"/>
    </row>
    <row r="56" spans="2:11" ht="54" x14ac:dyDescent="0.25">
      <c r="B56" s="172" t="s">
        <v>768</v>
      </c>
      <c r="C56" s="178" t="s">
        <v>769</v>
      </c>
      <c r="D56" s="172" t="s">
        <v>770</v>
      </c>
      <c r="E56" s="239">
        <f>(E52-E54)/1000</f>
        <v>1796.4880000000001</v>
      </c>
      <c r="F56" s="176">
        <f>(F52-F54)/1000</f>
        <v>2168.3780000000002</v>
      </c>
      <c r="G56" s="176">
        <f>(G52-G54)/1000</f>
        <v>2063.623</v>
      </c>
      <c r="H56" s="176">
        <f>(H52-H54)/1000</f>
        <v>2259.17</v>
      </c>
      <c r="J56" s="46"/>
      <c r="K56" s="46"/>
    </row>
    <row r="57" spans="2:11" x14ac:dyDescent="0.25">
      <c r="B57" s="71"/>
      <c r="C57" s="71"/>
      <c r="D57" s="71"/>
      <c r="E57" s="398"/>
      <c r="F57" s="397"/>
      <c r="G57" s="397"/>
      <c r="H57" s="397"/>
      <c r="J57" s="56"/>
      <c r="K57" s="56"/>
    </row>
    <row r="58" spans="2:11" ht="189" x14ac:dyDescent="0.25">
      <c r="B58" s="230" t="s">
        <v>507</v>
      </c>
      <c r="C58" s="230" t="s">
        <v>771</v>
      </c>
      <c r="D58" s="191" t="s">
        <v>772</v>
      </c>
      <c r="E58" s="354"/>
      <c r="F58" s="354"/>
      <c r="G58" s="354"/>
      <c r="H58" s="397"/>
      <c r="J58" s="56"/>
      <c r="K58" s="56"/>
    </row>
    <row r="59" spans="2:11" x14ac:dyDescent="0.25">
      <c r="B59" s="71"/>
      <c r="C59" s="71"/>
      <c r="D59" s="71"/>
      <c r="E59" s="398"/>
      <c r="F59" s="397"/>
      <c r="G59" s="397"/>
      <c r="H59" s="397"/>
      <c r="J59" s="56"/>
      <c r="K59" s="56"/>
    </row>
    <row r="60" spans="2:11" ht="17.5" x14ac:dyDescent="0.25">
      <c r="B60" s="184" t="s">
        <v>773</v>
      </c>
      <c r="C60" s="162"/>
      <c r="D60" s="161"/>
      <c r="E60" s="163"/>
      <c r="F60" s="179"/>
      <c r="G60" s="163"/>
      <c r="H60" s="163"/>
      <c r="I60" s="46"/>
      <c r="J60" s="46"/>
    </row>
    <row r="61" spans="2:11" ht="67.5" x14ac:dyDescent="0.25">
      <c r="B61" s="180" t="s">
        <v>652</v>
      </c>
      <c r="C61" s="181" t="s">
        <v>774</v>
      </c>
      <c r="D61" s="182" t="s">
        <v>775</v>
      </c>
      <c r="E61" s="382">
        <v>1383764</v>
      </c>
      <c r="F61" s="203">
        <v>1637952</v>
      </c>
      <c r="G61" s="203">
        <v>1777400</v>
      </c>
      <c r="H61" s="203">
        <v>1678964</v>
      </c>
      <c r="I61" s="46"/>
      <c r="J61" s="46"/>
    </row>
    <row r="62" spans="2:11" ht="81" x14ac:dyDescent="0.25">
      <c r="B62" s="172" t="s">
        <v>508</v>
      </c>
      <c r="C62" s="178" t="s">
        <v>776</v>
      </c>
      <c r="D62" s="172" t="s">
        <v>509</v>
      </c>
      <c r="E62" s="161">
        <v>238</v>
      </c>
      <c r="F62" s="172">
        <v>192</v>
      </c>
      <c r="G62" s="172">
        <v>109</v>
      </c>
      <c r="H62" s="172">
        <v>240</v>
      </c>
      <c r="I62" s="56"/>
      <c r="J62" s="56"/>
    </row>
    <row r="63" spans="2:11" ht="27" x14ac:dyDescent="0.25">
      <c r="B63" s="172" t="s">
        <v>777</v>
      </c>
      <c r="C63" s="178" t="s">
        <v>778</v>
      </c>
      <c r="D63" s="172" t="s">
        <v>494</v>
      </c>
      <c r="E63" s="260">
        <v>0.74</v>
      </c>
      <c r="F63" s="183">
        <v>0.78</v>
      </c>
      <c r="G63" s="183">
        <v>0.79</v>
      </c>
      <c r="H63" s="183">
        <v>0.72</v>
      </c>
      <c r="I63" s="56"/>
      <c r="J63" s="56"/>
    </row>
    <row r="64" spans="2:11" ht="18" customHeight="1" x14ac:dyDescent="0.25">
      <c r="B64" s="47"/>
      <c r="C64" s="48"/>
      <c r="D64" s="54"/>
      <c r="E64" s="54"/>
      <c r="F64" s="55"/>
      <c r="G64" s="55"/>
      <c r="H64" s="55"/>
      <c r="I64" s="56"/>
      <c r="J64" s="56"/>
    </row>
    <row r="65" spans="2:15" ht="19.5" x14ac:dyDescent="0.25">
      <c r="B65" s="241" t="s">
        <v>170</v>
      </c>
      <c r="C65" s="242" t="s">
        <v>734</v>
      </c>
      <c r="D65" s="227"/>
      <c r="E65" s="243" t="s">
        <v>462</v>
      </c>
      <c r="F65" s="267" t="s">
        <v>463</v>
      </c>
      <c r="G65" s="268" t="s">
        <v>464</v>
      </c>
      <c r="H65" s="268" t="s">
        <v>465</v>
      </c>
    </row>
    <row r="66" spans="2:15" ht="18" customHeight="1" x14ac:dyDescent="0.25">
      <c r="B66" s="244" t="s">
        <v>779</v>
      </c>
      <c r="C66" s="246"/>
      <c r="D66" s="221"/>
      <c r="E66" s="239"/>
      <c r="F66" s="239"/>
      <c r="G66" s="239"/>
      <c r="H66" s="239"/>
    </row>
    <row r="67" spans="2:15" ht="40.5" x14ac:dyDescent="0.25">
      <c r="B67" s="165" t="s">
        <v>667</v>
      </c>
      <c r="C67" s="185" t="s">
        <v>780</v>
      </c>
      <c r="D67" s="186" t="s">
        <v>512</v>
      </c>
      <c r="E67" s="261">
        <v>38725.5</v>
      </c>
      <c r="F67" s="187">
        <v>57555</v>
      </c>
      <c r="G67" s="187">
        <v>54207.8</v>
      </c>
      <c r="H67" s="188">
        <v>53861.3</v>
      </c>
    </row>
    <row r="68" spans="2:15" ht="40.5" x14ac:dyDescent="0.25">
      <c r="B68" s="158" t="s">
        <v>668</v>
      </c>
      <c r="C68" s="185" t="s">
        <v>781</v>
      </c>
      <c r="D68" s="186" t="s">
        <v>512</v>
      </c>
      <c r="E68" s="261">
        <v>3356</v>
      </c>
      <c r="F68" s="189">
        <v>2991.8</v>
      </c>
      <c r="G68" s="189">
        <v>3042.7</v>
      </c>
      <c r="H68" s="188">
        <v>2973.4</v>
      </c>
    </row>
    <row r="69" spans="2:15" ht="40.5" x14ac:dyDescent="0.25">
      <c r="B69" s="158" t="s">
        <v>669</v>
      </c>
      <c r="C69" s="185" t="s">
        <v>782</v>
      </c>
      <c r="D69" s="186" t="s">
        <v>512</v>
      </c>
      <c r="E69" s="261">
        <v>7059.4</v>
      </c>
      <c r="F69" s="189">
        <v>19367.3</v>
      </c>
      <c r="G69" s="189">
        <v>18165.5</v>
      </c>
      <c r="H69" s="188">
        <v>7902.9</v>
      </c>
    </row>
    <row r="70" spans="2:15" ht="40.5" x14ac:dyDescent="0.25">
      <c r="B70" s="158" t="s">
        <v>670</v>
      </c>
      <c r="C70" s="185" t="s">
        <v>783</v>
      </c>
      <c r="D70" s="186" t="s">
        <v>512</v>
      </c>
      <c r="E70" s="261">
        <v>14011</v>
      </c>
      <c r="F70" s="189">
        <v>16667</v>
      </c>
      <c r="G70" s="189">
        <v>12360.6</v>
      </c>
      <c r="H70" s="188">
        <v>15456.5</v>
      </c>
    </row>
    <row r="71" spans="2:15" x14ac:dyDescent="0.25">
      <c r="B71" s="190" t="s">
        <v>784</v>
      </c>
      <c r="C71" s="155"/>
      <c r="D71" s="191" t="s">
        <v>512</v>
      </c>
      <c r="E71" s="239">
        <f>E67+E68</f>
        <v>42081.5</v>
      </c>
      <c r="F71" s="192">
        <f>F67+F68</f>
        <v>60546.8</v>
      </c>
      <c r="G71" s="192">
        <f t="shared" ref="G71:H71" si="7">G67+G68</f>
        <v>57250.5</v>
      </c>
      <c r="H71" s="176">
        <f t="shared" si="7"/>
        <v>56834.700000000004</v>
      </c>
    </row>
    <row r="72" spans="2:15" ht="40.5" x14ac:dyDescent="0.25">
      <c r="B72" s="190" t="s">
        <v>516</v>
      </c>
      <c r="C72" s="193" t="s">
        <v>785</v>
      </c>
      <c r="D72" s="191" t="s">
        <v>512</v>
      </c>
      <c r="E72" s="239">
        <v>63152</v>
      </c>
      <c r="F72" s="168">
        <v>96581.4</v>
      </c>
      <c r="G72" s="168">
        <v>87776.6</v>
      </c>
      <c r="H72" s="168">
        <v>80194</v>
      </c>
    </row>
    <row r="73" spans="2:15" ht="17.5" x14ac:dyDescent="0.25">
      <c r="B73" s="244" t="s">
        <v>675</v>
      </c>
      <c r="C73" s="222"/>
      <c r="D73" s="221"/>
      <c r="E73" s="239"/>
      <c r="F73" s="239"/>
      <c r="G73" s="239"/>
      <c r="H73" s="239"/>
    </row>
    <row r="74" spans="2:15" ht="54" x14ac:dyDescent="0.25">
      <c r="B74" s="185" t="s">
        <v>676</v>
      </c>
      <c r="C74" s="185" t="s">
        <v>786</v>
      </c>
      <c r="D74" s="186" t="s">
        <v>512</v>
      </c>
      <c r="E74" s="261">
        <v>858.5</v>
      </c>
      <c r="F74" s="188">
        <v>1862</v>
      </c>
      <c r="G74" s="188">
        <v>1042</v>
      </c>
      <c r="H74" s="188">
        <v>1651</v>
      </c>
    </row>
    <row r="75" spans="2:15" ht="40.5" x14ac:dyDescent="0.25">
      <c r="B75" s="185" t="s">
        <v>677</v>
      </c>
      <c r="C75" s="185" t="s">
        <v>787</v>
      </c>
      <c r="D75" s="186" t="s">
        <v>512</v>
      </c>
      <c r="E75" s="261">
        <v>3871</v>
      </c>
      <c r="F75" s="188">
        <v>17759</v>
      </c>
      <c r="G75" s="188">
        <v>16598</v>
      </c>
      <c r="H75" s="188">
        <v>5860.4</v>
      </c>
    </row>
    <row r="76" spans="2:15" ht="40.5" x14ac:dyDescent="0.25">
      <c r="B76" s="185" t="s">
        <v>678</v>
      </c>
      <c r="C76" s="185" t="s">
        <v>788</v>
      </c>
      <c r="D76" s="186" t="s">
        <v>512</v>
      </c>
      <c r="E76" s="261">
        <v>2057</v>
      </c>
      <c r="F76" s="188">
        <v>2821</v>
      </c>
      <c r="G76" s="188">
        <v>1607</v>
      </c>
      <c r="H76" s="188">
        <v>1556.1</v>
      </c>
    </row>
    <row r="77" spans="2:15" ht="27" x14ac:dyDescent="0.25">
      <c r="B77" s="193" t="s">
        <v>789</v>
      </c>
      <c r="C77" s="193" t="s">
        <v>790</v>
      </c>
      <c r="D77" s="191" t="s">
        <v>512</v>
      </c>
      <c r="E77" s="239">
        <v>6787</v>
      </c>
      <c r="F77" s="176">
        <f>SUM(F74:F76)</f>
        <v>22442</v>
      </c>
      <c r="G77" s="176">
        <f>SUM(G74:G76)</f>
        <v>19247</v>
      </c>
      <c r="H77" s="176">
        <f>SUM(H74:H76)</f>
        <v>9067.5</v>
      </c>
      <c r="L77" s="49"/>
    </row>
    <row r="78" spans="2:15" ht="54" x14ac:dyDescent="0.25">
      <c r="B78" s="185" t="s">
        <v>680</v>
      </c>
      <c r="C78" s="185" t="s">
        <v>791</v>
      </c>
      <c r="D78" s="186" t="s">
        <v>512</v>
      </c>
      <c r="E78" s="261">
        <v>365.8</v>
      </c>
      <c r="F78" s="188">
        <v>2518</v>
      </c>
      <c r="G78" s="188">
        <v>2272</v>
      </c>
      <c r="H78" s="188">
        <v>2613</v>
      </c>
      <c r="L78" s="49"/>
      <c r="O78" s="49"/>
    </row>
    <row r="79" spans="2:15" ht="40.5" x14ac:dyDescent="0.25">
      <c r="B79" s="185" t="s">
        <v>792</v>
      </c>
      <c r="C79" s="185" t="s">
        <v>793</v>
      </c>
      <c r="D79" s="186" t="s">
        <v>512</v>
      </c>
      <c r="E79" s="261">
        <v>15710</v>
      </c>
      <c r="F79" s="188">
        <v>27687</v>
      </c>
      <c r="G79" s="188">
        <v>36293</v>
      </c>
      <c r="H79" s="188">
        <v>41255.199999999997</v>
      </c>
      <c r="L79" s="49"/>
      <c r="O79" s="49"/>
    </row>
    <row r="80" spans="2:15" ht="27" x14ac:dyDescent="0.25">
      <c r="B80" s="185" t="s">
        <v>682</v>
      </c>
      <c r="C80" s="185" t="s">
        <v>794</v>
      </c>
      <c r="D80" s="186" t="s">
        <v>512</v>
      </c>
      <c r="E80" s="261">
        <v>2333</v>
      </c>
      <c r="F80" s="188">
        <v>1640</v>
      </c>
      <c r="G80" s="188">
        <v>2188</v>
      </c>
      <c r="H80" s="188">
        <v>2129</v>
      </c>
    </row>
    <row r="81" spans="2:8" ht="27" x14ac:dyDescent="0.25">
      <c r="B81" s="193" t="s">
        <v>683</v>
      </c>
      <c r="C81" s="193" t="s">
        <v>795</v>
      </c>
      <c r="D81" s="191" t="s">
        <v>512</v>
      </c>
      <c r="E81" s="239">
        <f>E78+E79+E80</f>
        <v>18408.8</v>
      </c>
      <c r="F81" s="176">
        <f>F78+F79+F80</f>
        <v>31845</v>
      </c>
      <c r="G81" s="176">
        <f>G78+G79+G80</f>
        <v>40753</v>
      </c>
      <c r="H81" s="176">
        <f>SUM(H78:H80)</f>
        <v>45997.2</v>
      </c>
    </row>
    <row r="82" spans="2:8" ht="27" x14ac:dyDescent="0.25">
      <c r="B82" s="193" t="s">
        <v>684</v>
      </c>
      <c r="C82" s="193" t="s">
        <v>796</v>
      </c>
      <c r="D82" s="191" t="s">
        <v>512</v>
      </c>
      <c r="E82" s="239">
        <f>E77+E81</f>
        <v>25195.8</v>
      </c>
      <c r="F82" s="176">
        <f>F77+F81</f>
        <v>54287</v>
      </c>
      <c r="G82" s="176">
        <f>G77+G81</f>
        <v>60000</v>
      </c>
      <c r="H82" s="176">
        <f>H77+H81</f>
        <v>55064.7</v>
      </c>
    </row>
    <row r="83" spans="2:8" x14ac:dyDescent="0.25">
      <c r="B83" s="193" t="s">
        <v>797</v>
      </c>
      <c r="C83" s="193" t="s">
        <v>798</v>
      </c>
      <c r="D83" s="191" t="s">
        <v>512</v>
      </c>
      <c r="E83" s="239">
        <f>E76+E80</f>
        <v>4390</v>
      </c>
      <c r="F83" s="176">
        <f>F76+F80</f>
        <v>4461</v>
      </c>
      <c r="G83" s="176">
        <f>G76+G80</f>
        <v>3795</v>
      </c>
      <c r="H83" s="176">
        <f>H76+H80</f>
        <v>3685.1</v>
      </c>
    </row>
    <row r="84" spans="2:8" ht="17.5" x14ac:dyDescent="0.25">
      <c r="B84" s="244" t="s">
        <v>686</v>
      </c>
      <c r="C84" s="222"/>
      <c r="D84" s="221"/>
      <c r="E84" s="239"/>
      <c r="F84" s="239"/>
      <c r="G84" s="239"/>
      <c r="H84" s="239"/>
    </row>
    <row r="85" spans="2:8" ht="67.5" x14ac:dyDescent="0.25">
      <c r="B85" s="194" t="s">
        <v>799</v>
      </c>
      <c r="C85" s="153" t="s">
        <v>800</v>
      </c>
      <c r="D85" s="186" t="s">
        <v>512</v>
      </c>
      <c r="E85" s="262">
        <v>137.49</v>
      </c>
      <c r="F85" s="195">
        <v>795.82</v>
      </c>
      <c r="G85" s="195">
        <v>106.2</v>
      </c>
      <c r="H85" s="195">
        <v>129.58000000000001</v>
      </c>
    </row>
    <row r="86" spans="2:8" ht="67.5" x14ac:dyDescent="0.25">
      <c r="B86" s="194" t="s">
        <v>801</v>
      </c>
      <c r="C86" s="153" t="s">
        <v>802</v>
      </c>
      <c r="D86" s="186" t="s">
        <v>512</v>
      </c>
      <c r="E86" s="262">
        <v>919.51</v>
      </c>
      <c r="F86" s="195">
        <v>895.95</v>
      </c>
      <c r="G86" s="195">
        <v>1788.73</v>
      </c>
      <c r="H86" s="195">
        <v>2782.26</v>
      </c>
    </row>
    <row r="87" spans="2:8" ht="54" x14ac:dyDescent="0.25">
      <c r="B87" s="194" t="s">
        <v>689</v>
      </c>
      <c r="C87" s="153" t="s">
        <v>803</v>
      </c>
      <c r="D87" s="186" t="s">
        <v>512</v>
      </c>
      <c r="E87" s="262">
        <v>14145.51</v>
      </c>
      <c r="F87" s="195">
        <v>12796.66</v>
      </c>
      <c r="G87" s="188">
        <v>11172.38</v>
      </c>
      <c r="H87" s="188">
        <v>14162.31</v>
      </c>
    </row>
    <row r="88" spans="2:8" ht="54" x14ac:dyDescent="0.25">
      <c r="B88" s="194" t="s">
        <v>690</v>
      </c>
      <c r="C88" s="153" t="s">
        <v>804</v>
      </c>
      <c r="D88" s="186" t="s">
        <v>512</v>
      </c>
      <c r="E88" s="262">
        <v>22752.959999999999</v>
      </c>
      <c r="F88" s="195">
        <v>27805.8</v>
      </c>
      <c r="G88" s="195">
        <v>14709.48</v>
      </c>
      <c r="H88" s="195">
        <v>8054.6</v>
      </c>
    </row>
    <row r="89" spans="2:8" ht="67.5" x14ac:dyDescent="0.25">
      <c r="B89" s="190" t="s">
        <v>691</v>
      </c>
      <c r="C89" s="193" t="s">
        <v>805</v>
      </c>
      <c r="D89" s="191" t="s">
        <v>512</v>
      </c>
      <c r="E89" s="239">
        <v>37956</v>
      </c>
      <c r="F89" s="176">
        <f>F85+F86+F87+F88</f>
        <v>42294.229999999996</v>
      </c>
      <c r="G89" s="176">
        <f>G85+G86+G87+G88</f>
        <v>27776.79</v>
      </c>
      <c r="H89" s="176">
        <f>H85+H86+H87+H88</f>
        <v>25128.75</v>
      </c>
    </row>
    <row r="90" spans="2:8" x14ac:dyDescent="0.25">
      <c r="B90" s="194" t="s">
        <v>806</v>
      </c>
      <c r="C90" s="185" t="s">
        <v>807</v>
      </c>
      <c r="D90" s="186" t="s">
        <v>494</v>
      </c>
      <c r="E90" s="263">
        <f>E85/E72</f>
        <v>2.1771281986318726E-3</v>
      </c>
      <c r="F90" s="196">
        <f>F85/F72</f>
        <v>8.2398888398801436E-3</v>
      </c>
      <c r="G90" s="196">
        <f>G85/G72</f>
        <v>1.209889651683934E-3</v>
      </c>
      <c r="H90" s="196">
        <f>H85/H72</f>
        <v>1.6158316083497519E-3</v>
      </c>
    </row>
    <row r="91" spans="2:8" x14ac:dyDescent="0.25">
      <c r="B91" s="166" t="s">
        <v>808</v>
      </c>
      <c r="C91" s="185" t="s">
        <v>807</v>
      </c>
      <c r="D91" s="197" t="s">
        <v>494</v>
      </c>
      <c r="E91" s="263">
        <f>E86/E72</f>
        <v>1.4560267291613884E-2</v>
      </c>
      <c r="F91" s="196">
        <f>F86/F72</f>
        <v>9.2766309040871239E-3</v>
      </c>
      <c r="G91" s="196">
        <f>G86/G72</f>
        <v>2.0378210138009445E-2</v>
      </c>
      <c r="H91" s="196">
        <f>H86/H72</f>
        <v>3.4694116766840415E-2</v>
      </c>
    </row>
    <row r="92" spans="2:8" x14ac:dyDescent="0.25">
      <c r="B92" s="166" t="s">
        <v>809</v>
      </c>
      <c r="C92" s="185" t="s">
        <v>807</v>
      </c>
      <c r="D92" s="197" t="s">
        <v>494</v>
      </c>
      <c r="E92" s="263">
        <f>E89/E72</f>
        <v>0.6010260957689384</v>
      </c>
      <c r="F92" s="196">
        <f>F89/F72</f>
        <v>0.43791278651997173</v>
      </c>
      <c r="G92" s="196">
        <f>G89/G72</f>
        <v>0.31644868905835949</v>
      </c>
      <c r="H92" s="196">
        <f>H89/H72</f>
        <v>0.31334950245654286</v>
      </c>
    </row>
    <row r="93" spans="2:8" ht="17.5" x14ac:dyDescent="0.25">
      <c r="B93" s="244" t="s">
        <v>695</v>
      </c>
      <c r="C93" s="222"/>
      <c r="D93" s="221"/>
      <c r="E93" s="239"/>
      <c r="F93" s="239"/>
      <c r="G93" s="239"/>
      <c r="H93" s="239"/>
    </row>
    <row r="94" spans="2:8" ht="27" x14ac:dyDescent="0.25">
      <c r="B94" s="198" t="s">
        <v>810</v>
      </c>
      <c r="C94" s="199" t="s">
        <v>811</v>
      </c>
      <c r="D94" s="186" t="s">
        <v>512</v>
      </c>
      <c r="E94" s="261">
        <v>17366.54</v>
      </c>
      <c r="F94" s="200">
        <v>19658.759999999998</v>
      </c>
      <c r="G94" s="200">
        <v>15403.35</v>
      </c>
      <c r="H94" s="200">
        <v>18429.82</v>
      </c>
    </row>
    <row r="95" spans="2:8" ht="27" x14ac:dyDescent="0.25">
      <c r="B95" s="198" t="s">
        <v>812</v>
      </c>
      <c r="C95" s="185" t="s">
        <v>813</v>
      </c>
      <c r="D95" s="186" t="s">
        <v>512</v>
      </c>
      <c r="E95" s="264">
        <v>499.71</v>
      </c>
      <c r="F95" s="201">
        <v>1200.71</v>
      </c>
      <c r="G95" s="201">
        <v>427.18</v>
      </c>
      <c r="H95" s="201">
        <v>226.86</v>
      </c>
    </row>
    <row r="96" spans="2:8" ht="27" x14ac:dyDescent="0.25">
      <c r="B96" s="198" t="s">
        <v>814</v>
      </c>
      <c r="C96" s="185" t="s">
        <v>815</v>
      </c>
      <c r="D96" s="186" t="s">
        <v>512</v>
      </c>
      <c r="E96" s="264">
        <v>12460.78</v>
      </c>
      <c r="F96" s="201">
        <v>12532</v>
      </c>
      <c r="G96" s="205">
        <v>10904.96</v>
      </c>
      <c r="H96" s="205">
        <v>12685.23</v>
      </c>
    </row>
    <row r="97" spans="2:25" ht="27" x14ac:dyDescent="0.25">
      <c r="B97" s="202" t="s">
        <v>816</v>
      </c>
      <c r="C97" s="185" t="s">
        <v>817</v>
      </c>
      <c r="D97" s="186" t="s">
        <v>512</v>
      </c>
      <c r="E97" s="239">
        <f>E94-E95-E96</f>
        <v>4406.0500000000011</v>
      </c>
      <c r="F97" s="203">
        <f t="shared" ref="F97:H97" si="8">F94-F95-F96</f>
        <v>5926.0499999999993</v>
      </c>
      <c r="G97" s="203">
        <f t="shared" si="8"/>
        <v>4071.2100000000009</v>
      </c>
      <c r="H97" s="203">
        <f t="shared" si="8"/>
        <v>5517.73</v>
      </c>
    </row>
    <row r="98" spans="2:25" ht="18" customHeight="1" x14ac:dyDescent="0.35">
      <c r="B98"/>
      <c r="C98" s="50"/>
      <c r="D98" s="50"/>
      <c r="E98" s="57"/>
      <c r="F98" s="51"/>
      <c r="G98" s="51"/>
      <c r="H98" s="51"/>
    </row>
    <row r="99" spans="2:25" ht="19.5" x14ac:dyDescent="0.25">
      <c r="B99" s="241" t="s">
        <v>818</v>
      </c>
      <c r="C99" s="242" t="s">
        <v>734</v>
      </c>
      <c r="D99" s="258"/>
      <c r="E99" s="243" t="s">
        <v>462</v>
      </c>
      <c r="F99" s="267" t="s">
        <v>463</v>
      </c>
      <c r="G99" s="268" t="s">
        <v>464</v>
      </c>
      <c r="H99" s="268" t="s">
        <v>465</v>
      </c>
    </row>
    <row r="100" spans="2:25" ht="43.5" x14ac:dyDescent="0.25">
      <c r="B100" s="186" t="s">
        <v>819</v>
      </c>
      <c r="C100" s="159" t="s">
        <v>820</v>
      </c>
      <c r="D100" s="186" t="s">
        <v>512</v>
      </c>
      <c r="E100" s="368">
        <v>336</v>
      </c>
      <c r="F100" s="402">
        <v>393</v>
      </c>
      <c r="G100" s="402">
        <v>378</v>
      </c>
      <c r="H100" s="402">
        <v>363</v>
      </c>
    </row>
    <row r="101" spans="2:25" ht="60" x14ac:dyDescent="0.25">
      <c r="B101" s="186" t="s">
        <v>821</v>
      </c>
      <c r="C101" s="159" t="s">
        <v>822</v>
      </c>
      <c r="D101" s="186" t="s">
        <v>512</v>
      </c>
      <c r="E101" s="368">
        <v>31</v>
      </c>
      <c r="F101" s="402">
        <f>79297.63/1000</f>
        <v>79.297629999999998</v>
      </c>
      <c r="G101" s="402">
        <f>49319.29/1000</f>
        <v>49.319290000000002</v>
      </c>
      <c r="H101" s="402">
        <f>27739.67/1000</f>
        <v>27.739669999999997</v>
      </c>
    </row>
    <row r="102" spans="2:25" ht="67.5" x14ac:dyDescent="0.25">
      <c r="B102" s="186" t="s">
        <v>528</v>
      </c>
      <c r="C102" s="159" t="s">
        <v>823</v>
      </c>
      <c r="D102" s="186" t="s">
        <v>512</v>
      </c>
      <c r="E102" s="368">
        <v>43</v>
      </c>
      <c r="F102" s="402">
        <f>91945.8/1000</f>
        <v>91.945800000000006</v>
      </c>
      <c r="G102" s="402">
        <f>83140.96/1000</f>
        <v>83.140960000000007</v>
      </c>
      <c r="H102" s="402">
        <f>99282.23/1000</f>
        <v>99.282229999999998</v>
      </c>
    </row>
    <row r="103" spans="2:25" ht="16.5" x14ac:dyDescent="0.25">
      <c r="B103" s="186" t="s">
        <v>824</v>
      </c>
      <c r="C103" s="159" t="s">
        <v>825</v>
      </c>
      <c r="D103" s="186" t="s">
        <v>494</v>
      </c>
      <c r="E103" s="403">
        <v>0.76</v>
      </c>
      <c r="F103" s="403">
        <v>0.79</v>
      </c>
      <c r="G103" s="404">
        <v>0.74</v>
      </c>
      <c r="H103" s="404">
        <v>0.67</v>
      </c>
    </row>
    <row r="104" spans="2:25" ht="16.5" x14ac:dyDescent="0.25">
      <c r="B104" s="186" t="s">
        <v>826</v>
      </c>
      <c r="C104" s="159" t="s">
        <v>827</v>
      </c>
      <c r="D104" s="186" t="s">
        <v>494</v>
      </c>
      <c r="E104" s="403"/>
      <c r="F104" s="403"/>
      <c r="G104" s="404"/>
      <c r="H104" s="404"/>
    </row>
    <row r="105" spans="2:25" x14ac:dyDescent="0.25">
      <c r="B105" s="186" t="s">
        <v>531</v>
      </c>
      <c r="C105" s="159" t="s">
        <v>828</v>
      </c>
      <c r="D105" s="186" t="s">
        <v>494</v>
      </c>
      <c r="E105" s="403"/>
      <c r="F105" s="403"/>
      <c r="G105" s="404"/>
      <c r="H105" s="404"/>
    </row>
    <row r="106" spans="2:25" x14ac:dyDescent="0.25">
      <c r="B106" s="1824"/>
      <c r="C106" s="1824"/>
      <c r="D106" s="1824"/>
      <c r="E106" s="1824"/>
      <c r="F106" s="1824"/>
      <c r="G106" s="1824"/>
      <c r="H106" s="52"/>
    </row>
    <row r="107" spans="2:25" ht="24.5" x14ac:dyDescent="0.45">
      <c r="B107" s="41" t="s">
        <v>617</v>
      </c>
      <c r="C107" s="21"/>
      <c r="D107" s="22"/>
      <c r="E107" s="22"/>
      <c r="F107" s="22"/>
      <c r="G107" s="1821"/>
      <c r="H107" s="1821"/>
      <c r="I107" s="1821"/>
      <c r="J107" s="1822"/>
      <c r="K107" s="1822"/>
      <c r="L107" s="1822"/>
      <c r="M107" s="1822"/>
      <c r="N107" s="1822"/>
      <c r="O107" s="1822"/>
    </row>
    <row r="108" spans="2:25" x14ac:dyDescent="0.25">
      <c r="B108" s="11"/>
      <c r="C108" s="11"/>
      <c r="D108" s="11"/>
      <c r="E108" s="11"/>
      <c r="F108" s="11"/>
      <c r="G108" s="38"/>
      <c r="H108" s="38"/>
      <c r="I108" s="38"/>
      <c r="J108" s="40"/>
      <c r="K108" s="40"/>
      <c r="L108" s="40"/>
      <c r="M108" s="14"/>
      <c r="N108" s="14"/>
      <c r="O108" s="14"/>
      <c r="P108" s="14"/>
      <c r="Q108" s="14"/>
      <c r="R108" s="14"/>
      <c r="S108" s="14"/>
      <c r="T108" s="14"/>
      <c r="U108" s="14"/>
      <c r="V108" s="14"/>
      <c r="W108" s="14"/>
      <c r="X108" s="14"/>
    </row>
    <row r="109" spans="2:25" ht="19.5" x14ac:dyDescent="0.25">
      <c r="B109" s="247" t="s">
        <v>477</v>
      </c>
      <c r="C109" s="245" t="s">
        <v>734</v>
      </c>
      <c r="D109" s="258"/>
      <c r="E109" s="1812" t="s">
        <v>462</v>
      </c>
      <c r="F109" s="1813"/>
      <c r="G109" s="1814"/>
      <c r="H109" s="1815" t="s">
        <v>463</v>
      </c>
      <c r="I109" s="1816"/>
      <c r="J109" s="1817"/>
      <c r="K109" s="1815" t="s">
        <v>464</v>
      </c>
      <c r="L109" s="1816"/>
      <c r="M109" s="1817"/>
      <c r="N109" s="249" t="s">
        <v>465</v>
      </c>
      <c r="O109" s="14"/>
      <c r="P109" s="14"/>
      <c r="Q109" s="14"/>
      <c r="R109" s="14"/>
      <c r="S109" s="14"/>
      <c r="T109" s="14"/>
      <c r="U109" s="14"/>
      <c r="V109" s="14"/>
      <c r="W109" s="14"/>
      <c r="X109" s="14"/>
      <c r="Y109" s="14"/>
    </row>
    <row r="110" spans="2:25" ht="27" x14ac:dyDescent="0.25">
      <c r="B110" s="197"/>
      <c r="C110" s="207"/>
      <c r="D110" s="208"/>
      <c r="E110" s="252" t="s">
        <v>467</v>
      </c>
      <c r="F110" s="252" t="s">
        <v>723</v>
      </c>
      <c r="G110" s="252" t="s">
        <v>724</v>
      </c>
      <c r="H110" s="206" t="s">
        <v>467</v>
      </c>
      <c r="I110" s="206" t="s">
        <v>723</v>
      </c>
      <c r="J110" s="209" t="s">
        <v>724</v>
      </c>
      <c r="K110" s="206" t="s">
        <v>467</v>
      </c>
      <c r="L110" s="206" t="s">
        <v>723</v>
      </c>
      <c r="M110" s="209" t="s">
        <v>724</v>
      </c>
      <c r="N110" s="206" t="s">
        <v>467</v>
      </c>
      <c r="O110" s="14"/>
      <c r="P110" s="14"/>
      <c r="Q110" s="14"/>
      <c r="R110" s="14"/>
      <c r="S110" s="14"/>
      <c r="T110" s="14"/>
      <c r="U110" s="14"/>
      <c r="V110" s="14"/>
      <c r="W110" s="14"/>
      <c r="X110" s="14"/>
      <c r="Y110" s="14"/>
    </row>
    <row r="111" spans="2:25" ht="81" x14ac:dyDescent="0.25">
      <c r="B111" s="208" t="s">
        <v>478</v>
      </c>
      <c r="C111" s="210" t="s">
        <v>829</v>
      </c>
      <c r="D111" s="211" t="s">
        <v>479</v>
      </c>
      <c r="E111" s="253">
        <f>E127/1000</f>
        <v>1205779.031</v>
      </c>
      <c r="F111" s="253">
        <f>F127/1000</f>
        <v>337642.93099999998</v>
      </c>
      <c r="G111" s="253">
        <f>G127/1000</f>
        <v>868136.1</v>
      </c>
      <c r="H111" s="408">
        <v>1384245</v>
      </c>
      <c r="I111" s="408">
        <v>418784</v>
      </c>
      <c r="J111" s="408">
        <v>965461</v>
      </c>
      <c r="K111" s="408">
        <v>1307373</v>
      </c>
      <c r="L111" s="408">
        <v>426755</v>
      </c>
      <c r="M111" s="408">
        <v>880618</v>
      </c>
      <c r="N111" s="408">
        <v>1350655</v>
      </c>
      <c r="O111" s="14"/>
      <c r="P111" s="14"/>
      <c r="Q111" s="53"/>
      <c r="R111" s="14"/>
      <c r="S111" s="14"/>
      <c r="T111" s="14"/>
      <c r="U111" s="14"/>
      <c r="V111" s="14"/>
      <c r="W111" s="14"/>
      <c r="X111" s="14"/>
      <c r="Y111" s="14"/>
    </row>
    <row r="112" spans="2:25" ht="27" x14ac:dyDescent="0.25">
      <c r="B112" s="208" t="s">
        <v>480</v>
      </c>
      <c r="C112" s="210" t="s">
        <v>830</v>
      </c>
      <c r="D112" s="213" t="s">
        <v>481</v>
      </c>
      <c r="E112" s="254">
        <v>11.1</v>
      </c>
      <c r="F112" s="255">
        <v>74.099999999999994</v>
      </c>
      <c r="G112" s="255">
        <v>8.3000000000000007</v>
      </c>
      <c r="H112" s="214">
        <v>12.1</v>
      </c>
      <c r="I112" s="214">
        <v>78.7</v>
      </c>
      <c r="J112" s="214">
        <v>8.8000000000000007</v>
      </c>
      <c r="K112" s="214">
        <v>11.5</v>
      </c>
      <c r="L112" s="214">
        <v>43.5</v>
      </c>
      <c r="M112" s="214">
        <v>8.5</v>
      </c>
      <c r="N112" s="214">
        <v>10.99</v>
      </c>
      <c r="O112" s="14"/>
      <c r="P112" s="14"/>
      <c r="Q112" s="53"/>
      <c r="R112" s="14"/>
      <c r="S112" s="14"/>
      <c r="T112" s="14"/>
      <c r="U112" s="14"/>
      <c r="V112" s="14"/>
      <c r="W112" s="14"/>
      <c r="X112" s="14"/>
      <c r="Y112" s="14"/>
    </row>
    <row r="113" spans="2:25" x14ac:dyDescent="0.25">
      <c r="B113" s="11"/>
      <c r="C113" s="11"/>
      <c r="D113" s="11"/>
      <c r="E113" s="11"/>
      <c r="F113" s="11"/>
      <c r="G113" s="11"/>
      <c r="H113" s="38"/>
      <c r="I113" s="38"/>
      <c r="J113" s="38"/>
      <c r="K113" s="40"/>
      <c r="L113" s="40"/>
      <c r="M113" s="40"/>
      <c r="N113" s="14"/>
      <c r="O113" s="14"/>
      <c r="P113" s="14"/>
      <c r="Q113" s="14"/>
      <c r="R113" s="14"/>
      <c r="S113" s="14"/>
      <c r="T113" s="14"/>
      <c r="U113" s="14"/>
      <c r="V113" s="14"/>
      <c r="W113" s="14"/>
      <c r="X113" s="14"/>
      <c r="Y113" s="14"/>
    </row>
    <row r="114" spans="2:25" x14ac:dyDescent="0.25">
      <c r="B114" s="11"/>
      <c r="C114" s="11"/>
      <c r="D114" s="11"/>
      <c r="E114" s="11"/>
      <c r="F114" s="11"/>
      <c r="G114" s="11"/>
      <c r="H114" s="38"/>
      <c r="I114" s="38"/>
      <c r="J114" s="38"/>
      <c r="K114" s="40"/>
      <c r="L114" s="40"/>
      <c r="M114" s="40"/>
      <c r="N114" s="14"/>
      <c r="O114" s="14"/>
      <c r="P114" s="14"/>
      <c r="Q114" s="14"/>
      <c r="R114" s="14"/>
      <c r="S114" s="14"/>
      <c r="T114" s="14"/>
      <c r="U114" s="14"/>
      <c r="V114" s="14"/>
      <c r="W114" s="14"/>
      <c r="X114" s="14"/>
      <c r="Y114" s="14"/>
    </row>
    <row r="115" spans="2:25" ht="29.15" customHeight="1" x14ac:dyDescent="0.25">
      <c r="B115" s="248" t="s">
        <v>831</v>
      </c>
      <c r="C115" s="245" t="s">
        <v>734</v>
      </c>
      <c r="D115" s="258"/>
      <c r="E115" s="1812" t="s">
        <v>832</v>
      </c>
      <c r="F115" s="1813"/>
      <c r="G115" s="1814"/>
      <c r="H115" s="1815" t="s">
        <v>833</v>
      </c>
      <c r="I115" s="1816"/>
      <c r="J115" s="1817"/>
      <c r="K115" s="1818" t="s">
        <v>834</v>
      </c>
      <c r="L115" s="1818"/>
      <c r="M115" s="1818"/>
      <c r="N115" s="249" t="s">
        <v>835</v>
      </c>
      <c r="O115" s="14"/>
      <c r="P115" s="14"/>
      <c r="Q115" s="14"/>
      <c r="R115" s="14"/>
      <c r="S115" s="14"/>
      <c r="T115" s="14"/>
      <c r="U115" s="14"/>
      <c r="V115" s="14"/>
      <c r="W115" s="14"/>
      <c r="X115" s="14"/>
    </row>
    <row r="116" spans="2:25" ht="30" customHeight="1" x14ac:dyDescent="0.25">
      <c r="B116" s="215"/>
      <c r="C116" s="215"/>
      <c r="D116" s="215"/>
      <c r="E116" s="250" t="s">
        <v>467</v>
      </c>
      <c r="F116" s="250" t="s">
        <v>723</v>
      </c>
      <c r="G116" s="250" t="s">
        <v>724</v>
      </c>
      <c r="H116" s="216" t="s">
        <v>467</v>
      </c>
      <c r="I116" s="216" t="s">
        <v>723</v>
      </c>
      <c r="J116" s="217" t="s">
        <v>724</v>
      </c>
      <c r="K116" s="216" t="s">
        <v>467</v>
      </c>
      <c r="L116" s="216" t="s">
        <v>723</v>
      </c>
      <c r="M116" s="217" t="s">
        <v>724</v>
      </c>
      <c r="N116" s="216" t="s">
        <v>467</v>
      </c>
      <c r="O116" s="14"/>
      <c r="P116" s="14"/>
      <c r="Q116" s="14"/>
      <c r="R116" s="14"/>
      <c r="S116" s="14"/>
      <c r="T116" s="14"/>
      <c r="U116" s="14"/>
      <c r="V116" s="14"/>
      <c r="W116" s="14"/>
      <c r="X116" s="14"/>
    </row>
    <row r="117" spans="2:25" ht="81" x14ac:dyDescent="0.25">
      <c r="B117" s="186" t="s">
        <v>622</v>
      </c>
      <c r="C117" s="159" t="s">
        <v>836</v>
      </c>
      <c r="D117" s="186" t="s">
        <v>623</v>
      </c>
      <c r="E117" s="251">
        <f t="shared" ref="E117:F125" si="9">E127*0.0036</f>
        <v>4340804.5115999999</v>
      </c>
      <c r="F117" s="251">
        <f t="shared" si="9"/>
        <v>1215514.5515999999</v>
      </c>
      <c r="G117" s="251">
        <f t="shared" ref="G117:G125" si="10">E117-F117</f>
        <v>3125289.96</v>
      </c>
      <c r="H117" s="218">
        <f t="shared" ref="H117:H125" si="11">H127*0.0036</f>
        <v>4983282.1332</v>
      </c>
      <c r="I117" s="218">
        <f t="shared" ref="I117:I125" si="12">I127*0.0036</f>
        <v>1507622.094</v>
      </c>
      <c r="J117" s="218">
        <f t="shared" ref="J117:J125" si="13">H117-I117</f>
        <v>3475660.0392</v>
      </c>
      <c r="K117" s="218">
        <f t="shared" ref="K117:K125" si="14">K127*0.0036</f>
        <v>4706542.6343999999</v>
      </c>
      <c r="L117" s="218">
        <f t="shared" ref="L117:L125" si="15">L127*0.0036</f>
        <v>1536318.7667999999</v>
      </c>
      <c r="M117" s="218">
        <f t="shared" ref="M117:M125" si="16">K117-L117</f>
        <v>3170223.8676</v>
      </c>
      <c r="N117" s="218">
        <f t="shared" ref="N117:N123" si="17">N127*0.0036</f>
        <v>4862357.9172</v>
      </c>
      <c r="O117" s="14"/>
      <c r="P117" s="14"/>
      <c r="Q117" s="14"/>
      <c r="R117" s="14"/>
      <c r="S117" s="14"/>
      <c r="T117" s="14"/>
      <c r="U117" s="14"/>
      <c r="V117" s="14"/>
      <c r="W117" s="14"/>
      <c r="X117" s="14"/>
    </row>
    <row r="118" spans="2:25" ht="108" x14ac:dyDescent="0.25">
      <c r="B118" s="186" t="s">
        <v>624</v>
      </c>
      <c r="C118" s="159" t="s">
        <v>837</v>
      </c>
      <c r="D118" s="186" t="s">
        <v>623</v>
      </c>
      <c r="E118" s="251">
        <f t="shared" si="9"/>
        <v>1771360.9812</v>
      </c>
      <c r="F118" s="251">
        <f t="shared" si="9"/>
        <v>470572.53119999997</v>
      </c>
      <c r="G118" s="251">
        <f t="shared" si="10"/>
        <v>1300788.4500000002</v>
      </c>
      <c r="H118" s="218">
        <f t="shared" si="11"/>
        <v>2060743.8636</v>
      </c>
      <c r="I118" s="218">
        <f t="shared" si="12"/>
        <v>566103.402</v>
      </c>
      <c r="J118" s="218">
        <f t="shared" si="13"/>
        <v>1494640.4616</v>
      </c>
      <c r="K118" s="218">
        <f t="shared" si="14"/>
        <v>1975839.2279999999</v>
      </c>
      <c r="L118" s="218">
        <f t="shared" si="15"/>
        <v>602479.63079999993</v>
      </c>
      <c r="M118" s="218">
        <f t="shared" si="16"/>
        <v>1373359.5972</v>
      </c>
      <c r="N118" s="218">
        <f t="shared" si="17"/>
        <v>2087618.2523999999</v>
      </c>
      <c r="O118" s="14"/>
      <c r="P118" s="14"/>
      <c r="Q118" s="14"/>
      <c r="R118" s="14"/>
      <c r="S118" s="14"/>
      <c r="T118" s="14"/>
      <c r="U118" s="14"/>
      <c r="V118" s="14"/>
      <c r="W118" s="14"/>
      <c r="X118" s="14"/>
    </row>
    <row r="119" spans="2:25" ht="67.5" x14ac:dyDescent="0.25">
      <c r="B119" s="186" t="s">
        <v>625</v>
      </c>
      <c r="C119" s="159" t="s">
        <v>838</v>
      </c>
      <c r="D119" s="186" t="s">
        <v>623</v>
      </c>
      <c r="E119" s="251">
        <f t="shared" si="9"/>
        <v>2274979.23</v>
      </c>
      <c r="F119" s="251">
        <f t="shared" si="9"/>
        <v>779210.66879999998</v>
      </c>
      <c r="G119" s="251">
        <f t="shared" si="10"/>
        <v>1495768.5611999999</v>
      </c>
      <c r="H119" s="218">
        <f t="shared" si="11"/>
        <v>2554494.534</v>
      </c>
      <c r="I119" s="218">
        <f t="shared" si="12"/>
        <v>941695.53839999996</v>
      </c>
      <c r="J119" s="218">
        <f t="shared" si="13"/>
        <v>1612798.9956</v>
      </c>
      <c r="K119" s="218">
        <f t="shared" si="14"/>
        <v>2416909.4424000001</v>
      </c>
      <c r="L119" s="218">
        <f t="shared" si="15"/>
        <v>967772.29680000001</v>
      </c>
      <c r="M119" s="218">
        <f t="shared" si="16"/>
        <v>1449137.1455999999</v>
      </c>
      <c r="N119" s="218">
        <f t="shared" si="17"/>
        <v>2466585.6444000001</v>
      </c>
      <c r="O119" s="14"/>
      <c r="P119" s="14"/>
      <c r="Q119" s="14"/>
      <c r="R119" s="14"/>
      <c r="S119" s="14"/>
      <c r="T119" s="14"/>
      <c r="U119" s="14"/>
      <c r="V119" s="14"/>
      <c r="W119" s="14"/>
      <c r="X119" s="14"/>
    </row>
    <row r="120" spans="2:25" ht="121.5" x14ac:dyDescent="0.25">
      <c r="B120" s="186" t="s">
        <v>626</v>
      </c>
      <c r="C120" s="159" t="s">
        <v>839</v>
      </c>
      <c r="D120" s="186" t="s">
        <v>623</v>
      </c>
      <c r="E120" s="251">
        <f t="shared" si="9"/>
        <v>3619825.6716</v>
      </c>
      <c r="F120" s="251">
        <f t="shared" si="9"/>
        <v>852168.6</v>
      </c>
      <c r="G120" s="251">
        <f t="shared" si="10"/>
        <v>2767657.0715999999</v>
      </c>
      <c r="H120" s="218">
        <f t="shared" si="11"/>
        <v>4313935.2456</v>
      </c>
      <c r="I120" s="218">
        <f t="shared" si="12"/>
        <v>1050297.138</v>
      </c>
      <c r="J120" s="218">
        <f t="shared" si="13"/>
        <v>3263638.1075999998</v>
      </c>
      <c r="K120" s="218">
        <f t="shared" si="14"/>
        <v>4129525.1088</v>
      </c>
      <c r="L120" s="218">
        <f t="shared" si="15"/>
        <v>1058810.4324</v>
      </c>
      <c r="M120" s="218">
        <f t="shared" si="16"/>
        <v>3070714.6764000002</v>
      </c>
      <c r="N120" s="218">
        <f t="shared" si="17"/>
        <v>4315058.2259999998</v>
      </c>
      <c r="O120" s="14"/>
      <c r="P120" s="14"/>
      <c r="Q120" s="14"/>
      <c r="R120" s="14"/>
      <c r="S120" s="14"/>
      <c r="T120" s="14"/>
      <c r="U120" s="14"/>
      <c r="V120" s="14"/>
      <c r="W120" s="14"/>
      <c r="X120" s="14"/>
    </row>
    <row r="121" spans="2:25" ht="67.5" x14ac:dyDescent="0.25">
      <c r="B121" s="320" t="s">
        <v>627</v>
      </c>
      <c r="C121" s="159" t="s">
        <v>840</v>
      </c>
      <c r="D121" s="186" t="s">
        <v>623</v>
      </c>
      <c r="E121" s="251">
        <f t="shared" si="9"/>
        <v>2520972.4284000001</v>
      </c>
      <c r="F121" s="251">
        <f t="shared" si="9"/>
        <v>802567.61639999994</v>
      </c>
      <c r="G121" s="251">
        <f t="shared" si="10"/>
        <v>1718404.8120000002</v>
      </c>
      <c r="H121" s="218">
        <f t="shared" si="11"/>
        <v>2891001.9276000001</v>
      </c>
      <c r="I121" s="218">
        <f t="shared" si="12"/>
        <v>998092.39319999993</v>
      </c>
      <c r="J121" s="218">
        <f t="shared" si="13"/>
        <v>1892909.5344000002</v>
      </c>
      <c r="K121" s="218">
        <f t="shared" si="14"/>
        <v>2729961.54</v>
      </c>
      <c r="L121" s="218">
        <f t="shared" si="15"/>
        <v>1008473.2992</v>
      </c>
      <c r="M121" s="218">
        <f t="shared" si="16"/>
        <v>1721488.2408</v>
      </c>
      <c r="N121" s="218">
        <f t="shared" si="17"/>
        <v>2763835.4556</v>
      </c>
      <c r="O121" s="14"/>
      <c r="P121" s="14"/>
      <c r="Q121" s="14"/>
      <c r="R121" s="14"/>
      <c r="S121" s="14"/>
      <c r="T121" s="14"/>
      <c r="U121" s="14"/>
      <c r="V121" s="14"/>
      <c r="W121" s="14"/>
      <c r="X121" s="14"/>
    </row>
    <row r="122" spans="2:25" ht="40.5" x14ac:dyDescent="0.25">
      <c r="B122" s="320" t="s">
        <v>628</v>
      </c>
      <c r="C122" s="159" t="s">
        <v>841</v>
      </c>
      <c r="D122" s="186" t="s">
        <v>623</v>
      </c>
      <c r="E122" s="251">
        <f t="shared" si="9"/>
        <v>952567.53480000002</v>
      </c>
      <c r="F122" s="251">
        <f t="shared" si="9"/>
        <v>24137.351999999999</v>
      </c>
      <c r="G122" s="251">
        <f t="shared" si="10"/>
        <v>928430.18280000007</v>
      </c>
      <c r="H122" s="218">
        <f t="shared" si="11"/>
        <v>1271821.446</v>
      </c>
      <c r="I122" s="218">
        <f t="shared" si="12"/>
        <v>22613.835599999999</v>
      </c>
      <c r="J122" s="218">
        <f t="shared" si="13"/>
        <v>1249207.6103999999</v>
      </c>
      <c r="K122" s="218">
        <f t="shared" si="14"/>
        <v>1271987.3484</v>
      </c>
      <c r="L122" s="218">
        <f t="shared" si="15"/>
        <v>27600.84</v>
      </c>
      <c r="M122" s="218">
        <f t="shared" si="16"/>
        <v>1244386.5083999999</v>
      </c>
      <c r="N122" s="218">
        <f t="shared" si="17"/>
        <v>1430977.05</v>
      </c>
      <c r="O122" s="14"/>
      <c r="P122" s="14"/>
      <c r="Q122" s="14"/>
      <c r="R122" s="14"/>
      <c r="S122" s="14"/>
      <c r="T122" s="14"/>
      <c r="U122" s="14"/>
      <c r="V122" s="14"/>
      <c r="W122" s="14"/>
      <c r="X122" s="14"/>
    </row>
    <row r="123" spans="2:25" ht="54" x14ac:dyDescent="0.25">
      <c r="B123" s="321" t="s">
        <v>629</v>
      </c>
      <c r="C123" s="159" t="s">
        <v>842</v>
      </c>
      <c r="D123" s="186" t="s">
        <v>623</v>
      </c>
      <c r="E123" s="251">
        <f t="shared" si="9"/>
        <v>128724.8796</v>
      </c>
      <c r="F123" s="251">
        <f t="shared" si="9"/>
        <v>19250.449199999999</v>
      </c>
      <c r="G123" s="251">
        <f t="shared" si="10"/>
        <v>109474.4304</v>
      </c>
      <c r="H123" s="218">
        <f t="shared" si="11"/>
        <v>114283.75319999999</v>
      </c>
      <c r="I123" s="218">
        <f t="shared" si="12"/>
        <v>14826.406679999998</v>
      </c>
      <c r="J123" s="218">
        <f t="shared" si="13"/>
        <v>99457.346519999992</v>
      </c>
      <c r="K123" s="218">
        <f t="shared" si="14"/>
        <v>112445.03879999999</v>
      </c>
      <c r="L123" s="218">
        <f t="shared" si="15"/>
        <v>21111.778728000001</v>
      </c>
      <c r="M123" s="218">
        <f t="shared" si="16"/>
        <v>91333.26007199999</v>
      </c>
      <c r="N123" s="218">
        <f t="shared" si="17"/>
        <v>120245.72039999999</v>
      </c>
      <c r="O123" s="14"/>
      <c r="P123" s="14"/>
      <c r="Q123" s="14"/>
      <c r="R123" s="14"/>
      <c r="S123" s="14"/>
      <c r="T123" s="14"/>
      <c r="U123" s="14"/>
      <c r="V123" s="14"/>
      <c r="W123" s="14"/>
      <c r="X123" s="14"/>
    </row>
    <row r="124" spans="2:25" ht="27" x14ac:dyDescent="0.25">
      <c r="B124" s="321" t="s">
        <v>630</v>
      </c>
      <c r="C124" s="159" t="s">
        <v>843</v>
      </c>
      <c r="D124" s="186" t="s">
        <v>623</v>
      </c>
      <c r="E124" s="251">
        <f t="shared" si="9"/>
        <v>17560.832399999999</v>
      </c>
      <c r="F124" s="251">
        <f t="shared" si="9"/>
        <v>6213.1823999999997</v>
      </c>
      <c r="G124" s="251">
        <f>E124-F124</f>
        <v>11347.65</v>
      </c>
      <c r="H124" s="218">
        <f t="shared" si="11"/>
        <v>36828.118799999997</v>
      </c>
      <c r="I124" s="218">
        <f t="shared" si="12"/>
        <v>14764.5</v>
      </c>
      <c r="J124" s="218">
        <f>H124-I124</f>
        <v>22063.618799999997</v>
      </c>
      <c r="K124" s="218">
        <f t="shared" si="14"/>
        <v>15131.1852</v>
      </c>
      <c r="L124" s="218">
        <f t="shared" si="15"/>
        <v>1624.5108</v>
      </c>
      <c r="M124" s="218">
        <f>K124-L124</f>
        <v>13506.6744</v>
      </c>
      <c r="N124" s="218" t="s">
        <v>631</v>
      </c>
      <c r="O124" s="14"/>
      <c r="P124" s="14"/>
      <c r="Q124" s="14"/>
      <c r="R124" s="14"/>
      <c r="S124" s="14"/>
      <c r="T124" s="14"/>
      <c r="U124" s="14"/>
      <c r="V124" s="14"/>
      <c r="W124" s="14"/>
      <c r="X124" s="14"/>
    </row>
    <row r="125" spans="2:25" ht="40.5" x14ac:dyDescent="0.25">
      <c r="B125" s="219" t="s">
        <v>632</v>
      </c>
      <c r="C125" s="158" t="s">
        <v>844</v>
      </c>
      <c r="D125" s="186" t="s">
        <v>623</v>
      </c>
      <c r="E125" s="251">
        <f t="shared" si="9"/>
        <v>720978.84</v>
      </c>
      <c r="F125" s="251">
        <f t="shared" si="9"/>
        <v>363345.95159999997</v>
      </c>
      <c r="G125" s="251">
        <f t="shared" si="10"/>
        <v>357632.8884</v>
      </c>
      <c r="H125" s="218">
        <f t="shared" si="11"/>
        <v>669346.88760000002</v>
      </c>
      <c r="I125" s="218">
        <f t="shared" si="12"/>
        <v>457324.95600000001</v>
      </c>
      <c r="J125" s="218">
        <f t="shared" si="13"/>
        <v>212021.93160000001</v>
      </c>
      <c r="K125" s="218">
        <f t="shared" si="14"/>
        <v>577017.52559999994</v>
      </c>
      <c r="L125" s="218">
        <f t="shared" si="15"/>
        <v>477508.33439999999</v>
      </c>
      <c r="M125" s="218">
        <f t="shared" si="16"/>
        <v>99509.191199999943</v>
      </c>
      <c r="N125" s="218">
        <f>N135*0.0036</f>
        <v>547299.68759999995</v>
      </c>
      <c r="O125" s="14"/>
      <c r="P125" s="14"/>
      <c r="Q125" s="14"/>
      <c r="R125" s="14"/>
      <c r="S125" s="14"/>
      <c r="T125" s="14"/>
      <c r="U125" s="14"/>
      <c r="V125" s="14"/>
      <c r="W125" s="14"/>
      <c r="X125" s="14"/>
    </row>
    <row r="127" spans="2:25" ht="81" x14ac:dyDescent="0.25">
      <c r="B127" s="186" t="s">
        <v>622</v>
      </c>
      <c r="C127" s="159" t="s">
        <v>845</v>
      </c>
      <c r="D127" s="186" t="s">
        <v>496</v>
      </c>
      <c r="E127" s="251">
        <v>1205779031</v>
      </c>
      <c r="F127" s="251">
        <v>337642931</v>
      </c>
      <c r="G127" s="251">
        <f t="shared" ref="G127:G135" si="18">E127-F127</f>
        <v>868136100</v>
      </c>
      <c r="H127" s="218">
        <v>1384245037</v>
      </c>
      <c r="I127" s="218">
        <v>418783915</v>
      </c>
      <c r="J127" s="218">
        <f t="shared" ref="J127:J135" si="19">H127-I127</f>
        <v>965461122</v>
      </c>
      <c r="K127" s="204">
        <v>1307372954</v>
      </c>
      <c r="L127" s="218">
        <v>426755213</v>
      </c>
      <c r="M127" s="218">
        <f t="shared" ref="M127:M135" si="20">K127-L127</f>
        <v>880617741</v>
      </c>
      <c r="N127" s="204">
        <v>1350654977</v>
      </c>
      <c r="O127" s="14"/>
      <c r="P127" s="14"/>
      <c r="Q127" s="14"/>
      <c r="R127" s="14"/>
      <c r="S127" s="14"/>
      <c r="T127" s="14"/>
      <c r="U127" s="14"/>
      <c r="V127" s="14"/>
      <c r="W127" s="14"/>
      <c r="X127" s="14"/>
    </row>
    <row r="128" spans="2:25" ht="108" x14ac:dyDescent="0.25">
      <c r="B128" s="186" t="s">
        <v>624</v>
      </c>
      <c r="C128" s="159" t="s">
        <v>846</v>
      </c>
      <c r="D128" s="186" t="s">
        <v>496</v>
      </c>
      <c r="E128" s="251">
        <v>492044717</v>
      </c>
      <c r="F128" s="251">
        <v>130714592</v>
      </c>
      <c r="G128" s="251">
        <f t="shared" si="18"/>
        <v>361330125</v>
      </c>
      <c r="H128" s="218">
        <v>572428851</v>
      </c>
      <c r="I128" s="218">
        <v>157250945</v>
      </c>
      <c r="J128" s="218">
        <f t="shared" si="19"/>
        <v>415177906</v>
      </c>
      <c r="K128" s="204">
        <v>548844230</v>
      </c>
      <c r="L128" s="218">
        <v>167355453</v>
      </c>
      <c r="M128" s="218">
        <f t="shared" si="20"/>
        <v>381488777</v>
      </c>
      <c r="N128" s="204">
        <v>579893959</v>
      </c>
      <c r="O128" s="14"/>
      <c r="P128" s="14"/>
      <c r="Q128" s="14"/>
      <c r="R128" s="14"/>
      <c r="S128" s="14"/>
      <c r="T128" s="14"/>
      <c r="U128" s="14"/>
      <c r="V128" s="14"/>
      <c r="W128" s="14"/>
      <c r="X128" s="14"/>
    </row>
    <row r="129" spans="2:24" ht="67.5" x14ac:dyDescent="0.25">
      <c r="B129" s="186" t="s">
        <v>625</v>
      </c>
      <c r="C129" s="159" t="s">
        <v>847</v>
      </c>
      <c r="D129" s="186" t="s">
        <v>496</v>
      </c>
      <c r="E129" s="251">
        <v>631938675</v>
      </c>
      <c r="F129" s="251">
        <v>216447408</v>
      </c>
      <c r="G129" s="251">
        <f t="shared" si="18"/>
        <v>415491267</v>
      </c>
      <c r="H129" s="218">
        <v>709581815</v>
      </c>
      <c r="I129" s="218">
        <v>261582094</v>
      </c>
      <c r="J129" s="218">
        <f t="shared" si="19"/>
        <v>447999721</v>
      </c>
      <c r="K129" s="204">
        <v>671363734</v>
      </c>
      <c r="L129" s="218">
        <v>268825638</v>
      </c>
      <c r="M129" s="218">
        <f t="shared" si="20"/>
        <v>402538096</v>
      </c>
      <c r="N129" s="204">
        <v>685162679</v>
      </c>
      <c r="O129" s="14"/>
      <c r="P129" s="14"/>
      <c r="Q129" s="14"/>
      <c r="R129" s="14"/>
      <c r="S129" s="14"/>
      <c r="T129" s="14"/>
      <c r="U129" s="14"/>
      <c r="V129" s="14"/>
      <c r="W129" s="14"/>
      <c r="X129" s="14"/>
    </row>
    <row r="130" spans="2:24" ht="121.5" x14ac:dyDescent="0.25">
      <c r="B130" s="186" t="s">
        <v>626</v>
      </c>
      <c r="C130" s="159" t="s">
        <v>848</v>
      </c>
      <c r="D130" s="186" t="s">
        <v>496</v>
      </c>
      <c r="E130" s="235">
        <v>1005507131</v>
      </c>
      <c r="F130" s="251">
        <v>236713500</v>
      </c>
      <c r="G130" s="251">
        <f t="shared" si="18"/>
        <v>768793631</v>
      </c>
      <c r="H130" s="218">
        <v>1198315346</v>
      </c>
      <c r="I130" s="218">
        <v>291749205</v>
      </c>
      <c r="J130" s="218">
        <f t="shared" si="19"/>
        <v>906566141</v>
      </c>
      <c r="K130" s="204">
        <v>1147090308</v>
      </c>
      <c r="L130" s="218">
        <v>294114009</v>
      </c>
      <c r="M130" s="218">
        <f t="shared" si="20"/>
        <v>852976299</v>
      </c>
      <c r="N130" s="204">
        <v>1198627285</v>
      </c>
      <c r="O130" s="14"/>
      <c r="P130" s="14"/>
      <c r="Q130" s="14"/>
      <c r="R130" s="14"/>
      <c r="S130" s="14"/>
      <c r="T130" s="14"/>
      <c r="U130" s="14"/>
      <c r="V130" s="14"/>
      <c r="W130" s="14"/>
      <c r="X130" s="14"/>
    </row>
    <row r="131" spans="2:24" ht="67.5" x14ac:dyDescent="0.25">
      <c r="B131" s="320" t="s">
        <v>627</v>
      </c>
      <c r="C131" s="159" t="s">
        <v>840</v>
      </c>
      <c r="D131" s="186" t="s">
        <v>496</v>
      </c>
      <c r="E131" s="251">
        <v>700270119</v>
      </c>
      <c r="F131" s="251">
        <v>222935449</v>
      </c>
      <c r="G131" s="251">
        <f t="shared" si="18"/>
        <v>477334670</v>
      </c>
      <c r="H131" s="218">
        <v>803056091</v>
      </c>
      <c r="I131" s="218">
        <v>277247887</v>
      </c>
      <c r="J131" s="218">
        <f t="shared" si="19"/>
        <v>525808204</v>
      </c>
      <c r="K131" s="204">
        <v>758322650</v>
      </c>
      <c r="L131" s="218">
        <v>280131472</v>
      </c>
      <c r="M131" s="218">
        <f t="shared" si="20"/>
        <v>478191178</v>
      </c>
      <c r="N131" s="204">
        <v>767732071</v>
      </c>
      <c r="O131" s="14"/>
      <c r="P131" s="14"/>
      <c r="Q131" s="14"/>
      <c r="R131" s="14"/>
      <c r="S131" s="14"/>
      <c r="T131" s="14"/>
      <c r="U131" s="14"/>
      <c r="V131" s="14"/>
      <c r="W131" s="14"/>
      <c r="X131" s="14"/>
    </row>
    <row r="132" spans="2:24" ht="40.5" x14ac:dyDescent="0.25">
      <c r="B132" s="320" t="s">
        <v>628</v>
      </c>
      <c r="C132" s="159" t="s">
        <v>849</v>
      </c>
      <c r="D132" s="186" t="s">
        <v>496</v>
      </c>
      <c r="E132" s="251">
        <v>264602093</v>
      </c>
      <c r="F132" s="251">
        <v>6704820</v>
      </c>
      <c r="G132" s="251">
        <f t="shared" si="18"/>
        <v>257897273</v>
      </c>
      <c r="H132" s="218">
        <v>353283735</v>
      </c>
      <c r="I132" s="218">
        <v>6281621</v>
      </c>
      <c r="J132" s="218">
        <f t="shared" si="19"/>
        <v>347002114</v>
      </c>
      <c r="K132" s="204">
        <v>353329819</v>
      </c>
      <c r="L132" s="218">
        <v>7666900</v>
      </c>
      <c r="M132" s="218">
        <f t="shared" si="20"/>
        <v>345662919</v>
      </c>
      <c r="N132" s="204">
        <v>397493625</v>
      </c>
      <c r="O132" s="14"/>
      <c r="P132" s="14"/>
      <c r="Q132" s="14"/>
      <c r="R132" s="14"/>
      <c r="S132" s="14"/>
      <c r="T132" s="14"/>
      <c r="U132" s="14"/>
      <c r="V132" s="14"/>
      <c r="W132" s="14"/>
      <c r="X132" s="14"/>
    </row>
    <row r="133" spans="2:24" ht="54" x14ac:dyDescent="0.25">
      <c r="B133" s="321" t="s">
        <v>629</v>
      </c>
      <c r="C133" s="159" t="s">
        <v>850</v>
      </c>
      <c r="D133" s="186" t="s">
        <v>496</v>
      </c>
      <c r="E133" s="251">
        <v>35756911</v>
      </c>
      <c r="F133" s="251">
        <v>5347347</v>
      </c>
      <c r="G133" s="251">
        <f t="shared" si="18"/>
        <v>30409564</v>
      </c>
      <c r="H133" s="218">
        <v>31745487</v>
      </c>
      <c r="I133" s="218">
        <v>4118446.3</v>
      </c>
      <c r="J133" s="218">
        <f t="shared" si="19"/>
        <v>27627040.699999999</v>
      </c>
      <c r="K133" s="204">
        <v>31234733</v>
      </c>
      <c r="L133" s="218">
        <v>5864382.9800000004</v>
      </c>
      <c r="M133" s="218">
        <f t="shared" si="20"/>
        <v>25370350.02</v>
      </c>
      <c r="N133" s="204">
        <v>33401589</v>
      </c>
      <c r="O133" s="14"/>
      <c r="P133" s="14"/>
      <c r="Q133" s="14"/>
      <c r="R133" s="14"/>
      <c r="S133" s="14"/>
      <c r="T133" s="14"/>
      <c r="U133" s="14"/>
      <c r="V133" s="14"/>
      <c r="W133" s="14"/>
      <c r="X133" s="14"/>
    </row>
    <row r="134" spans="2:24" ht="27" x14ac:dyDescent="0.25">
      <c r="B134" s="321" t="s">
        <v>630</v>
      </c>
      <c r="C134" s="159" t="s">
        <v>843</v>
      </c>
      <c r="D134" s="186" t="s">
        <v>496</v>
      </c>
      <c r="E134" s="251">
        <v>4878009</v>
      </c>
      <c r="F134" s="251">
        <v>1725884</v>
      </c>
      <c r="G134" s="251">
        <f t="shared" si="18"/>
        <v>3152125</v>
      </c>
      <c r="H134" s="218">
        <v>10230033</v>
      </c>
      <c r="I134" s="218">
        <v>4101250</v>
      </c>
      <c r="J134" s="218">
        <f t="shared" si="19"/>
        <v>6128783</v>
      </c>
      <c r="K134" s="204">
        <v>4203107</v>
      </c>
      <c r="L134" s="218">
        <v>451253</v>
      </c>
      <c r="M134" s="218">
        <f t="shared" si="20"/>
        <v>3751854</v>
      </c>
      <c r="N134" s="322" t="s">
        <v>631</v>
      </c>
      <c r="O134" s="14"/>
      <c r="P134" s="14"/>
      <c r="Q134" s="14"/>
      <c r="R134" s="14"/>
      <c r="S134" s="14"/>
      <c r="T134" s="14"/>
      <c r="U134" s="14"/>
      <c r="V134" s="14"/>
      <c r="W134" s="14"/>
      <c r="X134" s="14"/>
    </row>
    <row r="135" spans="2:24" ht="40.5" x14ac:dyDescent="0.25">
      <c r="B135" s="219" t="s">
        <v>632</v>
      </c>
      <c r="C135" s="159" t="s">
        <v>844</v>
      </c>
      <c r="D135" s="186" t="s">
        <v>496</v>
      </c>
      <c r="E135" s="251">
        <v>200271900</v>
      </c>
      <c r="F135" s="251">
        <v>100929431</v>
      </c>
      <c r="G135" s="251">
        <f t="shared" si="18"/>
        <v>99342469</v>
      </c>
      <c r="H135" s="218">
        <v>185929691</v>
      </c>
      <c r="I135" s="218">
        <v>127034710</v>
      </c>
      <c r="J135" s="218">
        <f t="shared" si="19"/>
        <v>58894981</v>
      </c>
      <c r="K135" s="204">
        <v>160282646</v>
      </c>
      <c r="L135" s="218">
        <v>132641204</v>
      </c>
      <c r="M135" s="218">
        <f t="shared" si="20"/>
        <v>27641442</v>
      </c>
      <c r="N135" s="204">
        <v>152027691</v>
      </c>
      <c r="O135" s="14"/>
      <c r="P135" s="14"/>
      <c r="Q135" s="14"/>
      <c r="R135" s="14"/>
      <c r="S135" s="14"/>
      <c r="T135" s="14"/>
      <c r="U135" s="14"/>
      <c r="V135" s="14"/>
      <c r="W135" s="14"/>
      <c r="X135" s="14"/>
    </row>
    <row r="136" spans="2:24" x14ac:dyDescent="0.25">
      <c r="B136" s="58"/>
      <c r="C136" s="90"/>
      <c r="D136" s="58"/>
      <c r="E136" s="58"/>
      <c r="F136" s="58"/>
      <c r="G136" s="58"/>
      <c r="H136" s="58"/>
      <c r="I136" s="58"/>
      <c r="J136" s="58"/>
      <c r="K136" s="58"/>
      <c r="L136" s="58"/>
      <c r="M136" s="58"/>
      <c r="N136" s="58"/>
    </row>
    <row r="137" spans="2:24" ht="54" x14ac:dyDescent="0.25">
      <c r="B137" s="219" t="s">
        <v>498</v>
      </c>
      <c r="C137" s="158" t="s">
        <v>851</v>
      </c>
      <c r="D137" s="186" t="s">
        <v>618</v>
      </c>
      <c r="E137" s="256">
        <f>E135/E128</f>
        <v>0.40701971402326836</v>
      </c>
      <c r="F137" s="256">
        <f>F135/F128</f>
        <v>0.77213591425202166</v>
      </c>
      <c r="G137" s="256">
        <f>G135/G128</f>
        <v>0.27493547348148734</v>
      </c>
      <c r="H137" s="220">
        <v>0.32500000000000001</v>
      </c>
      <c r="I137" s="220">
        <f>I135/I128</f>
        <v>0.80784703710365624</v>
      </c>
      <c r="J137" s="220">
        <f>J135/J128</f>
        <v>0.14185480525064356</v>
      </c>
      <c r="K137" s="220">
        <v>0.29199999999999998</v>
      </c>
      <c r="L137" s="220">
        <f>L135/L128</f>
        <v>0.79257174846881151</v>
      </c>
      <c r="M137" s="220">
        <f>M135/M128</f>
        <v>7.245676325623597E-2</v>
      </c>
      <c r="N137" s="220">
        <v>0.26200000000000001</v>
      </c>
      <c r="O137" s="14"/>
      <c r="P137" s="14"/>
      <c r="Q137" s="14"/>
      <c r="R137" s="14"/>
      <c r="S137" s="14"/>
      <c r="T137" s="14"/>
      <c r="U137" s="14"/>
      <c r="V137" s="14"/>
      <c r="W137" s="14"/>
      <c r="X137" s="14"/>
    </row>
    <row r="139" spans="2:24" x14ac:dyDescent="0.25">
      <c r="B139" s="39"/>
      <c r="C139" s="11"/>
      <c r="D139" s="11"/>
      <c r="E139" s="386"/>
      <c r="F139" s="11"/>
      <c r="G139" s="38"/>
      <c r="H139" s="38"/>
      <c r="I139" s="38"/>
      <c r="J139" s="40"/>
      <c r="K139" s="40"/>
      <c r="L139" s="40"/>
      <c r="M139" s="14"/>
      <c r="N139" s="14"/>
      <c r="O139" s="14"/>
      <c r="P139" s="14"/>
      <c r="Q139" s="14"/>
      <c r="R139" s="14"/>
      <c r="S139" s="14"/>
      <c r="T139" s="14"/>
      <c r="U139" s="14"/>
      <c r="V139" s="14"/>
      <c r="W139" s="14"/>
      <c r="X139" s="14"/>
    </row>
    <row r="140" spans="2:24" x14ac:dyDescent="0.25">
      <c r="B140" s="11"/>
      <c r="C140" s="11"/>
      <c r="D140" s="11"/>
      <c r="E140" s="11"/>
      <c r="F140" s="11"/>
      <c r="G140" s="38"/>
      <c r="H140" s="38"/>
      <c r="I140" s="38"/>
      <c r="J140" s="40"/>
      <c r="K140" s="40"/>
      <c r="L140" s="40"/>
      <c r="M140" s="14"/>
      <c r="N140" s="14"/>
      <c r="O140" s="14"/>
      <c r="P140" s="14"/>
      <c r="Q140" s="14"/>
      <c r="R140" s="14"/>
      <c r="S140" s="14"/>
      <c r="T140" s="14"/>
      <c r="U140" s="14"/>
      <c r="V140" s="14"/>
      <c r="W140" s="14"/>
      <c r="X140" s="14"/>
    </row>
    <row r="141" spans="2:24" x14ac:dyDescent="0.25">
      <c r="B141" s="11"/>
      <c r="C141" s="11"/>
      <c r="D141" s="11"/>
      <c r="E141" s="11"/>
      <c r="F141" s="11"/>
      <c r="G141" s="38"/>
      <c r="H141" s="38"/>
      <c r="I141" s="38"/>
      <c r="J141" s="40"/>
      <c r="K141" s="40"/>
      <c r="L141" s="40"/>
      <c r="M141" s="14"/>
      <c r="N141" s="14"/>
      <c r="O141" s="14"/>
      <c r="P141" s="14"/>
      <c r="Q141" s="14"/>
      <c r="R141" s="14"/>
      <c r="S141" s="14"/>
      <c r="T141" s="14"/>
      <c r="U141" s="14"/>
      <c r="V141" s="14"/>
      <c r="W141" s="14"/>
      <c r="X141" s="14"/>
    </row>
    <row r="142" spans="2:24" ht="19.5" x14ac:dyDescent="0.25">
      <c r="B142" s="241" t="s">
        <v>710</v>
      </c>
      <c r="C142" s="242" t="s">
        <v>852</v>
      </c>
      <c r="D142" s="258" t="s">
        <v>458</v>
      </c>
      <c r="E142" s="243" t="s">
        <v>462</v>
      </c>
      <c r="F142" s="11"/>
      <c r="G142" s="38"/>
      <c r="H142" s="38"/>
      <c r="I142" s="38"/>
    </row>
    <row r="143" spans="2:24" x14ac:dyDescent="0.25">
      <c r="B143" s="186" t="s">
        <v>715</v>
      </c>
      <c r="C143" s="159" t="s">
        <v>853</v>
      </c>
      <c r="D143" s="186" t="s">
        <v>716</v>
      </c>
      <c r="E143" s="257">
        <v>0</v>
      </c>
      <c r="F143" s="11"/>
      <c r="G143" s="38"/>
      <c r="H143" s="38"/>
      <c r="I143" s="38"/>
    </row>
    <row r="144" spans="2:24" x14ac:dyDescent="0.25">
      <c r="F144" s="11"/>
      <c r="G144" s="38"/>
      <c r="H144" s="38"/>
      <c r="I144" s="38"/>
    </row>
  </sheetData>
  <sheetProtection algorithmName="SHA-512" hashValue="ncV2Fzcksu9IE5p/28rilQA0Me1bDybhY2Zc7qI8jse48ve/nCkZzTrvy1Qo/S2VSqStzEwov4GZurhlVkIkcA==" saltValue="823fp15nB04Wx2qE8jfmDQ==" spinCount="100000" sheet="1" objects="1" scenarios="1"/>
  <mergeCells count="20">
    <mergeCell ref="B2:N2"/>
    <mergeCell ref="B8:B9"/>
    <mergeCell ref="C8:C9"/>
    <mergeCell ref="D8:D9"/>
    <mergeCell ref="E115:G115"/>
    <mergeCell ref="H115:J115"/>
    <mergeCell ref="K115:M115"/>
    <mergeCell ref="B4:L4"/>
    <mergeCell ref="E8:G8"/>
    <mergeCell ref="E109:G109"/>
    <mergeCell ref="H109:J109"/>
    <mergeCell ref="K109:M109"/>
    <mergeCell ref="G45:I45"/>
    <mergeCell ref="J45:O45"/>
    <mergeCell ref="G107:I107"/>
    <mergeCell ref="J107:O107"/>
    <mergeCell ref="G6:I6"/>
    <mergeCell ref="H8:J8"/>
    <mergeCell ref="K8:M8"/>
    <mergeCell ref="B106:G106"/>
  </mergeCells>
  <phoneticPr fontId="3" type="noConversion"/>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0A01F-2334-4F3B-8E31-6E9D6B2032E3}">
  <sheetPr codeName="Sheet6">
    <tabColor theme="3"/>
    <pageSetUpPr fitToPage="1"/>
  </sheetPr>
  <dimension ref="B2:Y44"/>
  <sheetViews>
    <sheetView zoomScale="90" zoomScaleNormal="90" workbookViewId="0"/>
  </sheetViews>
  <sheetFormatPr defaultColWidth="8.54296875" defaultRowHeight="13.5" x14ac:dyDescent="0.3"/>
  <cols>
    <col min="1" max="1" width="2.453125" style="3" customWidth="1"/>
    <col min="2" max="2" width="79.54296875" style="3" customWidth="1"/>
    <col min="3" max="3" width="32.54296875" style="3" customWidth="1"/>
    <col min="4" max="13" width="16.453125" style="3" customWidth="1"/>
    <col min="14" max="15" width="15.54296875" style="3" customWidth="1"/>
    <col min="16" max="21" width="11.54296875" style="3" customWidth="1"/>
    <col min="22" max="16384" width="8.54296875" style="3"/>
  </cols>
  <sheetData>
    <row r="2" spans="2:17" ht="24.5" x14ac:dyDescent="0.3">
      <c r="B2" s="1835" t="s">
        <v>27</v>
      </c>
      <c r="C2" s="1825"/>
      <c r="D2" s="1825"/>
      <c r="E2" s="1825"/>
      <c r="F2" s="1825"/>
      <c r="G2" s="1825"/>
      <c r="H2" s="1825"/>
      <c r="I2" s="1825"/>
      <c r="J2" s="1825"/>
    </row>
    <row r="3" spans="2:17" ht="24.5" x14ac:dyDescent="0.3">
      <c r="B3" s="1274"/>
      <c r="C3" s="1043"/>
      <c r="D3" s="1043"/>
      <c r="E3" s="1043"/>
      <c r="F3" s="1043"/>
      <c r="G3" s="1043"/>
      <c r="H3" s="1043"/>
      <c r="I3" s="1043"/>
      <c r="J3" s="1043"/>
    </row>
    <row r="4" spans="2:17" ht="15.5" customHeight="1" x14ac:dyDescent="0.3">
      <c r="B4" s="1838" t="s">
        <v>1555</v>
      </c>
      <c r="C4" s="1838"/>
      <c r="D4" s="1838"/>
      <c r="E4" s="1838"/>
      <c r="F4" s="1838"/>
      <c r="G4" s="1838"/>
      <c r="H4" s="1838"/>
      <c r="I4" s="1043"/>
      <c r="J4" s="1043"/>
    </row>
    <row r="5" spans="2:17" ht="14" x14ac:dyDescent="0.3">
      <c r="B5" s="2" t="s">
        <v>1554</v>
      </c>
    </row>
    <row r="7" spans="2:17" ht="29.15" customHeight="1" x14ac:dyDescent="0.3">
      <c r="B7" s="1831" t="s">
        <v>855</v>
      </c>
      <c r="C7" s="1831" t="s">
        <v>458</v>
      </c>
      <c r="D7" s="1832" t="s">
        <v>459</v>
      </c>
      <c r="E7" s="1833"/>
      <c r="F7" s="1836" t="s">
        <v>460</v>
      </c>
      <c r="G7" s="1837"/>
      <c r="H7" s="1830" t="s">
        <v>461</v>
      </c>
      <c r="I7" s="1830"/>
      <c r="J7" s="1830" t="s">
        <v>462</v>
      </c>
      <c r="K7" s="1830"/>
      <c r="L7" s="1830" t="s">
        <v>463</v>
      </c>
      <c r="M7" s="1830"/>
      <c r="N7" s="1830" t="s">
        <v>464</v>
      </c>
      <c r="O7" s="1830"/>
      <c r="P7" s="1830" t="s">
        <v>465</v>
      </c>
      <c r="Q7" s="1830"/>
    </row>
    <row r="8" spans="2:17" ht="27" x14ac:dyDescent="0.3">
      <c r="B8" s="1831"/>
      <c r="C8" s="1831"/>
      <c r="D8" s="601" t="s">
        <v>856</v>
      </c>
      <c r="E8" s="602" t="s">
        <v>857</v>
      </c>
      <c r="F8" s="603" t="s">
        <v>856</v>
      </c>
      <c r="G8" s="604" t="s">
        <v>857</v>
      </c>
      <c r="H8" s="603" t="s">
        <v>856</v>
      </c>
      <c r="I8" s="604" t="s">
        <v>857</v>
      </c>
      <c r="J8" s="603" t="s">
        <v>856</v>
      </c>
      <c r="K8" s="604" t="s">
        <v>857</v>
      </c>
      <c r="L8" s="603" t="s">
        <v>856</v>
      </c>
      <c r="M8" s="604" t="s">
        <v>857</v>
      </c>
      <c r="N8" s="603" t="s">
        <v>856</v>
      </c>
      <c r="O8" s="604" t="s">
        <v>857</v>
      </c>
      <c r="P8" s="603" t="s">
        <v>856</v>
      </c>
      <c r="Q8" s="604" t="s">
        <v>857</v>
      </c>
    </row>
    <row r="9" spans="2:17" ht="30" x14ac:dyDescent="0.3">
      <c r="B9" s="526" t="s">
        <v>858</v>
      </c>
      <c r="C9" s="523" t="s">
        <v>859</v>
      </c>
      <c r="D9" s="631">
        <v>12.298488689515668</v>
      </c>
      <c r="E9" s="605" t="s">
        <v>860</v>
      </c>
      <c r="F9" s="1004">
        <v>10.248264026783202</v>
      </c>
      <c r="G9" s="1005" t="s">
        <v>860</v>
      </c>
      <c r="H9" s="606">
        <v>17.11</v>
      </c>
      <c r="I9" s="606" t="s">
        <v>860</v>
      </c>
      <c r="J9" s="606">
        <v>11.11</v>
      </c>
      <c r="K9" s="606" t="s">
        <v>861</v>
      </c>
      <c r="L9" s="607">
        <v>11.8</v>
      </c>
      <c r="M9" s="608" t="s">
        <v>861</v>
      </c>
      <c r="N9" s="607">
        <v>16.12</v>
      </c>
      <c r="O9" s="608" t="s">
        <v>861</v>
      </c>
      <c r="P9" s="607">
        <v>18.443351047652378</v>
      </c>
      <c r="Q9" s="608" t="s">
        <v>861</v>
      </c>
    </row>
    <row r="10" spans="2:17" ht="15" x14ac:dyDescent="0.3">
      <c r="B10" s="526" t="s">
        <v>862</v>
      </c>
      <c r="C10" s="526" t="s">
        <v>542</v>
      </c>
      <c r="D10" s="631">
        <v>0.50495611461343815</v>
      </c>
      <c r="E10" s="631">
        <v>0.38</v>
      </c>
      <c r="F10" s="1004">
        <v>0.35717850817456592</v>
      </c>
      <c r="G10" s="1004">
        <v>0.49730614606716483</v>
      </c>
      <c r="H10" s="606">
        <v>0.36</v>
      </c>
      <c r="I10" s="606">
        <v>0.48</v>
      </c>
      <c r="J10" s="606">
        <f>G27</f>
        <v>0.48</v>
      </c>
      <c r="K10" s="606">
        <f>G28</f>
        <v>0.41</v>
      </c>
      <c r="L10" s="608">
        <v>0.59</v>
      </c>
      <c r="M10" s="608" t="s">
        <v>719</v>
      </c>
      <c r="N10" s="607">
        <v>0.56999999999999995</v>
      </c>
      <c r="O10" s="608" t="s">
        <v>719</v>
      </c>
      <c r="P10" s="607">
        <v>0.78427488081668739</v>
      </c>
      <c r="Q10" s="608" t="s">
        <v>719</v>
      </c>
    </row>
    <row r="11" spans="2:17" ht="15" x14ac:dyDescent="0.3">
      <c r="B11" s="526" t="s">
        <v>863</v>
      </c>
      <c r="C11" s="526" t="s">
        <v>864</v>
      </c>
      <c r="D11" s="632">
        <v>21</v>
      </c>
      <c r="E11" s="605">
        <v>4</v>
      </c>
      <c r="F11" s="1006">
        <v>18</v>
      </c>
      <c r="G11" s="1005">
        <v>2</v>
      </c>
      <c r="H11" s="606">
        <v>20</v>
      </c>
      <c r="I11" s="606">
        <v>4</v>
      </c>
      <c r="J11" s="606">
        <v>28</v>
      </c>
      <c r="K11" s="606">
        <v>9</v>
      </c>
      <c r="L11" s="608">
        <v>40</v>
      </c>
      <c r="M11" s="608">
        <v>8</v>
      </c>
      <c r="N11" s="608">
        <v>39</v>
      </c>
      <c r="O11" s="608">
        <v>6</v>
      </c>
      <c r="P11" s="608">
        <v>49</v>
      </c>
      <c r="Q11" s="608">
        <v>12</v>
      </c>
    </row>
    <row r="12" spans="2:17" ht="15" x14ac:dyDescent="0.3">
      <c r="B12" s="526" t="s">
        <v>865</v>
      </c>
      <c r="C12" s="526" t="s">
        <v>535</v>
      </c>
      <c r="D12" s="631">
        <v>1.1324575220548496</v>
      </c>
      <c r="E12" s="631">
        <v>0.9563475815829755</v>
      </c>
      <c r="F12" s="1004">
        <v>0.92326702943992811</v>
      </c>
      <c r="G12" s="1004">
        <v>0.49730614606716483</v>
      </c>
      <c r="H12" s="630">
        <v>0.84</v>
      </c>
      <c r="I12" s="606">
        <v>0.95</v>
      </c>
      <c r="J12" s="630">
        <v>1.196</v>
      </c>
      <c r="K12" s="606">
        <v>1.37</v>
      </c>
      <c r="L12" s="608">
        <v>1.45</v>
      </c>
      <c r="M12" s="608">
        <v>1.33</v>
      </c>
      <c r="N12" s="607">
        <v>1.29</v>
      </c>
      <c r="O12" s="607">
        <v>1.1299999999999999</v>
      </c>
      <c r="P12" s="607">
        <v>1.4464112881567741</v>
      </c>
      <c r="Q12" s="607">
        <v>1.33</v>
      </c>
    </row>
    <row r="13" spans="2:17" ht="15" x14ac:dyDescent="0.3">
      <c r="B13" s="526" t="s">
        <v>866</v>
      </c>
      <c r="C13" s="526" t="s">
        <v>542</v>
      </c>
      <c r="D13" s="631">
        <v>0.24660647457865587</v>
      </c>
      <c r="E13" s="631">
        <v>0.19126951631659511</v>
      </c>
      <c r="F13" s="1004">
        <v>0.17008500389265047</v>
      </c>
      <c r="G13" s="1004">
        <v>9.9461229213432964E-2</v>
      </c>
      <c r="H13" s="606">
        <v>0.17</v>
      </c>
      <c r="I13" s="606">
        <v>0.19</v>
      </c>
      <c r="J13" s="606">
        <v>0.23</v>
      </c>
      <c r="K13" s="606">
        <f>G24</f>
        <v>0.27</v>
      </c>
      <c r="L13" s="607">
        <v>0.3</v>
      </c>
      <c r="M13" s="608" t="s">
        <v>719</v>
      </c>
      <c r="N13" s="607">
        <v>0.28999999999999998</v>
      </c>
      <c r="O13" s="608" t="s">
        <v>719</v>
      </c>
      <c r="P13" s="607">
        <v>0.34713806200082886</v>
      </c>
      <c r="Q13" s="608" t="s">
        <v>719</v>
      </c>
    </row>
    <row r="14" spans="2:17" ht="30" x14ac:dyDescent="0.3">
      <c r="B14" s="526" t="s">
        <v>867</v>
      </c>
      <c r="C14" s="526" t="s">
        <v>535</v>
      </c>
      <c r="D14" s="631">
        <v>0.11324575220548497</v>
      </c>
      <c r="E14" s="605" t="s">
        <v>860</v>
      </c>
      <c r="F14" s="1004">
        <v>0</v>
      </c>
      <c r="G14" s="1005" t="s">
        <v>860</v>
      </c>
      <c r="H14" s="606">
        <v>0</v>
      </c>
      <c r="I14" s="606" t="s">
        <v>860</v>
      </c>
      <c r="J14" s="606">
        <v>0.08</v>
      </c>
      <c r="K14" s="606" t="s">
        <v>861</v>
      </c>
      <c r="L14" s="608">
        <v>0.16</v>
      </c>
      <c r="M14" s="608" t="s">
        <v>861</v>
      </c>
      <c r="N14" s="607">
        <v>0.11</v>
      </c>
      <c r="O14" s="608" t="s">
        <v>861</v>
      </c>
      <c r="P14" s="607">
        <v>0.44999462298210752</v>
      </c>
      <c r="Q14" s="608" t="s">
        <v>861</v>
      </c>
    </row>
    <row r="15" spans="2:17" ht="25.4" hidden="1" customHeight="1" x14ac:dyDescent="0.3">
      <c r="B15" s="484" t="s">
        <v>868</v>
      </c>
      <c r="C15" s="484"/>
      <c r="F15" s="485"/>
      <c r="G15" s="478"/>
      <c r="H15" s="486"/>
      <c r="I15" s="485"/>
      <c r="J15" s="478"/>
      <c r="K15" s="486"/>
    </row>
    <row r="16" spans="2:17" ht="11.9" hidden="1" customHeight="1" x14ac:dyDescent="0.3">
      <c r="B16" s="487" t="s">
        <v>869</v>
      </c>
      <c r="C16" s="615" t="s">
        <v>870</v>
      </c>
      <c r="D16" s="615"/>
      <c r="E16" s="615"/>
      <c r="G16" s="488"/>
    </row>
    <row r="17" spans="2:25" ht="11.9" hidden="1" customHeight="1" x14ac:dyDescent="0.3">
      <c r="B17" s="487" t="s">
        <v>871</v>
      </c>
      <c r="C17" s="1834" t="s">
        <v>872</v>
      </c>
      <c r="D17" s="1834"/>
      <c r="E17" s="1834"/>
      <c r="F17" s="1834"/>
      <c r="G17" s="488"/>
    </row>
    <row r="18" spans="2:25" ht="11.9" hidden="1" customHeight="1" x14ac:dyDescent="0.3">
      <c r="B18" s="489" t="s">
        <v>873</v>
      </c>
      <c r="C18" s="1834" t="s">
        <v>874</v>
      </c>
      <c r="D18" s="1834"/>
      <c r="E18" s="1834"/>
      <c r="F18" s="1834"/>
      <c r="G18" s="488"/>
    </row>
    <row r="19" spans="2:25" ht="11.9" hidden="1" customHeight="1" x14ac:dyDescent="0.3">
      <c r="B19" s="489" t="s">
        <v>875</v>
      </c>
      <c r="C19" s="1834" t="s">
        <v>876</v>
      </c>
      <c r="D19" s="1834"/>
      <c r="E19" s="1834"/>
      <c r="F19" s="1834"/>
      <c r="G19" s="488"/>
    </row>
    <row r="20" spans="2:25" ht="26.9" customHeight="1" x14ac:dyDescent="0.3">
      <c r="G20" s="488"/>
    </row>
    <row r="21" spans="2:25" ht="41.15" customHeight="1" x14ac:dyDescent="0.3">
      <c r="B21" s="566" t="s">
        <v>855</v>
      </c>
      <c r="C21" s="568" t="s">
        <v>458</v>
      </c>
      <c r="D21" s="602" t="s">
        <v>459</v>
      </c>
      <c r="E21" s="604" t="s">
        <v>460</v>
      </c>
      <c r="F21" s="604" t="s">
        <v>461</v>
      </c>
      <c r="G21" s="604" t="s">
        <v>462</v>
      </c>
      <c r="H21" s="604" t="s">
        <v>463</v>
      </c>
      <c r="I21" s="604" t="s">
        <v>464</v>
      </c>
      <c r="J21" s="604" t="s">
        <v>465</v>
      </c>
      <c r="K21" s="604" t="s">
        <v>877</v>
      </c>
      <c r="L21" s="567" t="s">
        <v>580</v>
      </c>
      <c r="M21" s="569" t="s">
        <v>878</v>
      </c>
      <c r="O21" s="499"/>
      <c r="P21" s="499"/>
      <c r="Q21" s="499" t="str">
        <f>K21</f>
        <v>2018/19</v>
      </c>
      <c r="R21" s="499" t="str">
        <f>J21</f>
        <v>2019/20</v>
      </c>
      <c r="S21" s="499" t="str">
        <f>I21</f>
        <v>2020/21</v>
      </c>
      <c r="T21" s="499" t="str">
        <f>H21</f>
        <v>2021/22</v>
      </c>
      <c r="U21" s="499" t="str">
        <f>G21</f>
        <v>2022/23</v>
      </c>
      <c r="V21" s="499" t="str">
        <f>F21</f>
        <v>2023/24</v>
      </c>
      <c r="W21" s="499" t="str">
        <f>E21</f>
        <v>2024/25</v>
      </c>
      <c r="X21" s="499" t="str">
        <f>D21</f>
        <v>2025/26</v>
      </c>
      <c r="Y21" s="499"/>
    </row>
    <row r="22" spans="2:25" ht="30" x14ac:dyDescent="0.3">
      <c r="B22" s="523" t="s">
        <v>879</v>
      </c>
      <c r="C22" s="526" t="s">
        <v>542</v>
      </c>
      <c r="D22" s="639">
        <v>0.22890328559622614</v>
      </c>
      <c r="E22" s="538">
        <v>0.17008500389265047</v>
      </c>
      <c r="F22" s="537">
        <v>0.17</v>
      </c>
      <c r="G22" s="537">
        <v>0.24</v>
      </c>
      <c r="H22" s="538">
        <v>0.3</v>
      </c>
      <c r="I22" s="537">
        <v>0.28000000000000003</v>
      </c>
      <c r="J22" s="537">
        <v>0.34</v>
      </c>
      <c r="K22" s="537">
        <v>0.56000000000000005</v>
      </c>
      <c r="L22" s="614">
        <f t="shared" ref="L22:L32" si="0">(D22-E22)/E22</f>
        <v>0.34581697596749306</v>
      </c>
      <c r="M22" s="612"/>
      <c r="O22" s="499"/>
      <c r="P22" s="499" t="str">
        <f>B22</f>
        <v>Lost Time Injury and Illness Rate (LTIIR) 
employees + contractors</v>
      </c>
      <c r="Q22" s="499">
        <f>K22</f>
        <v>0.56000000000000005</v>
      </c>
      <c r="R22" s="499">
        <f>J22</f>
        <v>0.34</v>
      </c>
      <c r="S22" s="499">
        <f>I22</f>
        <v>0.28000000000000003</v>
      </c>
      <c r="T22" s="1615">
        <f>H22</f>
        <v>0.3</v>
      </c>
      <c r="U22" s="499">
        <f>G22</f>
        <v>0.24</v>
      </c>
      <c r="V22" s="499">
        <f>F22</f>
        <v>0.17</v>
      </c>
      <c r="W22" s="1615">
        <f>E22</f>
        <v>0.17008500389265047</v>
      </c>
      <c r="X22" s="1615">
        <f>D22</f>
        <v>0.22890328559622614</v>
      </c>
      <c r="Y22" s="499"/>
    </row>
    <row r="23" spans="2:25" ht="15" x14ac:dyDescent="0.3">
      <c r="B23" s="535" t="s">
        <v>880</v>
      </c>
      <c r="C23" s="526" t="s">
        <v>542</v>
      </c>
      <c r="D23" s="639">
        <v>0.23781607963151843</v>
      </c>
      <c r="E23" s="538">
        <v>0.18465340588798562</v>
      </c>
      <c r="F23" s="537">
        <v>0.17</v>
      </c>
      <c r="G23" s="537">
        <v>0.23</v>
      </c>
      <c r="H23" s="538">
        <v>0.3</v>
      </c>
      <c r="I23" s="537">
        <v>0.28999999999999998</v>
      </c>
      <c r="J23" s="537">
        <v>0.35</v>
      </c>
      <c r="K23" s="537">
        <v>0.56999999999999995</v>
      </c>
      <c r="L23" s="614">
        <f t="shared" si="0"/>
        <v>0.28790518911837637</v>
      </c>
      <c r="M23" s="613"/>
      <c r="O23" s="499"/>
      <c r="P23" s="499"/>
      <c r="Q23" s="499"/>
      <c r="R23" s="499"/>
      <c r="S23" s="499"/>
      <c r="T23" s="499"/>
      <c r="U23" s="499"/>
      <c r="V23" s="499"/>
      <c r="W23" s="499"/>
      <c r="X23" s="499"/>
      <c r="Y23" s="499"/>
    </row>
    <row r="24" spans="2:25" ht="15" x14ac:dyDescent="0.3">
      <c r="B24" s="535" t="s">
        <v>881</v>
      </c>
      <c r="C24" s="526" t="s">
        <v>542</v>
      </c>
      <c r="D24" s="639">
        <v>0.19126951631659511</v>
      </c>
      <c r="E24" s="538">
        <v>9.9461229213432964E-2</v>
      </c>
      <c r="F24" s="537">
        <v>0.19</v>
      </c>
      <c r="G24" s="537">
        <v>0.27</v>
      </c>
      <c r="H24" s="537">
        <v>0.27</v>
      </c>
      <c r="I24" s="537">
        <v>0.23</v>
      </c>
      <c r="J24" s="537">
        <v>0.27</v>
      </c>
      <c r="K24" s="537">
        <v>0.4</v>
      </c>
      <c r="L24" s="614">
        <f t="shared" si="0"/>
        <v>0.92305602725009128</v>
      </c>
      <c r="M24" s="613"/>
      <c r="O24" s="499"/>
      <c r="P24" s="499"/>
      <c r="Q24" s="499"/>
      <c r="R24" s="499"/>
      <c r="S24" s="499"/>
      <c r="T24" s="499"/>
      <c r="U24" s="499"/>
      <c r="V24" s="499"/>
      <c r="W24" s="499"/>
      <c r="X24" s="499"/>
      <c r="Y24" s="499"/>
    </row>
    <row r="25" spans="2:25" ht="30" x14ac:dyDescent="0.3">
      <c r="B25" s="846" t="s">
        <v>882</v>
      </c>
      <c r="C25" s="526" t="s">
        <v>542</v>
      </c>
      <c r="D25" s="639">
        <v>0.46696270261630135</v>
      </c>
      <c r="E25" s="538">
        <v>0.35717850817456592</v>
      </c>
      <c r="F25" s="537">
        <v>0.36</v>
      </c>
      <c r="G25" s="537">
        <v>0.47</v>
      </c>
      <c r="H25" s="537">
        <v>0.59</v>
      </c>
      <c r="I25" s="537">
        <v>0.55000000000000004</v>
      </c>
      <c r="J25" s="537">
        <v>0.79</v>
      </c>
      <c r="K25" s="537">
        <v>0.97</v>
      </c>
      <c r="L25" s="614">
        <f t="shared" si="0"/>
        <v>0.30736506236842215</v>
      </c>
      <c r="M25" s="614">
        <f>(E25-J25)/(0.25-J25)</f>
        <v>0.80152128115821131</v>
      </c>
      <c r="O25" s="499"/>
      <c r="P25" s="499" t="str">
        <f>B25</f>
        <v>Total Recordable Injury and Illness Rate (TRIIR)
employees + contractors</v>
      </c>
      <c r="Q25" s="499">
        <f>K25</f>
        <v>0.97</v>
      </c>
      <c r="R25" s="499">
        <f>J25</f>
        <v>0.79</v>
      </c>
      <c r="S25" s="499">
        <f>I25</f>
        <v>0.55000000000000004</v>
      </c>
      <c r="T25" s="499">
        <f>H25</f>
        <v>0.59</v>
      </c>
      <c r="U25" s="499">
        <f>G25</f>
        <v>0.47</v>
      </c>
      <c r="V25" s="499">
        <f>F25</f>
        <v>0.36</v>
      </c>
      <c r="W25" s="1615">
        <f>E25</f>
        <v>0.35717850817456592</v>
      </c>
      <c r="X25" s="1615">
        <f>D25</f>
        <v>0.46696270261630135</v>
      </c>
      <c r="Y25" s="499"/>
    </row>
    <row r="26" spans="2:25" ht="30" x14ac:dyDescent="0.3">
      <c r="B26" s="523" t="s">
        <v>883</v>
      </c>
      <c r="C26" s="526" t="s">
        <v>663</v>
      </c>
      <c r="D26" s="609">
        <v>51</v>
      </c>
      <c r="E26" s="967">
        <v>42</v>
      </c>
      <c r="F26" s="537">
        <v>50</v>
      </c>
      <c r="G26" s="537">
        <v>71</v>
      </c>
      <c r="H26" s="537">
        <v>98</v>
      </c>
      <c r="I26" s="537">
        <v>89</v>
      </c>
      <c r="J26" s="537">
        <v>144</v>
      </c>
      <c r="K26" s="537">
        <v>160</v>
      </c>
      <c r="L26" s="614">
        <f t="shared" si="0"/>
        <v>0.21428571428571427</v>
      </c>
      <c r="M26" s="614"/>
      <c r="O26" s="499"/>
      <c r="P26" s="499"/>
      <c r="Q26" s="499"/>
      <c r="R26" s="499"/>
      <c r="S26" s="499"/>
      <c r="T26" s="499"/>
      <c r="U26" s="499"/>
      <c r="V26" s="499"/>
      <c r="W26" s="499"/>
      <c r="X26" s="499"/>
      <c r="Y26" s="499"/>
    </row>
    <row r="27" spans="2:25" ht="15" x14ac:dyDescent="0.3">
      <c r="B27" s="535" t="s">
        <v>884</v>
      </c>
      <c r="C27" s="526" t="s">
        <v>542</v>
      </c>
      <c r="D27" s="639">
        <v>0.48695673448358534</v>
      </c>
      <c r="E27" s="538">
        <v>0.32827272157864112</v>
      </c>
      <c r="F27" s="537">
        <v>0.34</v>
      </c>
      <c r="G27" s="537">
        <v>0.48</v>
      </c>
      <c r="H27" s="537">
        <v>0.61</v>
      </c>
      <c r="I27" s="537">
        <v>0.56999999999999995</v>
      </c>
      <c r="J27" s="537">
        <v>0.79</v>
      </c>
      <c r="K27" s="537">
        <v>1.01</v>
      </c>
      <c r="L27" s="614">
        <f t="shared" si="0"/>
        <v>0.4833907981809869</v>
      </c>
      <c r="M27" s="613"/>
      <c r="O27" s="499"/>
      <c r="P27" s="499"/>
      <c r="Q27" s="499"/>
      <c r="R27" s="499"/>
      <c r="S27" s="499"/>
      <c r="T27" s="499"/>
      <c r="U27" s="499"/>
      <c r="V27" s="499"/>
      <c r="W27" s="499"/>
      <c r="X27" s="499"/>
      <c r="Y27" s="499"/>
    </row>
    <row r="28" spans="2:25" ht="15" x14ac:dyDescent="0.3">
      <c r="B28" s="535" t="s">
        <v>885</v>
      </c>
      <c r="C28" s="526" t="s">
        <v>542</v>
      </c>
      <c r="D28" s="639">
        <v>0.38253903263319022</v>
      </c>
      <c r="E28" s="538">
        <v>0.49730614606716483</v>
      </c>
      <c r="F28" s="537">
        <v>0.48</v>
      </c>
      <c r="G28" s="537">
        <v>0.41</v>
      </c>
      <c r="H28" s="537">
        <v>0.49</v>
      </c>
      <c r="I28" s="537">
        <v>0.45</v>
      </c>
      <c r="J28" s="537">
        <v>0.8</v>
      </c>
      <c r="K28" s="537">
        <v>0.53</v>
      </c>
      <c r="L28" s="614">
        <f t="shared" si="0"/>
        <v>-0.23077758909996354</v>
      </c>
      <c r="M28" s="613"/>
      <c r="O28" s="499"/>
      <c r="P28" s="499"/>
      <c r="Q28" s="499"/>
      <c r="R28" s="499"/>
      <c r="S28" s="499"/>
      <c r="T28" s="499"/>
      <c r="U28" s="499"/>
      <c r="V28" s="499"/>
      <c r="W28" s="499"/>
      <c r="X28" s="499"/>
      <c r="Y28" s="499"/>
    </row>
    <row r="29" spans="2:25" ht="15" x14ac:dyDescent="0.3">
      <c r="B29" s="846" t="s">
        <v>886</v>
      </c>
      <c r="C29" s="523" t="s">
        <v>544</v>
      </c>
      <c r="D29" s="639">
        <v>0.63</v>
      </c>
      <c r="E29" s="538">
        <v>0.82599999999999996</v>
      </c>
      <c r="F29" s="538">
        <v>0.88</v>
      </c>
      <c r="G29" s="538">
        <v>1.0149999999999999</v>
      </c>
      <c r="H29" s="538">
        <v>1.3220000000000001</v>
      </c>
      <c r="I29" s="538">
        <v>0.77</v>
      </c>
      <c r="J29" s="538">
        <v>1.1819999999999999</v>
      </c>
      <c r="K29" s="538">
        <v>1.5349999999999999</v>
      </c>
      <c r="L29" s="614">
        <f t="shared" si="0"/>
        <v>-0.23728813559322029</v>
      </c>
      <c r="M29" s="614">
        <f>(E29-J29)/(0.4-J29)</f>
        <v>0.45524296675191817</v>
      </c>
      <c r="O29" s="499"/>
      <c r="P29" s="499" t="str">
        <f>B29</f>
        <v>ICCA - Process Safety Event Severity Rate (PSESR)</v>
      </c>
      <c r="Q29" s="1615">
        <f>K29</f>
        <v>1.5349999999999999</v>
      </c>
      <c r="R29" s="1615">
        <f>J29</f>
        <v>1.1819999999999999</v>
      </c>
      <c r="S29" s="1615">
        <f>I29</f>
        <v>0.77</v>
      </c>
      <c r="T29" s="1615">
        <f>H29</f>
        <v>1.3220000000000001</v>
      </c>
      <c r="U29" s="1615">
        <f>G29</f>
        <v>1.0149999999999999</v>
      </c>
      <c r="V29" s="1615">
        <f>F29</f>
        <v>0.88</v>
      </c>
      <c r="W29" s="1615">
        <f>E29</f>
        <v>0.82599999999999996</v>
      </c>
      <c r="X29" s="1615">
        <f>D29</f>
        <v>0.63</v>
      </c>
      <c r="Y29" s="499"/>
    </row>
    <row r="30" spans="2:25" ht="15" x14ac:dyDescent="0.3">
      <c r="B30" s="526" t="s">
        <v>887</v>
      </c>
      <c r="C30" s="526" t="s">
        <v>888</v>
      </c>
      <c r="D30" s="611">
        <v>2</v>
      </c>
      <c r="E30" s="539">
        <v>2</v>
      </c>
      <c r="F30" s="539">
        <v>3</v>
      </c>
      <c r="G30" s="539">
        <f>G31*G32</f>
        <v>8.9727776479999992</v>
      </c>
      <c r="H30" s="539">
        <f>H31*H32</f>
        <v>11.004886842000001</v>
      </c>
      <c r="I30" s="539">
        <f>I31*I32</f>
        <v>5.0102105450000005</v>
      </c>
      <c r="J30" s="539">
        <f>J31*J32</f>
        <v>3.9997423400000001</v>
      </c>
      <c r="K30" s="539">
        <f>K31*K32</f>
        <v>3.0076201609999997</v>
      </c>
      <c r="L30" s="614">
        <f t="shared" si="0"/>
        <v>0</v>
      </c>
      <c r="M30" s="614"/>
      <c r="O30" s="499"/>
      <c r="P30" s="499"/>
      <c r="Q30" s="499"/>
      <c r="R30" s="499"/>
      <c r="S30" s="499"/>
      <c r="T30" s="499"/>
      <c r="U30" s="499"/>
      <c r="V30" s="499"/>
      <c r="W30" s="499"/>
      <c r="X30" s="499"/>
      <c r="Y30" s="499"/>
    </row>
    <row r="31" spans="2:25" ht="15" x14ac:dyDescent="0.3">
      <c r="B31" s="526" t="s">
        <v>539</v>
      </c>
      <c r="C31" s="522" t="s">
        <v>540</v>
      </c>
      <c r="D31" s="639">
        <v>9.1561314238490454E-2</v>
      </c>
      <c r="E31" s="1001">
        <v>8.5042501946325233E-2</v>
      </c>
      <c r="F31" s="540">
        <v>0.108</v>
      </c>
      <c r="G31" s="540">
        <v>0.29599999999999999</v>
      </c>
      <c r="H31" s="540">
        <v>0.33400000000000002</v>
      </c>
      <c r="I31" s="540">
        <v>0.155</v>
      </c>
      <c r="J31" s="540">
        <v>0.11</v>
      </c>
      <c r="K31" s="540">
        <v>9.0999999999999998E-2</v>
      </c>
      <c r="L31" s="614">
        <f t="shared" si="0"/>
        <v>7.6653580773994451E-2</v>
      </c>
      <c r="M31" s="612"/>
      <c r="O31" s="499"/>
      <c r="P31" s="499"/>
      <c r="Q31" s="499"/>
      <c r="R31" s="499"/>
      <c r="S31" s="499"/>
      <c r="T31" s="499"/>
      <c r="U31" s="499"/>
      <c r="V31" s="499"/>
      <c r="W31" s="499"/>
      <c r="X31" s="499"/>
      <c r="Y31" s="499"/>
    </row>
    <row r="32" spans="2:25" ht="15" x14ac:dyDescent="0.3">
      <c r="B32" s="525" t="s">
        <v>889</v>
      </c>
      <c r="C32" s="536" t="s">
        <v>890</v>
      </c>
      <c r="D32" s="610">
        <v>21.843286289999995</v>
      </c>
      <c r="E32" s="1002">
        <v>23.517652399999999</v>
      </c>
      <c r="F32" s="541">
        <v>27.458358</v>
      </c>
      <c r="G32" s="541">
        <v>30.313438000000001</v>
      </c>
      <c r="H32" s="541">
        <v>32.948763</v>
      </c>
      <c r="I32" s="541">
        <v>32.323939000000003</v>
      </c>
      <c r="J32" s="541">
        <v>36.361294000000001</v>
      </c>
      <c r="K32" s="541">
        <v>33.050770999999997</v>
      </c>
      <c r="L32" s="614">
        <f t="shared" si="0"/>
        <v>-7.1196141584268194E-2</v>
      </c>
      <c r="M32" s="612"/>
      <c r="O32" s="499"/>
      <c r="P32" s="499"/>
    </row>
    <row r="33" spans="2:13" ht="15" x14ac:dyDescent="0.3">
      <c r="B33" s="525" t="s">
        <v>891</v>
      </c>
      <c r="C33" s="536" t="s">
        <v>663</v>
      </c>
      <c r="D33" s="611">
        <v>0</v>
      </c>
      <c r="E33" s="1003">
        <v>0</v>
      </c>
      <c r="F33" s="542">
        <v>0</v>
      </c>
      <c r="G33" s="542">
        <v>0</v>
      </c>
      <c r="H33" s="542">
        <v>0</v>
      </c>
      <c r="I33" s="542">
        <v>0</v>
      </c>
      <c r="J33" s="542">
        <v>0</v>
      </c>
      <c r="K33" s="542">
        <v>0</v>
      </c>
      <c r="L33" s="614"/>
      <c r="M33" s="612"/>
    </row>
    <row r="34" spans="2:13" ht="15" x14ac:dyDescent="0.3">
      <c r="B34" s="525" t="s">
        <v>892</v>
      </c>
      <c r="C34" s="536" t="s">
        <v>663</v>
      </c>
      <c r="D34" s="611">
        <v>0</v>
      </c>
      <c r="E34" s="1003">
        <v>0</v>
      </c>
      <c r="F34" s="542">
        <v>0</v>
      </c>
      <c r="G34" s="542">
        <v>0</v>
      </c>
      <c r="H34" s="542">
        <v>0</v>
      </c>
      <c r="I34" s="542">
        <v>0</v>
      </c>
      <c r="J34" s="542">
        <v>0</v>
      </c>
      <c r="K34" s="542">
        <v>0</v>
      </c>
      <c r="L34" s="614"/>
      <c r="M34" s="612"/>
    </row>
    <row r="35" spans="2:13" ht="15" x14ac:dyDescent="0.3">
      <c r="B35" s="535" t="s">
        <v>893</v>
      </c>
      <c r="C35" s="536" t="s">
        <v>663</v>
      </c>
      <c r="D35" s="611">
        <v>0</v>
      </c>
      <c r="E35" s="1003">
        <v>0</v>
      </c>
      <c r="F35" s="542">
        <v>0</v>
      </c>
      <c r="G35" s="542">
        <v>0</v>
      </c>
      <c r="H35" s="542">
        <v>0</v>
      </c>
      <c r="I35" s="542">
        <v>0</v>
      </c>
      <c r="J35" s="542">
        <v>0</v>
      </c>
      <c r="K35" s="543">
        <v>0</v>
      </c>
      <c r="L35" s="614"/>
      <c r="M35" s="612"/>
    </row>
    <row r="36" spans="2:13" ht="15" x14ac:dyDescent="0.3">
      <c r="B36" s="525" t="s">
        <v>894</v>
      </c>
      <c r="C36" s="536" t="s">
        <v>663</v>
      </c>
      <c r="D36" s="611">
        <v>0</v>
      </c>
      <c r="E36" s="1003">
        <v>0</v>
      </c>
      <c r="F36" s="542">
        <v>0</v>
      </c>
      <c r="G36" s="542">
        <v>0</v>
      </c>
      <c r="H36" s="542" t="s">
        <v>719</v>
      </c>
      <c r="I36" s="542" t="s">
        <v>719</v>
      </c>
      <c r="J36" s="542" t="s">
        <v>719</v>
      </c>
      <c r="K36" s="542" t="s">
        <v>719</v>
      </c>
      <c r="L36" s="614"/>
      <c r="M36" s="612"/>
    </row>
    <row r="37" spans="2:13" ht="15" x14ac:dyDescent="0.3">
      <c r="B37" s="860" t="s">
        <v>895</v>
      </c>
      <c r="C37" s="536" t="s">
        <v>494</v>
      </c>
      <c r="D37" s="1217">
        <v>52.6</v>
      </c>
      <c r="E37" s="482"/>
    </row>
    <row r="38" spans="2:13" ht="15" x14ac:dyDescent="0.3">
      <c r="C38" s="544"/>
      <c r="E38" s="643"/>
      <c r="G38" s="544"/>
      <c r="I38" s="544"/>
      <c r="K38" s="544"/>
    </row>
    <row r="39" spans="2:13" x14ac:dyDescent="0.3">
      <c r="E39" s="625"/>
    </row>
    <row r="44" spans="2:13" ht="15" x14ac:dyDescent="0.3">
      <c r="B44" s="617"/>
    </row>
  </sheetData>
  <sheetProtection algorithmName="SHA-512" hashValue="WHG3fwxVU1J9ZaFIm8PVFrXVXXPy7HrsW+oVD67aRUAzNrduHH3d9dFllGDSTYbASMUkJdl0CHHhQStwqvCPmQ==" saltValue="GZH/+Kf1vqGyb9vHR8iLGw==" spinCount="100000" sheet="1" objects="1" scenarios="1"/>
  <mergeCells count="14">
    <mergeCell ref="C17:F17"/>
    <mergeCell ref="C18:F18"/>
    <mergeCell ref="C19:F19"/>
    <mergeCell ref="B2:J2"/>
    <mergeCell ref="J7:K7"/>
    <mergeCell ref="F7:G7"/>
    <mergeCell ref="B4:H4"/>
    <mergeCell ref="P7:Q7"/>
    <mergeCell ref="L7:M7"/>
    <mergeCell ref="N7:O7"/>
    <mergeCell ref="B7:B8"/>
    <mergeCell ref="C7:C8"/>
    <mergeCell ref="H7:I7"/>
    <mergeCell ref="D7:E7"/>
  </mergeCells>
  <hyperlinks>
    <hyperlink ref="B4:E4" location="'Basis of Reporting'!A1" display="Please see ERM CVS' full assurance report on page 196-198 of our ARA 2025 and on Basis of Reporting tab for more details." xr:uid="{DB43F95B-9951-458B-A473-6FDBE6193659}"/>
  </hyperlinks>
  <pageMargins left="0.70866141732283472" right="0.70866141732283472" top="0.74803149606299213" bottom="0.74803149606299213" header="0.31496062992125984" footer="0.31496062992125984"/>
  <pageSetup paperSize="9" scale="39"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DDC94-2ACC-4A81-A254-C7521705475F}">
  <sheetPr codeName="Sheet9">
    <tabColor theme="3"/>
  </sheetPr>
  <dimension ref="B2:AC69"/>
  <sheetViews>
    <sheetView zoomScale="90" zoomScaleNormal="90" workbookViewId="0"/>
  </sheetViews>
  <sheetFormatPr defaultColWidth="8.54296875" defaultRowHeight="13.5" x14ac:dyDescent="0.25"/>
  <cols>
    <col min="1" max="1" width="3.453125" style="2" customWidth="1"/>
    <col min="2" max="2" width="68.453125" style="2" customWidth="1"/>
    <col min="3" max="3" width="25.453125" style="2" customWidth="1"/>
    <col min="4" max="4" width="3.54296875" style="2" customWidth="1"/>
    <col min="5" max="5" width="67.453125" style="2" customWidth="1"/>
    <col min="6" max="6" width="25.453125" style="2" customWidth="1"/>
    <col min="7" max="7" width="4.453125" style="2" customWidth="1"/>
    <col min="8" max="8" width="67.54296875" style="2" customWidth="1"/>
    <col min="9" max="9" width="23.453125" style="2" bestFit="1" customWidth="1"/>
    <col min="10" max="10" width="4.453125" style="2" customWidth="1"/>
    <col min="11" max="11" width="59.54296875" style="2" bestFit="1" customWidth="1"/>
    <col min="12" max="12" width="23.453125" style="2" bestFit="1" customWidth="1"/>
    <col min="13" max="13" width="4.54296875" style="2" customWidth="1"/>
    <col min="14" max="14" width="59.54296875" style="2" bestFit="1" customWidth="1"/>
    <col min="15" max="15" width="23.453125" style="2" bestFit="1" customWidth="1"/>
    <col min="16" max="16" width="5" style="2" customWidth="1"/>
    <col min="17" max="17" width="63.54296875" style="2" bestFit="1" customWidth="1"/>
    <col min="18" max="18" width="23.453125" style="2" customWidth="1"/>
    <col min="19" max="19" width="8.54296875" style="2"/>
    <col min="20" max="20" width="71" style="2" customWidth="1"/>
    <col min="21" max="21" width="22.54296875" style="2" bestFit="1" customWidth="1"/>
    <col min="22" max="16384" width="8.54296875" style="2"/>
  </cols>
  <sheetData>
    <row r="2" spans="2:29" ht="34" x14ac:dyDescent="0.25">
      <c r="B2" s="1839" t="s">
        <v>28</v>
      </c>
      <c r="C2" s="1839"/>
      <c r="D2" s="1839"/>
      <c r="E2" s="1839"/>
      <c r="F2" s="1839"/>
      <c r="G2" s="1839"/>
      <c r="H2" s="4"/>
    </row>
    <row r="4" spans="2:29" ht="192.5" customHeight="1" x14ac:dyDescent="0.25">
      <c r="B4" s="1843" t="s">
        <v>1100</v>
      </c>
      <c r="C4" s="1843"/>
      <c r="D4" s="1843"/>
      <c r="E4" s="1843"/>
      <c r="F4" s="1843"/>
      <c r="G4" s="1843"/>
      <c r="H4" s="1843"/>
      <c r="I4" s="1843"/>
      <c r="J4" s="1843"/>
    </row>
    <row r="6" spans="2:29" ht="23" x14ac:dyDescent="0.25">
      <c r="B6" s="1840" t="s">
        <v>1537</v>
      </c>
      <c r="C6" s="1840"/>
      <c r="E6" s="1840" t="s">
        <v>1101</v>
      </c>
      <c r="F6" s="1840"/>
      <c r="H6" s="1840" t="s">
        <v>1102</v>
      </c>
      <c r="I6" s="1840"/>
      <c r="K6" s="1840" t="s">
        <v>1103</v>
      </c>
      <c r="L6" s="1840"/>
      <c r="M6" s="7"/>
      <c r="N6" s="1840" t="s">
        <v>1104</v>
      </c>
      <c r="O6" s="1840"/>
      <c r="Q6" s="1840" t="s">
        <v>1105</v>
      </c>
      <c r="R6" s="1840"/>
      <c r="T6" s="1840" t="s">
        <v>1106</v>
      </c>
      <c r="U6" s="1840"/>
    </row>
    <row r="7" spans="2:29" s="58" customFormat="1" ht="24" customHeight="1" x14ac:dyDescent="0.35">
      <c r="B7" s="677" t="s">
        <v>1107</v>
      </c>
      <c r="C7" s="674" t="s">
        <v>1108</v>
      </c>
      <c r="E7" s="677" t="s">
        <v>1107</v>
      </c>
      <c r="F7" s="674" t="s">
        <v>1108</v>
      </c>
      <c r="H7" s="673" t="s">
        <v>1107</v>
      </c>
      <c r="I7" s="674" t="s">
        <v>1108</v>
      </c>
      <c r="K7" s="673" t="s">
        <v>1109</v>
      </c>
      <c r="L7" s="674" t="s">
        <v>1108</v>
      </c>
      <c r="N7" s="673" t="s">
        <v>1107</v>
      </c>
      <c r="O7" s="674" t="s">
        <v>1108</v>
      </c>
      <c r="Q7" s="673" t="s">
        <v>1107</v>
      </c>
      <c r="R7" s="674" t="s">
        <v>1108</v>
      </c>
      <c r="T7" s="673" t="s">
        <v>1107</v>
      </c>
      <c r="U7" s="674" t="s">
        <v>1108</v>
      </c>
    </row>
    <row r="8" spans="2:29" ht="21" customHeight="1" x14ac:dyDescent="0.25">
      <c r="B8" s="649" t="s">
        <v>1110</v>
      </c>
      <c r="C8" s="678">
        <v>1</v>
      </c>
      <c r="E8" s="649" t="s">
        <v>1110</v>
      </c>
      <c r="F8" s="606">
        <v>4</v>
      </c>
      <c r="H8" s="650" t="s">
        <v>1110</v>
      </c>
      <c r="I8" s="606">
        <v>2</v>
      </c>
      <c r="K8" s="650" t="s">
        <v>1110</v>
      </c>
      <c r="L8" s="606">
        <v>14</v>
      </c>
      <c r="N8" s="649" t="s">
        <v>1110</v>
      </c>
      <c r="O8" s="680">
        <v>12</v>
      </c>
      <c r="Q8" s="649" t="s">
        <v>1110</v>
      </c>
      <c r="R8" s="680">
        <v>18</v>
      </c>
      <c r="T8" s="649" t="s">
        <v>1110</v>
      </c>
      <c r="U8" s="680">
        <v>13</v>
      </c>
    </row>
    <row r="9" spans="2:29" ht="19.5" customHeight="1" x14ac:dyDescent="0.25">
      <c r="B9" s="533" t="s">
        <v>1111</v>
      </c>
      <c r="C9" s="678">
        <v>14</v>
      </c>
      <c r="E9" s="533" t="s">
        <v>1111</v>
      </c>
      <c r="F9" s="606">
        <v>14</v>
      </c>
      <c r="H9" s="650" t="s">
        <v>1112</v>
      </c>
      <c r="I9" s="606">
        <v>10</v>
      </c>
      <c r="K9" s="650" t="s">
        <v>1112</v>
      </c>
      <c r="L9" s="606">
        <v>6</v>
      </c>
      <c r="N9" s="649" t="s">
        <v>1113</v>
      </c>
      <c r="O9" s="680">
        <v>0</v>
      </c>
      <c r="Q9" s="649" t="s">
        <v>1113</v>
      </c>
      <c r="R9" s="680">
        <v>4</v>
      </c>
      <c r="T9" s="649" t="s">
        <v>1113</v>
      </c>
      <c r="U9" s="680">
        <v>2</v>
      </c>
    </row>
    <row r="10" spans="2:29" ht="24" customHeight="1" x14ac:dyDescent="0.25">
      <c r="B10" s="533" t="s">
        <v>1114</v>
      </c>
      <c r="C10" s="678">
        <v>44</v>
      </c>
      <c r="E10" s="533" t="s">
        <v>1114</v>
      </c>
      <c r="F10" s="606">
        <v>53</v>
      </c>
      <c r="H10" s="650" t="s">
        <v>1115</v>
      </c>
      <c r="I10" s="606">
        <v>44</v>
      </c>
      <c r="K10" s="650" t="s">
        <v>1115</v>
      </c>
      <c r="L10" s="606">
        <v>47</v>
      </c>
      <c r="N10" s="649" t="s">
        <v>1116</v>
      </c>
      <c r="O10" s="680">
        <v>0</v>
      </c>
      <c r="Q10" s="649" t="s">
        <v>1116</v>
      </c>
      <c r="R10" s="680">
        <v>1</v>
      </c>
      <c r="T10" s="649" t="s">
        <v>1117</v>
      </c>
      <c r="U10" s="680">
        <v>1</v>
      </c>
      <c r="W10" s="620"/>
      <c r="X10" s="620"/>
      <c r="Y10" s="620"/>
      <c r="Z10" s="620"/>
      <c r="AA10" s="620"/>
      <c r="AB10" s="620"/>
    </row>
    <row r="11" spans="2:29" ht="18" customHeight="1" x14ac:dyDescent="0.25">
      <c r="B11" s="533" t="s">
        <v>1118</v>
      </c>
      <c r="C11" s="678">
        <v>34</v>
      </c>
      <c r="E11" s="533" t="s">
        <v>1119</v>
      </c>
      <c r="F11" s="606">
        <v>36</v>
      </c>
      <c r="H11" s="650" t="s">
        <v>1120</v>
      </c>
      <c r="I11" s="606">
        <v>51</v>
      </c>
      <c r="K11" s="650" t="s">
        <v>1120</v>
      </c>
      <c r="L11" s="606">
        <v>56</v>
      </c>
      <c r="N11" s="649" t="s">
        <v>1121</v>
      </c>
      <c r="O11" s="680">
        <v>0</v>
      </c>
      <c r="Q11" s="649" t="s">
        <v>1121</v>
      </c>
      <c r="R11" s="680">
        <v>1</v>
      </c>
      <c r="T11" s="649" t="s">
        <v>1121</v>
      </c>
      <c r="U11" s="680">
        <v>1</v>
      </c>
      <c r="W11" s="620"/>
      <c r="X11" s="620"/>
      <c r="Y11" s="620"/>
      <c r="Z11" s="620"/>
      <c r="AA11" s="620"/>
      <c r="AB11" s="620"/>
    </row>
    <row r="12" spans="2:29" ht="24.75" customHeight="1" x14ac:dyDescent="0.25">
      <c r="B12" s="533" t="s">
        <v>1122</v>
      </c>
      <c r="C12" s="678">
        <v>0</v>
      </c>
      <c r="E12" s="533" t="s">
        <v>1122</v>
      </c>
      <c r="F12" s="606">
        <v>1</v>
      </c>
      <c r="H12" s="650" t="s">
        <v>1123</v>
      </c>
      <c r="I12" s="606">
        <v>1</v>
      </c>
      <c r="K12" s="650" t="s">
        <v>1123</v>
      </c>
      <c r="L12" s="606">
        <v>5</v>
      </c>
      <c r="N12" s="649" t="s">
        <v>1112</v>
      </c>
      <c r="O12" s="680">
        <v>10</v>
      </c>
      <c r="Q12" s="649" t="s">
        <v>1112</v>
      </c>
      <c r="R12" s="680">
        <v>15</v>
      </c>
      <c r="T12" s="649" t="s">
        <v>1112</v>
      </c>
      <c r="U12" s="680">
        <v>11</v>
      </c>
      <c r="W12" s="52"/>
      <c r="X12" s="52"/>
      <c r="Y12" s="52"/>
      <c r="Z12" s="52"/>
      <c r="AA12" s="52"/>
      <c r="AB12" s="52"/>
      <c r="AC12" s="52"/>
    </row>
    <row r="13" spans="2:29" ht="32.25" customHeight="1" x14ac:dyDescent="0.25">
      <c r="B13" s="534" t="s">
        <v>1124</v>
      </c>
      <c r="C13" s="678">
        <v>9</v>
      </c>
      <c r="E13" s="534" t="s">
        <v>1124</v>
      </c>
      <c r="F13" s="606">
        <v>12</v>
      </c>
      <c r="H13" s="650" t="s">
        <v>1125</v>
      </c>
      <c r="I13" s="606">
        <v>14</v>
      </c>
      <c r="K13" s="650" t="s">
        <v>1125</v>
      </c>
      <c r="L13" s="606">
        <v>11</v>
      </c>
      <c r="N13" s="649" t="s">
        <v>1115</v>
      </c>
      <c r="O13" s="680">
        <v>51</v>
      </c>
      <c r="Q13" s="649" t="s">
        <v>1115</v>
      </c>
      <c r="R13" s="680">
        <v>44</v>
      </c>
      <c r="T13" s="649" t="s">
        <v>1126</v>
      </c>
      <c r="U13" s="680">
        <v>58</v>
      </c>
      <c r="AC13" s="52"/>
    </row>
    <row r="14" spans="2:29" ht="20.25" customHeight="1" x14ac:dyDescent="0.25">
      <c r="B14" s="533" t="s">
        <v>1127</v>
      </c>
      <c r="C14" s="678">
        <v>1</v>
      </c>
      <c r="E14" s="533" t="s">
        <v>1127</v>
      </c>
      <c r="F14" s="606">
        <v>1</v>
      </c>
      <c r="H14" s="650" t="s">
        <v>1128</v>
      </c>
      <c r="I14" s="606">
        <v>2</v>
      </c>
      <c r="K14" s="650" t="s">
        <v>1128</v>
      </c>
      <c r="L14" s="606">
        <v>2</v>
      </c>
      <c r="N14" s="649" t="s">
        <v>1120</v>
      </c>
      <c r="O14" s="680">
        <v>56</v>
      </c>
      <c r="Q14" s="649" t="s">
        <v>1120</v>
      </c>
      <c r="R14" s="680">
        <v>18</v>
      </c>
      <c r="T14" s="649" t="s">
        <v>1120</v>
      </c>
      <c r="U14" s="680">
        <v>7</v>
      </c>
      <c r="W14" s="620"/>
      <c r="X14" s="620"/>
      <c r="Y14" s="620"/>
      <c r="Z14" s="620"/>
      <c r="AA14" s="620"/>
      <c r="AB14" s="620"/>
      <c r="AC14" s="620"/>
    </row>
    <row r="15" spans="2:29" ht="30" x14ac:dyDescent="0.25">
      <c r="B15" s="533" t="s">
        <v>1129</v>
      </c>
      <c r="C15" s="678">
        <v>2</v>
      </c>
      <c r="E15" s="533" t="s">
        <v>1129</v>
      </c>
      <c r="F15" s="606">
        <v>2</v>
      </c>
      <c r="H15" s="650" t="s">
        <v>1130</v>
      </c>
      <c r="I15" s="606">
        <v>0</v>
      </c>
      <c r="K15" s="650" t="s">
        <v>1130</v>
      </c>
      <c r="L15" s="606">
        <v>1</v>
      </c>
      <c r="N15" s="649" t="s">
        <v>1123</v>
      </c>
      <c r="O15" s="680">
        <v>7</v>
      </c>
      <c r="Q15" s="649" t="s">
        <v>1123</v>
      </c>
      <c r="R15" s="680">
        <v>3</v>
      </c>
      <c r="T15" s="649" t="s">
        <v>1131</v>
      </c>
      <c r="U15" s="680">
        <v>6</v>
      </c>
      <c r="V15" s="6"/>
      <c r="W15" s="620" t="s">
        <v>465</v>
      </c>
      <c r="X15" s="620" t="s">
        <v>464</v>
      </c>
      <c r="Y15" s="620" t="s">
        <v>463</v>
      </c>
      <c r="Z15" s="620" t="s">
        <v>462</v>
      </c>
      <c r="AA15" s="620" t="s">
        <v>461</v>
      </c>
      <c r="AB15" s="620" t="s">
        <v>460</v>
      </c>
      <c r="AC15" s="620" t="s">
        <v>459</v>
      </c>
    </row>
    <row r="16" spans="2:29" ht="34.4" customHeight="1" x14ac:dyDescent="0.25">
      <c r="B16" s="533" t="s">
        <v>1132</v>
      </c>
      <c r="C16" s="678">
        <v>0</v>
      </c>
      <c r="E16" s="533" t="s">
        <v>1132</v>
      </c>
      <c r="F16" s="606">
        <v>4</v>
      </c>
      <c r="H16" s="650" t="s">
        <v>1132</v>
      </c>
      <c r="I16" s="606">
        <v>3</v>
      </c>
      <c r="K16" s="650" t="s">
        <v>1132</v>
      </c>
      <c r="L16" s="606">
        <v>4</v>
      </c>
      <c r="N16" s="649" t="s">
        <v>1125</v>
      </c>
      <c r="O16" s="680">
        <v>17</v>
      </c>
      <c r="Q16" s="649" t="s">
        <v>1125</v>
      </c>
      <c r="R16" s="680">
        <v>12</v>
      </c>
      <c r="T16" s="649" t="s">
        <v>1125</v>
      </c>
      <c r="U16" s="680">
        <v>7</v>
      </c>
      <c r="V16" s="6"/>
      <c r="W16" s="620">
        <f>U22</f>
        <v>123</v>
      </c>
      <c r="X16" s="620">
        <f>R22</f>
        <v>129</v>
      </c>
      <c r="Y16" s="620">
        <f>O24</f>
        <v>158</v>
      </c>
      <c r="Z16" s="620">
        <f>L19</f>
        <v>153</v>
      </c>
      <c r="AA16" s="620">
        <f>I21</f>
        <v>138</v>
      </c>
      <c r="AB16" s="620">
        <f>F21</f>
        <v>147</v>
      </c>
      <c r="AC16" s="620">
        <f>C23</f>
        <v>125</v>
      </c>
    </row>
    <row r="17" spans="2:29" ht="22.5" customHeight="1" x14ac:dyDescent="0.25">
      <c r="B17" s="533" t="s">
        <v>1133</v>
      </c>
      <c r="C17" s="678">
        <v>1</v>
      </c>
      <c r="E17" s="533" t="s">
        <v>1133</v>
      </c>
      <c r="F17" s="606">
        <v>6</v>
      </c>
      <c r="H17" s="650" t="s">
        <v>1134</v>
      </c>
      <c r="I17" s="606">
        <v>3</v>
      </c>
      <c r="K17" s="650" t="s">
        <v>1134</v>
      </c>
      <c r="L17" s="606">
        <v>6</v>
      </c>
      <c r="N17" s="649" t="s">
        <v>1135</v>
      </c>
      <c r="O17" s="680">
        <v>0</v>
      </c>
      <c r="Q17" s="649" t="s">
        <v>1135</v>
      </c>
      <c r="R17" s="680">
        <v>1</v>
      </c>
      <c r="T17" s="649" t="s">
        <v>1136</v>
      </c>
      <c r="U17" s="680">
        <v>5</v>
      </c>
      <c r="V17" s="6"/>
      <c r="W17" s="620"/>
      <c r="X17" s="620"/>
      <c r="Y17" s="620"/>
      <c r="Z17" s="620"/>
      <c r="AA17" s="620"/>
      <c r="AB17" s="620"/>
      <c r="AC17" s="620"/>
    </row>
    <row r="18" spans="2:29" ht="20.25" customHeight="1" x14ac:dyDescent="0.25">
      <c r="B18" s="533" t="s">
        <v>1137</v>
      </c>
      <c r="C18" s="678">
        <v>3</v>
      </c>
      <c r="E18" s="533" t="s">
        <v>1137</v>
      </c>
      <c r="F18" s="606">
        <v>5</v>
      </c>
      <c r="H18" s="649" t="s">
        <v>1138</v>
      </c>
      <c r="I18" s="606">
        <v>1</v>
      </c>
      <c r="K18" s="649" t="s">
        <v>1138</v>
      </c>
      <c r="L18" s="606">
        <v>1</v>
      </c>
      <c r="N18" s="649" t="s">
        <v>1139</v>
      </c>
      <c r="O18" s="680">
        <v>2</v>
      </c>
      <c r="Q18" s="649" t="s">
        <v>1139</v>
      </c>
      <c r="R18" s="680">
        <v>5</v>
      </c>
      <c r="T18" s="649" t="s">
        <v>1139</v>
      </c>
      <c r="U18" s="680">
        <v>8</v>
      </c>
      <c r="V18" s="6"/>
      <c r="W18" s="6"/>
      <c r="X18" s="6"/>
      <c r="Y18" s="6"/>
      <c r="Z18" s="6"/>
      <c r="AA18" s="6"/>
      <c r="AB18" s="6"/>
    </row>
    <row r="19" spans="2:29" ht="32.25" customHeight="1" x14ac:dyDescent="0.25">
      <c r="B19" s="534" t="s">
        <v>1140</v>
      </c>
      <c r="C19" s="678">
        <v>2</v>
      </c>
      <c r="E19" s="534" t="s">
        <v>1140</v>
      </c>
      <c r="F19" s="606">
        <v>1</v>
      </c>
      <c r="H19" s="649" t="s">
        <v>1141</v>
      </c>
      <c r="I19" s="606">
        <v>5</v>
      </c>
      <c r="K19" s="651" t="s">
        <v>757</v>
      </c>
      <c r="L19" s="679">
        <f>SUM(L8:L18)</f>
        <v>153</v>
      </c>
      <c r="N19" s="649" t="s">
        <v>1142</v>
      </c>
      <c r="O19" s="680">
        <v>1</v>
      </c>
      <c r="Q19" s="649" t="s">
        <v>1142</v>
      </c>
      <c r="R19" s="680">
        <v>1</v>
      </c>
      <c r="T19" s="649" t="s">
        <v>1143</v>
      </c>
      <c r="U19" s="680">
        <v>1</v>
      </c>
      <c r="V19" s="6"/>
      <c r="W19" s="6"/>
      <c r="X19" s="6"/>
      <c r="Y19" s="6"/>
      <c r="Z19" s="6"/>
      <c r="AA19" s="6"/>
      <c r="AB19" s="6"/>
    </row>
    <row r="20" spans="2:29" ht="33.65" customHeight="1" x14ac:dyDescent="0.25">
      <c r="B20" s="533" t="s">
        <v>1144</v>
      </c>
      <c r="C20" s="678">
        <v>13</v>
      </c>
      <c r="E20" s="533" t="s">
        <v>1144</v>
      </c>
      <c r="F20" s="606">
        <v>8</v>
      </c>
      <c r="H20" s="649" t="s">
        <v>1145</v>
      </c>
      <c r="I20" s="606">
        <v>2</v>
      </c>
      <c r="K20" s="1713" t="s">
        <v>1146</v>
      </c>
      <c r="L20" s="1713"/>
      <c r="N20" s="649" t="s">
        <v>1147</v>
      </c>
      <c r="O20" s="680">
        <v>0</v>
      </c>
      <c r="Q20" s="649" t="s">
        <v>1147</v>
      </c>
      <c r="R20" s="680">
        <v>1</v>
      </c>
      <c r="T20" s="649" t="s">
        <v>1138</v>
      </c>
      <c r="U20" s="680">
        <v>1</v>
      </c>
    </row>
    <row r="21" spans="2:29" ht="33.65" customHeight="1" x14ac:dyDescent="0.25">
      <c r="B21" s="534" t="s">
        <v>1148</v>
      </c>
      <c r="C21" s="678">
        <v>1</v>
      </c>
      <c r="E21" s="651" t="s">
        <v>757</v>
      </c>
      <c r="F21" s="679">
        <f>SUM(F8:F20)</f>
        <v>147</v>
      </c>
      <c r="H21" s="651" t="s">
        <v>757</v>
      </c>
      <c r="I21" s="679">
        <f>SUM(I8:I20)</f>
        <v>138</v>
      </c>
      <c r="K21" s="676"/>
      <c r="L21" s="676"/>
      <c r="N21" s="649" t="s">
        <v>1149</v>
      </c>
      <c r="O21" s="680">
        <v>0</v>
      </c>
      <c r="Q21" s="649" t="s">
        <v>1149</v>
      </c>
      <c r="R21" s="680">
        <v>5</v>
      </c>
      <c r="T21" s="649" t="s">
        <v>1149</v>
      </c>
      <c r="U21" s="680">
        <v>2</v>
      </c>
    </row>
    <row r="22" spans="2:29" ht="33.65" customHeight="1" x14ac:dyDescent="0.25">
      <c r="B22" s="534" t="s">
        <v>1150</v>
      </c>
      <c r="C22" s="678">
        <v>0</v>
      </c>
      <c r="K22" s="676"/>
      <c r="L22" s="676"/>
      <c r="N22" s="649" t="s">
        <v>1117</v>
      </c>
      <c r="O22" s="680">
        <v>1</v>
      </c>
      <c r="Q22" s="651" t="s">
        <v>757</v>
      </c>
      <c r="R22" s="681">
        <f>SUM(R8:R21)</f>
        <v>129</v>
      </c>
      <c r="T22" s="651" t="s">
        <v>757</v>
      </c>
      <c r="U22" s="681">
        <f>SUM(U8:U21)</f>
        <v>123</v>
      </c>
    </row>
    <row r="23" spans="2:29" ht="22.5" customHeight="1" x14ac:dyDescent="0.25">
      <c r="B23" s="651" t="s">
        <v>757</v>
      </c>
      <c r="C23" s="605">
        <f>SUM(C8:C22)</f>
        <v>125</v>
      </c>
      <c r="N23" s="649" t="s">
        <v>1143</v>
      </c>
      <c r="O23" s="680">
        <v>1</v>
      </c>
    </row>
    <row r="24" spans="2:29" ht="22.5" customHeight="1" x14ac:dyDescent="0.25">
      <c r="B24" s="1029"/>
      <c r="C24" s="1056"/>
      <c r="N24" s="651" t="s">
        <v>757</v>
      </c>
      <c r="O24" s="681">
        <f>SUM(O8:O23)</f>
        <v>158</v>
      </c>
    </row>
    <row r="25" spans="2:29" s="1293" customFormat="1" ht="22.5" customHeight="1" x14ac:dyDescent="0.25">
      <c r="B25" s="1366"/>
      <c r="C25" s="1365"/>
    </row>
    <row r="26" spans="2:29" s="58" customFormat="1" ht="21" customHeight="1" x14ac:dyDescent="0.35">
      <c r="B26" s="1841" t="s">
        <v>1538</v>
      </c>
      <c r="C26" s="1841"/>
      <c r="E26" s="1841" t="s">
        <v>1151</v>
      </c>
      <c r="F26" s="1841"/>
      <c r="H26" s="1841" t="s">
        <v>1152</v>
      </c>
      <c r="I26" s="1841"/>
      <c r="K26" s="1842" t="s">
        <v>1153</v>
      </c>
      <c r="L26" s="1842"/>
      <c r="M26" s="65"/>
      <c r="O26" s="65"/>
      <c r="P26" s="65"/>
    </row>
    <row r="27" spans="2:29" s="58" customFormat="1" ht="45" customHeight="1" x14ac:dyDescent="0.35">
      <c r="B27" s="669" t="s">
        <v>1154</v>
      </c>
      <c r="C27" s="670" t="s">
        <v>1108</v>
      </c>
      <c r="E27" s="669" t="s">
        <v>1154</v>
      </c>
      <c r="F27" s="670" t="s">
        <v>1108</v>
      </c>
      <c r="G27" s="500"/>
      <c r="H27" s="669" t="s">
        <v>1154</v>
      </c>
      <c r="I27" s="670" t="s">
        <v>1108</v>
      </c>
      <c r="K27" s="673" t="s">
        <v>1154</v>
      </c>
      <c r="L27" s="674" t="s">
        <v>1108</v>
      </c>
    </row>
    <row r="28" spans="2:29" ht="15" x14ac:dyDescent="0.3">
      <c r="B28" s="671" t="s">
        <v>1155</v>
      </c>
      <c r="C28" s="672">
        <v>3</v>
      </c>
      <c r="E28" s="671" t="s">
        <v>1155</v>
      </c>
      <c r="F28" s="672">
        <v>5</v>
      </c>
      <c r="H28" s="671" t="s">
        <v>1155</v>
      </c>
      <c r="I28" s="672">
        <v>14</v>
      </c>
      <c r="K28" s="650" t="s">
        <v>1155</v>
      </c>
      <c r="L28" s="675">
        <v>4</v>
      </c>
    </row>
    <row r="29" spans="2:29" ht="15" x14ac:dyDescent="0.3">
      <c r="B29" s="671" t="s">
        <v>1156</v>
      </c>
      <c r="C29" s="672">
        <v>6</v>
      </c>
      <c r="E29" s="671" t="s">
        <v>1156</v>
      </c>
      <c r="F29" s="672">
        <v>15</v>
      </c>
      <c r="H29" s="671" t="s">
        <v>1156</v>
      </c>
      <c r="I29" s="672">
        <v>7</v>
      </c>
      <c r="K29" s="650" t="s">
        <v>1156</v>
      </c>
      <c r="L29" s="675">
        <v>3</v>
      </c>
    </row>
    <row r="30" spans="2:29" ht="15" x14ac:dyDescent="0.3">
      <c r="B30" s="671" t="s">
        <v>1157</v>
      </c>
      <c r="C30" s="672">
        <v>18</v>
      </c>
      <c r="E30" s="671" t="s">
        <v>1157</v>
      </c>
      <c r="F30" s="672">
        <v>26</v>
      </c>
      <c r="H30" s="671" t="s">
        <v>1157</v>
      </c>
      <c r="I30" s="672">
        <v>39</v>
      </c>
      <c r="K30" s="650" t="s">
        <v>1158</v>
      </c>
      <c r="L30" s="675">
        <v>21</v>
      </c>
    </row>
    <row r="31" spans="2:29" ht="15" x14ac:dyDescent="0.3">
      <c r="B31" s="671" t="s">
        <v>1159</v>
      </c>
      <c r="C31" s="672">
        <v>27</v>
      </c>
      <c r="E31" s="671" t="s">
        <v>1159</v>
      </c>
      <c r="F31" s="672">
        <v>65</v>
      </c>
      <c r="H31" s="671" t="s">
        <v>1159</v>
      </c>
      <c r="I31" s="672">
        <v>46</v>
      </c>
      <c r="K31" s="650" t="s">
        <v>1160</v>
      </c>
      <c r="L31" s="675">
        <v>34</v>
      </c>
    </row>
    <row r="32" spans="2:29" ht="15" x14ac:dyDescent="0.3">
      <c r="B32" s="671" t="s">
        <v>1161</v>
      </c>
      <c r="C32" s="672">
        <v>11</v>
      </c>
      <c r="E32" s="671" t="s">
        <v>1161</v>
      </c>
      <c r="F32" s="672">
        <v>17</v>
      </c>
      <c r="H32" s="671" t="s">
        <v>1161</v>
      </c>
      <c r="I32" s="672">
        <v>11</v>
      </c>
      <c r="J32" s="6"/>
      <c r="K32" s="650" t="s">
        <v>1161</v>
      </c>
      <c r="L32" s="675">
        <v>28</v>
      </c>
    </row>
    <row r="33" spans="2:12" ht="15" x14ac:dyDescent="0.3">
      <c r="B33" s="671" t="s">
        <v>1162</v>
      </c>
      <c r="C33" s="672">
        <v>10</v>
      </c>
      <c r="E33" s="671" t="s">
        <v>1162</v>
      </c>
      <c r="F33" s="672">
        <v>14</v>
      </c>
      <c r="H33" s="671" t="s">
        <v>1162</v>
      </c>
      <c r="I33" s="672">
        <v>4</v>
      </c>
      <c r="K33" s="650" t="s">
        <v>1163</v>
      </c>
      <c r="L33" s="675">
        <v>16</v>
      </c>
    </row>
    <row r="34" spans="2:12" ht="15" x14ac:dyDescent="0.3">
      <c r="B34" s="671" t="s">
        <v>1164</v>
      </c>
      <c r="C34" s="672">
        <v>14</v>
      </c>
      <c r="E34" s="671" t="s">
        <v>1164</v>
      </c>
      <c r="F34" s="672">
        <v>13</v>
      </c>
      <c r="H34" s="671" t="s">
        <v>1164</v>
      </c>
      <c r="I34" s="672">
        <v>8</v>
      </c>
      <c r="K34" s="650" t="s">
        <v>1165</v>
      </c>
      <c r="L34" s="675">
        <v>21</v>
      </c>
    </row>
    <row r="35" spans="2:12" ht="15" x14ac:dyDescent="0.3">
      <c r="B35" s="671" t="s">
        <v>1166</v>
      </c>
      <c r="C35" s="672">
        <v>13</v>
      </c>
      <c r="E35" s="671" t="s">
        <v>1166</v>
      </c>
      <c r="F35" s="672">
        <v>14</v>
      </c>
      <c r="H35" s="671" t="s">
        <v>1166</v>
      </c>
      <c r="I35" s="672">
        <v>8</v>
      </c>
      <c r="K35" s="650" t="s">
        <v>1167</v>
      </c>
      <c r="L35" s="675">
        <v>6</v>
      </c>
    </row>
    <row r="36" spans="2:12" ht="15" x14ac:dyDescent="0.3">
      <c r="B36" s="671" t="s">
        <v>1132</v>
      </c>
      <c r="C36" s="672">
        <v>10</v>
      </c>
      <c r="E36" s="671" t="s">
        <v>1132</v>
      </c>
      <c r="F36" s="672">
        <v>16</v>
      </c>
      <c r="H36" s="671" t="s">
        <v>1132</v>
      </c>
      <c r="I36" s="672">
        <v>5</v>
      </c>
    </row>
    <row r="37" spans="2:12" ht="15" x14ac:dyDescent="0.3">
      <c r="B37" s="671" t="s">
        <v>1168</v>
      </c>
      <c r="C37" s="672">
        <v>56</v>
      </c>
      <c r="E37" s="671" t="s">
        <v>1169</v>
      </c>
      <c r="F37" s="672">
        <v>62</v>
      </c>
      <c r="H37" s="671" t="s">
        <v>1169</v>
      </c>
      <c r="I37" s="672">
        <v>65</v>
      </c>
    </row>
    <row r="38" spans="2:12" ht="33.5" customHeight="1" x14ac:dyDescent="0.25">
      <c r="B38" s="1844" t="s">
        <v>1170</v>
      </c>
      <c r="C38" s="1844"/>
    </row>
    <row r="39" spans="2:12" ht="12" customHeight="1" x14ac:dyDescent="0.25"/>
    <row r="63" spans="2:3" x14ac:dyDescent="0.25">
      <c r="B63" s="1293"/>
      <c r="C63" s="1293"/>
    </row>
    <row r="64" spans="2:3" x14ac:dyDescent="0.25">
      <c r="B64" s="1293"/>
      <c r="C64" s="1293"/>
    </row>
    <row r="65" spans="2:3" x14ac:dyDescent="0.25">
      <c r="B65" s="1293"/>
      <c r="C65" s="1293"/>
    </row>
    <row r="66" spans="2:3" x14ac:dyDescent="0.25">
      <c r="B66" s="1293"/>
      <c r="C66" s="1293"/>
    </row>
    <row r="67" spans="2:3" x14ac:dyDescent="0.25">
      <c r="B67" s="1293"/>
      <c r="C67" s="1293"/>
    </row>
    <row r="68" spans="2:3" x14ac:dyDescent="0.25">
      <c r="B68" s="1293"/>
      <c r="C68" s="1293"/>
    </row>
    <row r="69" spans="2:3" x14ac:dyDescent="0.25">
      <c r="B69" s="1293"/>
      <c r="C69" s="1293"/>
    </row>
  </sheetData>
  <sheetProtection algorithmName="SHA-512" hashValue="bUWP4Df9UkF3pzvaIdaDYR17ijtYxZ2TK0IHkvema4TBTR2o0snEKKrJQewwADjGeodaLBte/XUHr0SKrANOVw==" saltValue="FaygVVVuUYX9hhgwUT2bZQ==" spinCount="100000" sheet="1" objects="1" scenarios="1"/>
  <mergeCells count="15">
    <mergeCell ref="B38:C38"/>
    <mergeCell ref="B2:G2"/>
    <mergeCell ref="H6:I6"/>
    <mergeCell ref="H26:I26"/>
    <mergeCell ref="T6:U6"/>
    <mergeCell ref="K6:L6"/>
    <mergeCell ref="K26:L26"/>
    <mergeCell ref="N6:O6"/>
    <mergeCell ref="Q6:R6"/>
    <mergeCell ref="K20:L20"/>
    <mergeCell ref="B6:C6"/>
    <mergeCell ref="B26:C26"/>
    <mergeCell ref="E6:F6"/>
    <mergeCell ref="E26:F26"/>
    <mergeCell ref="B4:J4"/>
  </mergeCells>
  <phoneticPr fontId="3" type="noConversion"/>
  <pageMargins left="0.70866141732283472" right="0.70866141732283472" top="0.74803149606299213" bottom="0.74803149606299213" header="0.31496062992125984" footer="0.31496062992125984"/>
  <pageSetup paperSize="9" scale="35" fitToWidth="2" orientation="landscape" r:id="rId1"/>
  <colBreaks count="1" manualBreakCount="1">
    <brk id="10" min="1" max="38" man="1"/>
  </colBreak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49D2-EC21-473D-AC21-CEE8A0E76106}">
  <sheetPr codeName="Sheet19">
    <tabColor theme="3"/>
  </sheetPr>
  <dimension ref="A1:AQ264"/>
  <sheetViews>
    <sheetView zoomScale="90" zoomScaleNormal="90" zoomScaleSheetLayoutView="20" workbookViewId="0"/>
  </sheetViews>
  <sheetFormatPr defaultColWidth="9.453125" defaultRowHeight="14.25" customHeight="1" x14ac:dyDescent="0.25"/>
  <cols>
    <col min="1" max="1" width="2.6328125" style="2" customWidth="1"/>
    <col min="2" max="2" width="106.453125" style="9" customWidth="1"/>
    <col min="3" max="3" width="18.7265625" style="9" customWidth="1"/>
    <col min="4" max="4" width="15.54296875" style="9" customWidth="1"/>
    <col min="5" max="5" width="14.54296875" style="9" customWidth="1"/>
    <col min="6" max="6" width="18.453125" style="9" customWidth="1"/>
    <col min="7" max="7" width="19.54296875" style="9" customWidth="1"/>
    <col min="8" max="9" width="14.54296875" style="9" customWidth="1"/>
    <col min="10" max="10" width="14.453125" style="9" customWidth="1"/>
    <col min="11" max="12" width="14.54296875" style="9" customWidth="1"/>
    <col min="13" max="13" width="14.453125" style="9" customWidth="1"/>
    <col min="14" max="14" width="13.54296875" style="9" customWidth="1"/>
    <col min="15" max="15" width="16.54296875" style="9" customWidth="1"/>
    <col min="16" max="16" width="14.54296875" style="9" bestFit="1" customWidth="1"/>
    <col min="17" max="17" width="13.54296875" style="2" customWidth="1"/>
    <col min="18" max="18" width="11.54296875" style="2" bestFit="1" customWidth="1"/>
    <col min="19" max="19" width="14.54296875" style="2" customWidth="1"/>
    <col min="20" max="20" width="13.54296875" style="2" customWidth="1"/>
    <col min="21" max="21" width="13.453125" style="2" customWidth="1"/>
    <col min="22" max="22" width="16.453125" style="2" bestFit="1" customWidth="1"/>
    <col min="23" max="23" width="22.453125" style="2" customWidth="1"/>
    <col min="24" max="24" width="17.453125" style="2" customWidth="1"/>
    <col min="25" max="27" width="12.54296875" style="2" customWidth="1"/>
    <col min="28" max="28" width="22.54296875" style="2" customWidth="1"/>
    <col min="29" max="29" width="20.54296875" style="2" customWidth="1"/>
    <col min="30" max="16383" width="9.453125" style="2"/>
    <col min="16384" max="16384" width="9.453125" style="2" bestFit="1" customWidth="1"/>
  </cols>
  <sheetData>
    <row r="1" spans="1:31" ht="15" customHeight="1" x14ac:dyDescent="0.6">
      <c r="A1" s="60"/>
    </row>
    <row r="2" spans="1:31" ht="34" x14ac:dyDescent="0.6">
      <c r="A2" s="60"/>
      <c r="B2" s="1047" t="s">
        <v>26</v>
      </c>
      <c r="C2" s="936"/>
      <c r="D2" s="936"/>
      <c r="E2" s="936"/>
      <c r="F2" s="936"/>
      <c r="G2" s="936"/>
      <c r="H2" s="936"/>
      <c r="I2" s="936"/>
      <c r="J2" s="936"/>
      <c r="K2" s="936"/>
      <c r="L2" s="936"/>
      <c r="M2" s="936"/>
      <c r="N2" s="936"/>
      <c r="O2" s="936"/>
      <c r="P2" s="936"/>
      <c r="Q2" s="936"/>
      <c r="R2" s="936"/>
      <c r="S2" s="936"/>
    </row>
    <row r="3" spans="1:31" ht="14.25" customHeight="1" x14ac:dyDescent="0.3">
      <c r="B3" s="1410"/>
      <c r="C3" s="1410"/>
      <c r="D3" s="1410"/>
      <c r="E3" s="1410"/>
      <c r="F3" s="1410"/>
      <c r="G3" s="1410"/>
      <c r="H3" s="1410"/>
      <c r="I3" s="1410"/>
      <c r="J3" s="1410"/>
      <c r="K3" s="1410"/>
      <c r="L3" s="1410"/>
      <c r="M3" s="1410"/>
    </row>
    <row r="4" spans="1:31" ht="14.25" customHeight="1" x14ac:dyDescent="0.3">
      <c r="B4" s="1845" t="s">
        <v>1557</v>
      </c>
      <c r="C4" s="1846"/>
      <c r="D4" s="1846"/>
      <c r="E4" s="1846"/>
      <c r="F4" s="1846"/>
      <c r="G4" s="1846"/>
      <c r="H4" s="1846"/>
      <c r="I4" s="1846"/>
      <c r="J4" s="1846"/>
      <c r="K4" s="1846"/>
      <c r="L4" s="1846"/>
      <c r="M4" s="1846"/>
    </row>
    <row r="5" spans="1:31" ht="14" x14ac:dyDescent="0.3">
      <c r="B5" s="1845" t="s">
        <v>1556</v>
      </c>
      <c r="C5" s="1846"/>
      <c r="D5" s="1846"/>
      <c r="E5" s="1846"/>
      <c r="F5" s="1846"/>
      <c r="G5" s="1846"/>
      <c r="H5" s="1846"/>
      <c r="I5" s="1846"/>
      <c r="J5" s="1846"/>
      <c r="K5" s="1846"/>
      <c r="L5" s="1846"/>
      <c r="M5" s="1846"/>
      <c r="N5" s="937"/>
      <c r="P5" s="937"/>
    </row>
    <row r="6" spans="1:31" ht="13.5" x14ac:dyDescent="0.25">
      <c r="B6" s="938"/>
      <c r="C6" s="938"/>
      <c r="D6" s="938"/>
      <c r="E6" s="938"/>
      <c r="F6" s="1069"/>
      <c r="G6" s="938"/>
      <c r="H6" s="938"/>
      <c r="I6" s="938"/>
      <c r="J6" s="938"/>
      <c r="K6" s="938"/>
      <c r="L6" s="938"/>
      <c r="M6" s="938"/>
      <c r="N6" s="938"/>
      <c r="P6" s="938"/>
    </row>
    <row r="7" spans="1:31" ht="17.5" x14ac:dyDescent="0.25">
      <c r="B7" s="1531" t="s">
        <v>896</v>
      </c>
      <c r="C7" s="1847" t="s">
        <v>459</v>
      </c>
      <c r="D7" s="1847"/>
      <c r="E7" s="1847"/>
      <c r="F7" s="1456" t="s">
        <v>460</v>
      </c>
      <c r="G7" s="1456" t="s">
        <v>461</v>
      </c>
      <c r="H7" s="1456" t="s">
        <v>462</v>
      </c>
      <c r="I7" s="1456" t="s">
        <v>463</v>
      </c>
      <c r="J7" s="1456" t="s">
        <v>464</v>
      </c>
      <c r="O7" s="61"/>
      <c r="Q7" s="9"/>
    </row>
    <row r="8" spans="1:31" ht="15" x14ac:dyDescent="0.25">
      <c r="B8" s="1584"/>
      <c r="C8" s="1458" t="s">
        <v>897</v>
      </c>
      <c r="D8" s="1458" t="s">
        <v>898</v>
      </c>
      <c r="E8" s="1585"/>
      <c r="F8" s="1586"/>
      <c r="G8" s="1586"/>
      <c r="H8" s="1587"/>
      <c r="I8" s="1587"/>
      <c r="J8" s="1587"/>
    </row>
    <row r="9" spans="1:31" ht="16.5" x14ac:dyDescent="0.25">
      <c r="B9" s="1588" t="s">
        <v>899</v>
      </c>
      <c r="C9" s="1585">
        <f>C10+C13+C14</f>
        <v>9008</v>
      </c>
      <c r="D9" s="1585">
        <f t="shared" ref="D9" si="0">D10+D13+D14</f>
        <v>483</v>
      </c>
      <c r="E9" s="1585">
        <f>E10+E13+E14</f>
        <v>11039</v>
      </c>
      <c r="F9" s="1586">
        <f>F10+F13+F14</f>
        <v>12142</v>
      </c>
      <c r="G9" s="1586">
        <f t="shared" ref="G9:J9" si="1">G10+G13+G14</f>
        <v>13863</v>
      </c>
      <c r="H9" s="1587">
        <f t="shared" si="1"/>
        <v>14472</v>
      </c>
      <c r="I9" s="1587">
        <f t="shared" si="1"/>
        <v>14345</v>
      </c>
      <c r="J9" s="1587">
        <f t="shared" si="1"/>
        <v>14583</v>
      </c>
    </row>
    <row r="10" spans="1:31" ht="21" customHeight="1" x14ac:dyDescent="0.25">
      <c r="B10" s="1589" t="s">
        <v>900</v>
      </c>
      <c r="C10" s="1590">
        <v>9008</v>
      </c>
      <c r="D10" s="1590">
        <v>483</v>
      </c>
      <c r="E10" s="1590">
        <v>9491</v>
      </c>
      <c r="F10" s="1591">
        <v>10156</v>
      </c>
      <c r="G10" s="1591">
        <v>11685</v>
      </c>
      <c r="H10" s="1592">
        <f>S39</f>
        <v>12638</v>
      </c>
      <c r="I10" s="1592">
        <f>W39</f>
        <v>13430</v>
      </c>
      <c r="J10" s="1592">
        <f>AA39</f>
        <v>13641</v>
      </c>
    </row>
    <row r="11" spans="1:31" ht="15" x14ac:dyDescent="0.3">
      <c r="B11" s="1593" t="s">
        <v>901</v>
      </c>
      <c r="C11" s="1590">
        <v>8765</v>
      </c>
      <c r="D11" s="1590">
        <v>476</v>
      </c>
      <c r="E11" s="1590">
        <v>9241</v>
      </c>
      <c r="F11" s="1591">
        <v>9884</v>
      </c>
      <c r="G11" s="1591">
        <v>11390</v>
      </c>
      <c r="H11" s="1592">
        <v>12315</v>
      </c>
      <c r="I11" s="1388"/>
      <c r="J11" s="1388"/>
    </row>
    <row r="12" spans="1:31" ht="15" x14ac:dyDescent="0.3">
      <c r="B12" s="1593" t="s">
        <v>902</v>
      </c>
      <c r="C12" s="1590">
        <v>243</v>
      </c>
      <c r="D12" s="1590">
        <v>7</v>
      </c>
      <c r="E12" s="1590">
        <v>250</v>
      </c>
      <c r="F12" s="1591">
        <v>272</v>
      </c>
      <c r="G12" s="1591">
        <v>295</v>
      </c>
      <c r="H12" s="1592">
        <v>323</v>
      </c>
      <c r="I12" s="1388"/>
      <c r="J12" s="1388"/>
    </row>
    <row r="13" spans="1:31" ht="18" customHeight="1" x14ac:dyDescent="0.25">
      <c r="B13" s="1589" t="s">
        <v>857</v>
      </c>
      <c r="C13" s="1388"/>
      <c r="D13" s="1388"/>
      <c r="E13" s="1590">
        <v>321</v>
      </c>
      <c r="F13" s="1594">
        <v>521</v>
      </c>
      <c r="G13" s="1594">
        <v>905</v>
      </c>
      <c r="H13" s="1595">
        <v>949</v>
      </c>
      <c r="I13" s="1388"/>
      <c r="J13" s="1388"/>
    </row>
    <row r="14" spans="1:31" ht="18.649999999999999" customHeight="1" x14ac:dyDescent="0.25">
      <c r="B14" s="1589" t="s">
        <v>903</v>
      </c>
      <c r="C14" s="1388"/>
      <c r="D14" s="1388"/>
      <c r="E14" s="1590">
        <v>1227</v>
      </c>
      <c r="F14" s="1594">
        <v>1465</v>
      </c>
      <c r="G14" s="1594">
        <v>1273</v>
      </c>
      <c r="H14" s="1596">
        <v>885</v>
      </c>
      <c r="I14" s="1596">
        <v>915</v>
      </c>
      <c r="J14" s="1596">
        <v>942</v>
      </c>
    </row>
    <row r="15" spans="1:31" ht="15" x14ac:dyDescent="0.25">
      <c r="B15" s="1012"/>
      <c r="C15" s="2"/>
      <c r="D15" s="2"/>
      <c r="E15" s="2"/>
      <c r="F15" s="2"/>
      <c r="G15" s="2"/>
      <c r="H15" s="2"/>
      <c r="I15" s="2"/>
    </row>
    <row r="16" spans="1:31" ht="27" customHeight="1" x14ac:dyDescent="0.25">
      <c r="B16" s="1568" t="s">
        <v>904</v>
      </c>
      <c r="C16" s="1847" t="s">
        <v>459</v>
      </c>
      <c r="D16" s="1847"/>
      <c r="E16" s="1847"/>
      <c r="F16" s="1847"/>
      <c r="G16" s="1847"/>
      <c r="H16" s="1848" t="s">
        <v>460</v>
      </c>
      <c r="I16" s="1848"/>
      <c r="J16" s="1848"/>
      <c r="K16" s="1848"/>
      <c r="L16" s="1848"/>
      <c r="M16" s="1848" t="s">
        <v>461</v>
      </c>
      <c r="N16" s="1848"/>
      <c r="O16" s="1848"/>
      <c r="P16" s="1848"/>
      <c r="Q16" s="1848" t="s">
        <v>462</v>
      </c>
      <c r="R16" s="1848"/>
      <c r="S16" s="1848"/>
      <c r="T16" s="1848"/>
      <c r="U16" s="1848" t="s">
        <v>463</v>
      </c>
      <c r="V16" s="1848"/>
      <c r="W16" s="1848"/>
      <c r="X16" s="1848"/>
      <c r="Y16" s="1848" t="s">
        <v>464</v>
      </c>
      <c r="Z16" s="1848"/>
      <c r="AA16" s="1848"/>
      <c r="AB16" s="1848"/>
      <c r="AC16" s="1854"/>
      <c r="AD16" s="61"/>
      <c r="AE16" s="61"/>
    </row>
    <row r="17" spans="1:42" ht="51" customHeight="1" x14ac:dyDescent="0.25">
      <c r="A17" s="9"/>
      <c r="B17" s="1457" t="s">
        <v>905</v>
      </c>
      <c r="C17" s="1458" t="s">
        <v>906</v>
      </c>
      <c r="D17" s="1458" t="s">
        <v>907</v>
      </c>
      <c r="E17" s="1458" t="s">
        <v>908</v>
      </c>
      <c r="F17" s="1458" t="s">
        <v>757</v>
      </c>
      <c r="G17" s="1458" t="s">
        <v>909</v>
      </c>
      <c r="H17" s="1458" t="s">
        <v>906</v>
      </c>
      <c r="I17" s="1458" t="s">
        <v>907</v>
      </c>
      <c r="J17" s="1458" t="s">
        <v>908</v>
      </c>
      <c r="K17" s="1458" t="s">
        <v>757</v>
      </c>
      <c r="L17" s="1458" t="s">
        <v>909</v>
      </c>
      <c r="M17" s="1458" t="s">
        <v>906</v>
      </c>
      <c r="N17" s="1458" t="s">
        <v>907</v>
      </c>
      <c r="O17" s="1458" t="s">
        <v>757</v>
      </c>
      <c r="P17" s="1458" t="s">
        <v>909</v>
      </c>
      <c r="Q17" s="1458" t="s">
        <v>906</v>
      </c>
      <c r="R17" s="1458" t="s">
        <v>907</v>
      </c>
      <c r="S17" s="1458" t="s">
        <v>757</v>
      </c>
      <c r="T17" s="1458" t="s">
        <v>909</v>
      </c>
      <c r="U17" s="1458" t="s">
        <v>906</v>
      </c>
      <c r="V17" s="1458" t="s">
        <v>907</v>
      </c>
      <c r="W17" s="1458" t="s">
        <v>757</v>
      </c>
      <c r="X17" s="1458" t="s">
        <v>909</v>
      </c>
      <c r="Y17" s="1458" t="s">
        <v>906</v>
      </c>
      <c r="Z17" s="1458" t="s">
        <v>907</v>
      </c>
      <c r="AA17" s="1458" t="s">
        <v>757</v>
      </c>
      <c r="AB17" s="1458" t="s">
        <v>909</v>
      </c>
      <c r="AC17" s="1854"/>
      <c r="AD17" s="940"/>
      <c r="AE17" s="6"/>
      <c r="AF17" s="6"/>
      <c r="AG17" s="6"/>
      <c r="AH17" s="6"/>
      <c r="AI17" s="6"/>
      <c r="AJ17" s="6"/>
      <c r="AK17" s="6"/>
    </row>
    <row r="18" spans="1:42" ht="15" hidden="1" customHeight="1" x14ac:dyDescent="0.3">
      <c r="A18" s="9"/>
      <c r="B18" s="1597" t="s">
        <v>910</v>
      </c>
      <c r="C18" s="1598"/>
      <c r="D18" s="1598"/>
      <c r="E18" s="1598"/>
      <c r="F18" s="1598"/>
      <c r="G18" s="1458"/>
      <c r="H18" s="1599"/>
      <c r="I18" s="1599"/>
      <c r="J18" s="1599"/>
      <c r="K18" s="1599"/>
      <c r="L18" s="1599"/>
      <c r="M18" s="1599"/>
      <c r="N18" s="1599"/>
      <c r="O18" s="1599"/>
      <c r="P18" s="1599"/>
      <c r="Q18" s="1599"/>
      <c r="R18" s="1599"/>
      <c r="S18" s="1599"/>
      <c r="T18" s="1599"/>
      <c r="U18" s="1599"/>
      <c r="V18" s="1599"/>
      <c r="W18" s="1599"/>
      <c r="X18" s="1599"/>
      <c r="Y18" s="1599"/>
      <c r="Z18" s="1599"/>
      <c r="AA18" s="1599"/>
      <c r="AB18" s="1599"/>
      <c r="AC18" s="91"/>
      <c r="AD18" s="940"/>
      <c r="AE18" s="6"/>
      <c r="AF18" s="6"/>
      <c r="AG18" s="6"/>
      <c r="AH18" s="6"/>
      <c r="AI18" s="6"/>
      <c r="AJ18" s="6"/>
      <c r="AK18" s="6"/>
    </row>
    <row r="19" spans="1:42" ht="15" hidden="1" x14ac:dyDescent="0.3">
      <c r="A19" s="9"/>
      <c r="B19" s="1215" t="s">
        <v>911</v>
      </c>
      <c r="C19" s="1600"/>
      <c r="D19" s="1600"/>
      <c r="E19" s="1600"/>
      <c r="F19" s="1600"/>
      <c r="G19" s="1600"/>
      <c r="H19" s="1601"/>
      <c r="I19" s="1601"/>
      <c r="J19" s="1601"/>
      <c r="K19" s="1855"/>
      <c r="L19" s="1601"/>
      <c r="M19" s="1601"/>
      <c r="N19" s="1601"/>
      <c r="O19" s="1601"/>
      <c r="P19" s="1601"/>
      <c r="Q19" s="1855">
        <v>1116</v>
      </c>
      <c r="R19" s="1855">
        <v>2798</v>
      </c>
      <c r="S19" s="1855">
        <f>SUM(Q19:R19)</f>
        <v>3914</v>
      </c>
      <c r="T19" s="1601"/>
      <c r="U19" s="1855">
        <v>2333</v>
      </c>
      <c r="V19" s="1855">
        <v>4901</v>
      </c>
      <c r="W19" s="1855">
        <f>SUM(U19:V19)</f>
        <v>7234</v>
      </c>
      <c r="X19" s="1601"/>
      <c r="Y19" s="1855">
        <v>2344</v>
      </c>
      <c r="Z19" s="1855">
        <v>5229</v>
      </c>
      <c r="AA19" s="1855">
        <f>Y19+Z19</f>
        <v>7573</v>
      </c>
      <c r="AB19" s="1601"/>
      <c r="AC19" s="1856"/>
      <c r="AD19" s="1857"/>
      <c r="AE19" s="6" t="str">
        <f>B19</f>
        <v xml:space="preserve">UK </v>
      </c>
      <c r="AF19" s="941">
        <f>S19+S26</f>
        <v>4079</v>
      </c>
      <c r="AG19" s="6"/>
      <c r="AH19" s="6"/>
      <c r="AI19" s="6"/>
      <c r="AJ19" s="6"/>
      <c r="AK19" s="6"/>
    </row>
    <row r="20" spans="1:42" ht="15" hidden="1" x14ac:dyDescent="0.3">
      <c r="A20" s="9"/>
      <c r="B20" s="1215" t="s">
        <v>912</v>
      </c>
      <c r="C20" s="1600"/>
      <c r="D20" s="1600"/>
      <c r="E20" s="1600"/>
      <c r="F20" s="1600"/>
      <c r="G20" s="1600"/>
      <c r="H20" s="1601"/>
      <c r="I20" s="1601"/>
      <c r="J20" s="1601"/>
      <c r="K20" s="1855"/>
      <c r="L20" s="1601"/>
      <c r="M20" s="1601"/>
      <c r="N20" s="1601"/>
      <c r="O20" s="1601"/>
      <c r="P20" s="1601"/>
      <c r="Q20" s="1855">
        <v>1088</v>
      </c>
      <c r="R20" s="1855">
        <v>1602</v>
      </c>
      <c r="S20" s="1855">
        <f>SUM(Q20:R20)</f>
        <v>2690</v>
      </c>
      <c r="T20" s="1601"/>
      <c r="U20" s="1855"/>
      <c r="V20" s="1855"/>
      <c r="W20" s="1855"/>
      <c r="X20" s="1601"/>
      <c r="Y20" s="1855"/>
      <c r="Z20" s="1855"/>
      <c r="AA20" s="1855"/>
      <c r="AB20" s="1601"/>
      <c r="AC20" s="1856"/>
      <c r="AD20" s="1857"/>
      <c r="AE20" s="6" t="str">
        <f>B20</f>
        <v>Rest of Europe</v>
      </c>
      <c r="AF20" s="941">
        <f>S20+S27</f>
        <v>2858</v>
      </c>
      <c r="AG20" s="6"/>
      <c r="AH20" s="6"/>
      <c r="AI20" s="6"/>
      <c r="AJ20" s="6"/>
      <c r="AK20" s="6"/>
    </row>
    <row r="21" spans="1:42" ht="15" hidden="1" x14ac:dyDescent="0.3">
      <c r="A21" s="9"/>
      <c r="B21" s="1215" t="s">
        <v>913</v>
      </c>
      <c r="C21" s="1600"/>
      <c r="D21" s="1600"/>
      <c r="E21" s="1600"/>
      <c r="F21" s="1600"/>
      <c r="G21" s="1600"/>
      <c r="H21" s="1601"/>
      <c r="I21" s="1601"/>
      <c r="J21" s="1601"/>
      <c r="K21" s="1601"/>
      <c r="L21" s="1601"/>
      <c r="M21" s="1601"/>
      <c r="N21" s="1601"/>
      <c r="O21" s="1601"/>
      <c r="P21" s="1601"/>
      <c r="Q21" s="1601">
        <v>554</v>
      </c>
      <c r="R21" s="1601">
        <v>1606</v>
      </c>
      <c r="S21" s="1601">
        <f>SUM(Q21:R21)</f>
        <v>2160</v>
      </c>
      <c r="T21" s="1601"/>
      <c r="U21" s="1601">
        <v>685</v>
      </c>
      <c r="V21" s="1601">
        <v>2076</v>
      </c>
      <c r="W21" s="1601">
        <f>SUM(U21:V21)</f>
        <v>2761</v>
      </c>
      <c r="X21" s="1601"/>
      <c r="Y21" s="1601">
        <v>660</v>
      </c>
      <c r="Z21" s="1601">
        <v>2078</v>
      </c>
      <c r="AA21" s="1601">
        <f>Y21+Z21</f>
        <v>2738</v>
      </c>
      <c r="AB21" s="1601"/>
      <c r="AC21" s="93"/>
      <c r="AD21" s="942"/>
      <c r="AE21" s="6" t="str">
        <f>B21</f>
        <v>North America</v>
      </c>
      <c r="AF21" s="941">
        <f>S21+S28</f>
        <v>2186</v>
      </c>
      <c r="AG21" s="6"/>
      <c r="AH21" s="6"/>
      <c r="AI21" s="6"/>
      <c r="AJ21" s="6"/>
      <c r="AK21" s="6"/>
    </row>
    <row r="22" spans="1:42" ht="15" hidden="1" x14ac:dyDescent="0.3">
      <c r="A22" s="9"/>
      <c r="B22" s="1215" t="s">
        <v>914</v>
      </c>
      <c r="C22" s="1600"/>
      <c r="D22" s="1600"/>
      <c r="E22" s="1600"/>
      <c r="F22" s="1600"/>
      <c r="G22" s="1600"/>
      <c r="H22" s="1601"/>
      <c r="I22" s="1601"/>
      <c r="J22" s="1601"/>
      <c r="K22" s="1601"/>
      <c r="L22" s="1601"/>
      <c r="M22" s="1601"/>
      <c r="N22" s="1601"/>
      <c r="O22" s="1601"/>
      <c r="P22" s="1601"/>
      <c r="Q22" s="1601">
        <v>537</v>
      </c>
      <c r="R22" s="1601">
        <v>1902</v>
      </c>
      <c r="S22" s="1601">
        <f>SUM(Q22:R22)</f>
        <v>2439</v>
      </c>
      <c r="T22" s="1601"/>
      <c r="U22" s="1601">
        <v>510</v>
      </c>
      <c r="V22" s="1601">
        <v>1965</v>
      </c>
      <c r="W22" s="1601">
        <f>SUM(U22:V22)</f>
        <v>2475</v>
      </c>
      <c r="X22" s="1601"/>
      <c r="Y22" s="1601">
        <v>441</v>
      </c>
      <c r="Z22" s="1601">
        <v>1913</v>
      </c>
      <c r="AA22" s="1601">
        <f>Y22+Z22</f>
        <v>2354</v>
      </c>
      <c r="AB22" s="1601"/>
      <c r="AC22" s="93"/>
      <c r="AD22" s="942"/>
      <c r="AE22" s="6" t="str">
        <f>B22</f>
        <v>Asia</v>
      </c>
      <c r="AF22" s="941">
        <f>S22+S29</f>
        <v>2459</v>
      </c>
      <c r="AG22" s="6"/>
      <c r="AH22" s="6"/>
      <c r="AI22" s="6"/>
      <c r="AJ22" s="6"/>
      <c r="AK22" s="6"/>
    </row>
    <row r="23" spans="1:42" ht="15" hidden="1" x14ac:dyDescent="0.3">
      <c r="A23" s="9"/>
      <c r="B23" s="1215" t="s">
        <v>915</v>
      </c>
      <c r="C23" s="1600"/>
      <c r="D23" s="1600"/>
      <c r="E23" s="1600"/>
      <c r="F23" s="1600"/>
      <c r="G23" s="1600"/>
      <c r="H23" s="1601"/>
      <c r="I23" s="1601"/>
      <c r="J23" s="1601"/>
      <c r="K23" s="1601"/>
      <c r="L23" s="1601"/>
      <c r="M23" s="1601"/>
      <c r="N23" s="1601"/>
      <c r="O23" s="1601"/>
      <c r="P23" s="1601"/>
      <c r="Q23" s="1601">
        <v>280</v>
      </c>
      <c r="R23" s="1601">
        <v>701</v>
      </c>
      <c r="S23" s="1601">
        <f>SUM(Q23:R23)</f>
        <v>981</v>
      </c>
      <c r="T23" s="1601"/>
      <c r="U23" s="1601">
        <v>200</v>
      </c>
      <c r="V23" s="1601">
        <v>410</v>
      </c>
      <c r="W23" s="1601">
        <f>SUM(U23:V23)</f>
        <v>610</v>
      </c>
      <c r="X23" s="1601"/>
      <c r="Y23" s="1601">
        <v>198</v>
      </c>
      <c r="Z23" s="1601">
        <v>396</v>
      </c>
      <c r="AA23" s="1601">
        <f>Y23+Z23</f>
        <v>594</v>
      </c>
      <c r="AB23" s="1601"/>
      <c r="AC23" s="93"/>
      <c r="AD23" s="942"/>
      <c r="AE23" s="6" t="str">
        <f>B23</f>
        <v>Rest of World</v>
      </c>
      <c r="AF23" s="941">
        <f>S23+S30</f>
        <v>1056</v>
      </c>
      <c r="AG23" s="6"/>
      <c r="AH23" s="6"/>
      <c r="AI23" s="6"/>
      <c r="AJ23" s="6"/>
      <c r="AK23" s="6"/>
    </row>
    <row r="24" spans="1:42" ht="15" hidden="1" x14ac:dyDescent="0.3">
      <c r="A24" s="9"/>
      <c r="B24" s="1602" t="s">
        <v>916</v>
      </c>
      <c r="C24" s="1603"/>
      <c r="D24" s="1603"/>
      <c r="E24" s="1603"/>
      <c r="F24" s="1603"/>
      <c r="G24" s="1603"/>
      <c r="H24" s="1601"/>
      <c r="I24" s="1601"/>
      <c r="J24" s="1601"/>
      <c r="K24" s="1601"/>
      <c r="L24" s="1601"/>
      <c r="M24" s="1601"/>
      <c r="N24" s="1601"/>
      <c r="O24" s="1601"/>
      <c r="P24" s="1601"/>
      <c r="Q24" s="1601">
        <f t="shared" ref="Q24:AA24" si="2">SUM(Q19:Q23)</f>
        <v>3575</v>
      </c>
      <c r="R24" s="1601">
        <f t="shared" si="2"/>
        <v>8609</v>
      </c>
      <c r="S24" s="1601">
        <f t="shared" si="2"/>
        <v>12184</v>
      </c>
      <c r="T24" s="1601"/>
      <c r="U24" s="1601">
        <f t="shared" si="2"/>
        <v>3728</v>
      </c>
      <c r="V24" s="1601">
        <f t="shared" si="2"/>
        <v>9352</v>
      </c>
      <c r="W24" s="1601">
        <f t="shared" si="2"/>
        <v>13080</v>
      </c>
      <c r="X24" s="1601"/>
      <c r="Y24" s="1601">
        <f t="shared" si="2"/>
        <v>3643</v>
      </c>
      <c r="Z24" s="1601">
        <f t="shared" si="2"/>
        <v>9616</v>
      </c>
      <c r="AA24" s="1601">
        <f t="shared" si="2"/>
        <v>13259</v>
      </c>
      <c r="AB24" s="1601"/>
      <c r="AC24" s="94"/>
      <c r="AD24" s="95"/>
      <c r="AE24" s="6"/>
      <c r="AF24" s="941"/>
      <c r="AG24" s="6"/>
      <c r="AH24" s="6"/>
      <c r="AI24" s="6"/>
      <c r="AJ24" s="6"/>
      <c r="AK24" s="6"/>
    </row>
    <row r="25" spans="1:42" ht="15" hidden="1" x14ac:dyDescent="0.25">
      <c r="A25" s="9"/>
      <c r="B25" s="1597" t="s">
        <v>917</v>
      </c>
      <c r="C25" s="1598"/>
      <c r="D25" s="1598"/>
      <c r="E25" s="1598"/>
      <c r="F25" s="1598"/>
      <c r="G25" s="1598"/>
      <c r="H25" s="1604"/>
      <c r="I25" s="1604"/>
      <c r="J25" s="1604"/>
      <c r="K25" s="1604"/>
      <c r="L25" s="1604"/>
      <c r="M25" s="1604"/>
      <c r="N25" s="1604"/>
      <c r="O25" s="1604"/>
      <c r="P25" s="1604"/>
      <c r="Q25" s="1604"/>
      <c r="R25" s="1604"/>
      <c r="S25" s="1604"/>
      <c r="T25" s="1604"/>
      <c r="U25" s="1604"/>
      <c r="V25" s="1604"/>
      <c r="W25" s="1604"/>
      <c r="X25" s="1604"/>
      <c r="Y25" s="1604"/>
      <c r="Z25" s="1604"/>
      <c r="AA25" s="1604"/>
      <c r="AB25" s="1604"/>
      <c r="AC25" s="91"/>
      <c r="AD25" s="940"/>
      <c r="AE25" s="6"/>
      <c r="AF25" s="6"/>
      <c r="AG25" s="6"/>
      <c r="AH25" s="6"/>
      <c r="AI25" s="6"/>
      <c r="AJ25" s="6"/>
      <c r="AK25" s="6"/>
    </row>
    <row r="26" spans="1:42" ht="15.5" hidden="1" x14ac:dyDescent="0.35">
      <c r="A26" s="9"/>
      <c r="B26" s="1215" t="s">
        <v>911</v>
      </c>
      <c r="C26" s="1600"/>
      <c r="D26" s="1600"/>
      <c r="E26" s="1600"/>
      <c r="F26" s="1600"/>
      <c r="G26" s="1600"/>
      <c r="H26" s="1601"/>
      <c r="I26" s="1601"/>
      <c r="J26" s="1601"/>
      <c r="K26" s="1855"/>
      <c r="L26" s="1601"/>
      <c r="M26" s="1601"/>
      <c r="N26" s="1601"/>
      <c r="O26" s="1601"/>
      <c r="P26" s="1601"/>
      <c r="Q26" s="1855">
        <v>64</v>
      </c>
      <c r="R26" s="1855">
        <v>101</v>
      </c>
      <c r="S26" s="1855">
        <f>SUM(Q26:R26)</f>
        <v>165</v>
      </c>
      <c r="T26" s="1601"/>
      <c r="U26" s="1855">
        <v>102</v>
      </c>
      <c r="V26" s="1855">
        <v>104</v>
      </c>
      <c r="W26" s="1855">
        <f>SUM(U26:V26)</f>
        <v>206</v>
      </c>
      <c r="X26" s="1601"/>
      <c r="Y26" s="1855">
        <v>103</v>
      </c>
      <c r="Z26" s="1855">
        <v>154</v>
      </c>
      <c r="AA26" s="1855">
        <f>Y26+Z26</f>
        <v>257</v>
      </c>
      <c r="AB26" s="1601"/>
      <c r="AC26" s="91"/>
      <c r="AD26" s="940"/>
      <c r="AE26" s="943" t="s">
        <v>918</v>
      </c>
      <c r="AF26" s="944">
        <v>0.54900000000000004</v>
      </c>
      <c r="AG26" s="945">
        <v>0.55000000000000004</v>
      </c>
      <c r="AH26" s="6"/>
      <c r="AI26" s="6"/>
      <c r="AJ26" s="6"/>
      <c r="AK26" s="6"/>
    </row>
    <row r="27" spans="1:42" ht="15" hidden="1" x14ac:dyDescent="0.3">
      <c r="A27" s="9"/>
      <c r="B27" s="1215" t="s">
        <v>912</v>
      </c>
      <c r="C27" s="1600"/>
      <c r="D27" s="1600"/>
      <c r="E27" s="1600"/>
      <c r="F27" s="1600"/>
      <c r="G27" s="1600"/>
      <c r="H27" s="1601"/>
      <c r="I27" s="1601"/>
      <c r="J27" s="1601"/>
      <c r="K27" s="1855"/>
      <c r="L27" s="1601"/>
      <c r="M27" s="1601"/>
      <c r="N27" s="1601"/>
      <c r="O27" s="1601"/>
      <c r="P27" s="1601"/>
      <c r="Q27" s="1855">
        <v>77</v>
      </c>
      <c r="R27" s="1855">
        <v>91</v>
      </c>
      <c r="S27" s="1855">
        <f>SUM(Q27:R27)</f>
        <v>168</v>
      </c>
      <c r="T27" s="1601"/>
      <c r="U27" s="1855"/>
      <c r="V27" s="1855"/>
      <c r="W27" s="1855"/>
      <c r="X27" s="1601"/>
      <c r="Y27" s="1855"/>
      <c r="Z27" s="1855"/>
      <c r="AA27" s="1855"/>
      <c r="AB27" s="1601"/>
      <c r="AC27" s="92"/>
      <c r="AD27" s="946"/>
      <c r="AE27" s="6" t="s">
        <v>919</v>
      </c>
      <c r="AF27" s="944">
        <v>8.3000000000000004E-2</v>
      </c>
      <c r="AG27" s="945">
        <v>0.08</v>
      </c>
      <c r="AH27" s="6"/>
      <c r="AI27" s="6"/>
      <c r="AJ27" s="6"/>
      <c r="AK27" s="6"/>
    </row>
    <row r="28" spans="1:42" ht="15" hidden="1" x14ac:dyDescent="0.3">
      <c r="A28" s="9"/>
      <c r="B28" s="1215" t="s">
        <v>913</v>
      </c>
      <c r="C28" s="1600"/>
      <c r="D28" s="1600"/>
      <c r="E28" s="1600"/>
      <c r="F28" s="1600"/>
      <c r="G28" s="1600"/>
      <c r="H28" s="1601"/>
      <c r="I28" s="1601"/>
      <c r="J28" s="1601"/>
      <c r="K28" s="1601"/>
      <c r="L28" s="1601"/>
      <c r="M28" s="1601"/>
      <c r="N28" s="1601"/>
      <c r="O28" s="1601"/>
      <c r="P28" s="1601"/>
      <c r="Q28" s="1601">
        <v>13</v>
      </c>
      <c r="R28" s="1601">
        <v>13</v>
      </c>
      <c r="S28" s="1601">
        <f>SUM(Q28:R28)</f>
        <v>26</v>
      </c>
      <c r="T28" s="1601"/>
      <c r="U28" s="1601">
        <v>30</v>
      </c>
      <c r="V28" s="1601">
        <v>44</v>
      </c>
      <c r="W28" s="1601">
        <f>SUM(U28:V28)</f>
        <v>74</v>
      </c>
      <c r="X28" s="1601"/>
      <c r="Y28" s="1601">
        <v>4</v>
      </c>
      <c r="Z28" s="1601">
        <v>51</v>
      </c>
      <c r="AA28" s="1601">
        <f>Y28+Z28</f>
        <v>55</v>
      </c>
      <c r="AB28" s="1601"/>
      <c r="AC28" s="92"/>
      <c r="AD28" s="946"/>
      <c r="AE28" s="6" t="s">
        <v>920</v>
      </c>
      <c r="AF28" s="944">
        <v>0.111</v>
      </c>
      <c r="AG28" s="945">
        <v>0.11</v>
      </c>
      <c r="AH28" s="6"/>
      <c r="AI28" s="6"/>
      <c r="AJ28" s="6"/>
      <c r="AK28" s="6"/>
    </row>
    <row r="29" spans="1:42" s="947" customFormat="1" ht="15" hidden="1" x14ac:dyDescent="0.3">
      <c r="A29" s="9"/>
      <c r="B29" s="1215" t="s">
        <v>914</v>
      </c>
      <c r="C29" s="1600"/>
      <c r="D29" s="1600"/>
      <c r="E29" s="1600"/>
      <c r="F29" s="1600"/>
      <c r="G29" s="1600"/>
      <c r="H29" s="1601"/>
      <c r="I29" s="1601"/>
      <c r="J29" s="1601"/>
      <c r="K29" s="1601"/>
      <c r="L29" s="1601"/>
      <c r="M29" s="1601"/>
      <c r="N29" s="1601"/>
      <c r="O29" s="1601"/>
      <c r="P29" s="1601"/>
      <c r="Q29" s="1601">
        <v>10</v>
      </c>
      <c r="R29" s="1601">
        <v>10</v>
      </c>
      <c r="S29" s="1601">
        <f>SUM(Q29:R29)</f>
        <v>20</v>
      </c>
      <c r="T29" s="1601"/>
      <c r="U29" s="1601">
        <v>10</v>
      </c>
      <c r="V29" s="1601">
        <v>12</v>
      </c>
      <c r="W29" s="1601">
        <f>SUM(U29:V29)</f>
        <v>22</v>
      </c>
      <c r="X29" s="1601"/>
      <c r="Y29" s="1601">
        <v>14</v>
      </c>
      <c r="Z29" s="1601">
        <v>13</v>
      </c>
      <c r="AA29" s="1601">
        <f>Y29+Z29</f>
        <v>27</v>
      </c>
      <c r="AB29" s="1601"/>
      <c r="AC29" s="92"/>
      <c r="AD29" s="946"/>
      <c r="AE29" s="6" t="s">
        <v>913</v>
      </c>
      <c r="AF29" s="944">
        <v>0.17299999999999999</v>
      </c>
      <c r="AG29" s="945">
        <v>0.17</v>
      </c>
      <c r="AH29" s="6"/>
      <c r="AI29" s="6"/>
      <c r="AJ29" s="6"/>
      <c r="AK29" s="6"/>
      <c r="AL29" s="2"/>
      <c r="AM29" s="2"/>
      <c r="AN29" s="2"/>
      <c r="AO29" s="2"/>
      <c r="AP29" s="2"/>
    </row>
    <row r="30" spans="1:42" ht="15" hidden="1" x14ac:dyDescent="0.3">
      <c r="A30" s="9"/>
      <c r="B30" s="1215" t="s">
        <v>915</v>
      </c>
      <c r="C30" s="1600"/>
      <c r="D30" s="1600"/>
      <c r="E30" s="1600"/>
      <c r="F30" s="1600"/>
      <c r="G30" s="1600"/>
      <c r="H30" s="1601"/>
      <c r="I30" s="1601"/>
      <c r="J30" s="1601"/>
      <c r="K30" s="1601"/>
      <c r="L30" s="1601"/>
      <c r="M30" s="1601"/>
      <c r="N30" s="1601"/>
      <c r="O30" s="1601"/>
      <c r="P30" s="1601"/>
      <c r="Q30" s="1601">
        <v>34</v>
      </c>
      <c r="R30" s="1601">
        <v>41</v>
      </c>
      <c r="S30" s="1601">
        <f>SUM(Q30:R30)</f>
        <v>75</v>
      </c>
      <c r="T30" s="1601"/>
      <c r="U30" s="1601">
        <v>28</v>
      </c>
      <c r="V30" s="1601">
        <v>20</v>
      </c>
      <c r="W30" s="1601">
        <f>SUM(U30:V30)</f>
        <v>48</v>
      </c>
      <c r="X30" s="1601"/>
      <c r="Y30" s="1601">
        <v>19</v>
      </c>
      <c r="Z30" s="1601">
        <v>24</v>
      </c>
      <c r="AA30" s="1601">
        <f>Y30+Z30</f>
        <v>43</v>
      </c>
      <c r="AB30" s="1601"/>
      <c r="AC30" s="92"/>
      <c r="AD30" s="946"/>
      <c r="AE30" s="6" t="s">
        <v>915</v>
      </c>
      <c r="AF30" s="944">
        <v>8.4000000000000005E-2</v>
      </c>
      <c r="AG30" s="945">
        <v>0.09</v>
      </c>
      <c r="AH30" s="6"/>
      <c r="AI30" s="6"/>
      <c r="AJ30" s="6"/>
      <c r="AK30" s="6"/>
    </row>
    <row r="31" spans="1:42" ht="12.65" hidden="1" customHeight="1" x14ac:dyDescent="0.3">
      <c r="A31" s="1052" t="s">
        <v>921</v>
      </c>
      <c r="B31" s="1605" t="s">
        <v>916</v>
      </c>
      <c r="C31" s="1606"/>
      <c r="D31" s="1606"/>
      <c r="E31" s="1603"/>
      <c r="F31" s="1603"/>
      <c r="G31" s="1603"/>
      <c r="H31" s="1601"/>
      <c r="I31" s="1601"/>
      <c r="J31" s="1601"/>
      <c r="K31" s="1601"/>
      <c r="L31" s="1601"/>
      <c r="M31" s="1601"/>
      <c r="N31" s="1601"/>
      <c r="O31" s="1601"/>
      <c r="P31" s="1601"/>
      <c r="Q31" s="1601">
        <f t="shared" ref="Q31:Z31" si="3">SUM(Q26:Q30)</f>
        <v>198</v>
      </c>
      <c r="R31" s="1601">
        <f t="shared" si="3"/>
        <v>256</v>
      </c>
      <c r="S31" s="1601">
        <f t="shared" si="3"/>
        <v>454</v>
      </c>
      <c r="T31" s="1607">
        <f>Q31/S31</f>
        <v>0.43612334801762115</v>
      </c>
      <c r="U31" s="1601">
        <f t="shared" si="3"/>
        <v>170</v>
      </c>
      <c r="V31" s="1601">
        <f t="shared" si="3"/>
        <v>180</v>
      </c>
      <c r="W31" s="1601">
        <f t="shared" si="3"/>
        <v>350</v>
      </c>
      <c r="X31" s="1607">
        <f>U31/W31</f>
        <v>0.48571428571428571</v>
      </c>
      <c r="Y31" s="1601">
        <f t="shared" si="3"/>
        <v>140</v>
      </c>
      <c r="Z31" s="1601">
        <f t="shared" si="3"/>
        <v>242</v>
      </c>
      <c r="AA31" s="1601">
        <f>Y31+Z31</f>
        <v>382</v>
      </c>
      <c r="AB31" s="1608">
        <f>Y31/AA31</f>
        <v>0.36649214659685864</v>
      </c>
      <c r="AC31" s="61"/>
      <c r="AD31" s="940"/>
      <c r="AE31" s="6"/>
      <c r="AF31" s="944">
        <f>SUM(AF26:AF30)</f>
        <v>0.99999999999999989</v>
      </c>
      <c r="AG31" s="948">
        <f>SUM(AG26:AG30)</f>
        <v>1</v>
      </c>
      <c r="AH31" s="6"/>
      <c r="AI31" s="6"/>
      <c r="AJ31" s="6"/>
      <c r="AK31" s="6"/>
    </row>
    <row r="32" spans="1:42" ht="95" hidden="1" x14ac:dyDescent="0.3">
      <c r="A32" s="1052" t="s">
        <v>922</v>
      </c>
      <c r="B32" s="1609" t="s">
        <v>923</v>
      </c>
      <c r="C32" s="1606"/>
      <c r="D32" s="1606"/>
      <c r="E32" s="1606"/>
      <c r="F32" s="1606"/>
      <c r="G32" s="1606"/>
      <c r="H32" s="1610"/>
      <c r="I32" s="1610"/>
      <c r="J32" s="1610"/>
      <c r="K32" s="1214"/>
      <c r="L32" s="1214"/>
      <c r="M32" s="1610"/>
      <c r="N32" s="1610"/>
      <c r="O32" s="1610"/>
      <c r="P32" s="1610"/>
      <c r="Q32" s="1214"/>
      <c r="R32" s="1214"/>
      <c r="S32" s="1214"/>
      <c r="T32" s="1214"/>
      <c r="U32" s="1214"/>
      <c r="V32" s="1214"/>
      <c r="W32" s="1214"/>
      <c r="X32" s="1214"/>
      <c r="Y32" s="1214"/>
      <c r="Z32" s="1214"/>
      <c r="AA32" s="1214"/>
      <c r="AB32" s="1214"/>
      <c r="AC32" s="61"/>
      <c r="AD32" s="940"/>
      <c r="AE32" s="6"/>
      <c r="AF32" s="6"/>
      <c r="AG32" s="6"/>
      <c r="AH32" s="6"/>
      <c r="AI32" s="6"/>
      <c r="AJ32" s="6"/>
      <c r="AK32" s="6"/>
      <c r="AL32" s="620"/>
      <c r="AM32" s="620"/>
      <c r="AN32" s="620"/>
    </row>
    <row r="33" spans="1:42" ht="15" x14ac:dyDescent="0.3">
      <c r="A33" s="9"/>
      <c r="B33" s="1215" t="s">
        <v>911</v>
      </c>
      <c r="C33" s="1499">
        <v>925</v>
      </c>
      <c r="D33" s="1499">
        <v>2304</v>
      </c>
      <c r="E33" s="1499"/>
      <c r="F33" s="1499">
        <f>SUM(C33:E33)</f>
        <v>3229</v>
      </c>
      <c r="G33" s="1507">
        <f t="shared" ref="G33:G38" si="4">C33/F33</f>
        <v>0.28646639826571696</v>
      </c>
      <c r="H33" s="1492">
        <v>1018</v>
      </c>
      <c r="I33" s="1492">
        <v>2468</v>
      </c>
      <c r="J33" s="1492">
        <v>0</v>
      </c>
      <c r="K33" s="1469">
        <v>3486</v>
      </c>
      <c r="L33" s="1488">
        <f>H33/K33</f>
        <v>0.29202524383247275</v>
      </c>
      <c r="M33" s="1492">
        <v>1166</v>
      </c>
      <c r="N33" s="1492">
        <v>2713</v>
      </c>
      <c r="O33" s="1492">
        <f t="shared" ref="O33:O43" si="5">SUM(M33:N33)</f>
        <v>3879</v>
      </c>
      <c r="P33" s="1488">
        <f>M33/O33</f>
        <v>0.3005929363237948</v>
      </c>
      <c r="Q33" s="1849">
        <f t="shared" ref="Q33:AA36" si="6">Q19+Q26</f>
        <v>1180</v>
      </c>
      <c r="R33" s="1849">
        <f t="shared" si="6"/>
        <v>2899</v>
      </c>
      <c r="S33" s="1849">
        <f t="shared" si="6"/>
        <v>4079</v>
      </c>
      <c r="T33" s="1850">
        <f>Q33/S33</f>
        <v>0.28928658985045352</v>
      </c>
      <c r="U33" s="1849">
        <f t="shared" si="6"/>
        <v>2435</v>
      </c>
      <c r="V33" s="1849">
        <f t="shared" si="6"/>
        <v>5005</v>
      </c>
      <c r="W33" s="1849">
        <f>W19+W26</f>
        <v>7440</v>
      </c>
      <c r="X33" s="1850">
        <f>U33/W33</f>
        <v>0.32728494623655913</v>
      </c>
      <c r="Y33" s="1849">
        <f t="shared" si="6"/>
        <v>2447</v>
      </c>
      <c r="Z33" s="1849">
        <f t="shared" si="6"/>
        <v>5383</v>
      </c>
      <c r="AA33" s="1849">
        <f t="shared" si="6"/>
        <v>7830</v>
      </c>
      <c r="AB33" s="1850">
        <f>Y33/AA33</f>
        <v>0.3125159642401022</v>
      </c>
      <c r="AC33" s="61"/>
      <c r="AD33" s="940"/>
      <c r="AE33" s="6" t="str">
        <f>B33</f>
        <v xml:space="preserve">UK </v>
      </c>
      <c r="AF33" s="941">
        <f>F33</f>
        <v>3229</v>
      </c>
      <c r="AG33" s="945">
        <f>F33/$F$39</f>
        <v>0.3402170477294279</v>
      </c>
      <c r="AH33" s="948">
        <f>AG33+AG34</f>
        <v>0.57285849752397011</v>
      </c>
      <c r="AI33" s="6" t="str">
        <f>B33</f>
        <v xml:space="preserve">UK </v>
      </c>
      <c r="AJ33" s="949">
        <f>K33/$K$39</f>
        <v>0.3432453721937771</v>
      </c>
      <c r="AK33" s="6"/>
      <c r="AL33" s="620" t="s">
        <v>918</v>
      </c>
      <c r="AM33" s="620"/>
      <c r="AN33" s="950">
        <f>(K33+K34)/K39</f>
        <v>0.57463568333989756</v>
      </c>
    </row>
    <row r="34" spans="1:42" ht="15" x14ac:dyDescent="0.3">
      <c r="A34" s="9"/>
      <c r="B34" s="1215" t="s">
        <v>912</v>
      </c>
      <c r="C34" s="1499">
        <v>825</v>
      </c>
      <c r="D34" s="1499">
        <v>1361</v>
      </c>
      <c r="E34" s="1499">
        <v>22</v>
      </c>
      <c r="F34" s="1499">
        <f>SUM(C34:E34)</f>
        <v>2208</v>
      </c>
      <c r="G34" s="1383">
        <f t="shared" si="4"/>
        <v>0.37364130434782611</v>
      </c>
      <c r="H34" s="1492">
        <v>869</v>
      </c>
      <c r="I34" s="1492">
        <v>1456</v>
      </c>
      <c r="J34" s="1492">
        <v>25</v>
      </c>
      <c r="K34" s="1469">
        <v>2350</v>
      </c>
      <c r="L34" s="1488">
        <f>H34/K34</f>
        <v>0.3697872340425532</v>
      </c>
      <c r="M34" s="1492">
        <v>1194</v>
      </c>
      <c r="N34" s="1492">
        <v>1682</v>
      </c>
      <c r="O34" s="1492">
        <f t="shared" si="5"/>
        <v>2876</v>
      </c>
      <c r="P34" s="1488">
        <f t="shared" ref="P34:P36" si="7">M34/O34</f>
        <v>0.41515994436717663</v>
      </c>
      <c r="Q34" s="1849">
        <f t="shared" si="6"/>
        <v>1165</v>
      </c>
      <c r="R34" s="1849">
        <f t="shared" si="6"/>
        <v>1693</v>
      </c>
      <c r="S34" s="1849">
        <f t="shared" si="6"/>
        <v>2858</v>
      </c>
      <c r="T34" s="1850"/>
      <c r="U34" s="1849"/>
      <c r="V34" s="1849"/>
      <c r="W34" s="1849"/>
      <c r="X34" s="1850"/>
      <c r="Y34" s="1849"/>
      <c r="Z34" s="1849"/>
      <c r="AA34" s="1849"/>
      <c r="AB34" s="1850"/>
      <c r="AC34" s="61"/>
      <c r="AD34" s="940"/>
      <c r="AE34" s="6" t="str">
        <f t="shared" ref="AE34:AE38" si="8">B34</f>
        <v>Rest of Europe</v>
      </c>
      <c r="AF34" s="941">
        <f t="shared" ref="AF34:AF38" si="9">F34</f>
        <v>2208</v>
      </c>
      <c r="AG34" s="945">
        <f>F34/$F$39</f>
        <v>0.23264144979454221</v>
      </c>
      <c r="AH34" s="6"/>
      <c r="AI34" s="6" t="str">
        <f>B34</f>
        <v>Rest of Europe</v>
      </c>
      <c r="AJ34" s="949">
        <f>K34/$K$39</f>
        <v>0.23139031114612052</v>
      </c>
      <c r="AK34" s="6"/>
      <c r="AL34" s="620" t="s">
        <v>913</v>
      </c>
      <c r="AM34" s="620"/>
      <c r="AN34" s="950">
        <f>K35/K39</f>
        <v>0.19446632532493108</v>
      </c>
    </row>
    <row r="35" spans="1:42" ht="15" x14ac:dyDescent="0.3">
      <c r="A35" s="9"/>
      <c r="B35" s="1215" t="s">
        <v>913</v>
      </c>
      <c r="C35" s="1499">
        <v>414</v>
      </c>
      <c r="D35" s="1499">
        <v>1428</v>
      </c>
      <c r="E35" s="1499">
        <v>34</v>
      </c>
      <c r="F35" s="1499">
        <v>1876</v>
      </c>
      <c r="G35" s="1383">
        <f t="shared" si="4"/>
        <v>0.22068230277185502</v>
      </c>
      <c r="H35" s="1492">
        <v>448</v>
      </c>
      <c r="I35" s="1492">
        <v>1487</v>
      </c>
      <c r="J35" s="1492">
        <v>40</v>
      </c>
      <c r="K35" s="1469">
        <v>1975</v>
      </c>
      <c r="L35" s="1488">
        <f>H35/K35</f>
        <v>0.22683544303797468</v>
      </c>
      <c r="M35" s="1492">
        <v>544</v>
      </c>
      <c r="N35" s="1492">
        <v>1470</v>
      </c>
      <c r="O35" s="1492">
        <f t="shared" si="5"/>
        <v>2014</v>
      </c>
      <c r="P35" s="1488">
        <f t="shared" si="7"/>
        <v>0.27010923535253228</v>
      </c>
      <c r="Q35" s="1469">
        <f t="shared" si="6"/>
        <v>567</v>
      </c>
      <c r="R35" s="1469">
        <f t="shared" si="6"/>
        <v>1619</v>
      </c>
      <c r="S35" s="1469">
        <f t="shared" si="6"/>
        <v>2186</v>
      </c>
      <c r="T35" s="1488">
        <f>Q35/S35</f>
        <v>0.25937785910338518</v>
      </c>
      <c r="U35" s="1469">
        <f t="shared" ref="U35:AA36" si="10">U21+U28</f>
        <v>715</v>
      </c>
      <c r="V35" s="1469">
        <f t="shared" si="10"/>
        <v>2120</v>
      </c>
      <c r="W35" s="1469">
        <f t="shared" si="10"/>
        <v>2835</v>
      </c>
      <c r="X35" s="1488">
        <f>U35/W35</f>
        <v>0.25220458553791886</v>
      </c>
      <c r="Y35" s="1469">
        <f t="shared" si="10"/>
        <v>664</v>
      </c>
      <c r="Z35" s="1469">
        <f t="shared" si="10"/>
        <v>2129</v>
      </c>
      <c r="AA35" s="1469">
        <f t="shared" si="10"/>
        <v>2793</v>
      </c>
      <c r="AB35" s="1488">
        <f>Y35/AA35</f>
        <v>0.23773720014321517</v>
      </c>
      <c r="AC35" s="61"/>
      <c r="AD35" s="940"/>
      <c r="AE35" s="6" t="str">
        <f t="shared" si="8"/>
        <v>North America</v>
      </c>
      <c r="AF35" s="941">
        <f t="shared" si="9"/>
        <v>1876</v>
      </c>
      <c r="AG35" s="945">
        <f t="shared" ref="AG35:AG38" si="11">F35/$F$39</f>
        <v>0.19766094194500053</v>
      </c>
      <c r="AH35" s="948">
        <f>AG35</f>
        <v>0.19766094194500053</v>
      </c>
      <c r="AI35" s="6" t="str">
        <f>B35</f>
        <v>North America</v>
      </c>
      <c r="AJ35" s="949">
        <f>K35/$K$39</f>
        <v>0.19446632532493108</v>
      </c>
      <c r="AK35" s="6"/>
      <c r="AL35" s="620" t="s">
        <v>919</v>
      </c>
      <c r="AM35" s="620"/>
      <c r="AN35" s="950">
        <f>AF36/$K$39</f>
        <v>0.19919259551004331</v>
      </c>
    </row>
    <row r="36" spans="1:42" ht="15" x14ac:dyDescent="0.3">
      <c r="A36" s="9"/>
      <c r="B36" s="1215" t="s">
        <v>914</v>
      </c>
      <c r="C36" s="1499">
        <v>427</v>
      </c>
      <c r="D36" s="1499">
        <v>1590</v>
      </c>
      <c r="E36" s="1499">
        <v>6</v>
      </c>
      <c r="F36" s="1499">
        <v>2023</v>
      </c>
      <c r="G36" s="1383">
        <f t="shared" si="4"/>
        <v>0.21107266435986158</v>
      </c>
      <c r="H36" s="1492">
        <v>475</v>
      </c>
      <c r="I36" s="1492">
        <v>1690</v>
      </c>
      <c r="J36" s="1492">
        <v>7</v>
      </c>
      <c r="K36" s="1469">
        <v>2172</v>
      </c>
      <c r="L36" s="1488">
        <f>H36/K36</f>
        <v>0.21869244935543278</v>
      </c>
      <c r="M36" s="1492">
        <v>506</v>
      </c>
      <c r="N36" s="1492">
        <v>1791</v>
      </c>
      <c r="O36" s="1492">
        <f t="shared" si="5"/>
        <v>2297</v>
      </c>
      <c r="P36" s="1488">
        <f t="shared" si="7"/>
        <v>0.22028733130169786</v>
      </c>
      <c r="Q36" s="1469">
        <f t="shared" si="6"/>
        <v>547</v>
      </c>
      <c r="R36" s="1469">
        <f t="shared" si="6"/>
        <v>1912</v>
      </c>
      <c r="S36" s="1469">
        <f t="shared" si="6"/>
        <v>2459</v>
      </c>
      <c r="T36" s="1488">
        <f>Q36/S36</f>
        <v>0.22244814965433102</v>
      </c>
      <c r="U36" s="1469">
        <f t="shared" si="10"/>
        <v>520</v>
      </c>
      <c r="V36" s="1469">
        <f t="shared" si="10"/>
        <v>1977</v>
      </c>
      <c r="W36" s="1469">
        <f t="shared" si="10"/>
        <v>2497</v>
      </c>
      <c r="X36" s="1488">
        <f>U36/W36</f>
        <v>0.20824989987985582</v>
      </c>
      <c r="Y36" s="1469">
        <f t="shared" si="10"/>
        <v>455</v>
      </c>
      <c r="Z36" s="1469">
        <f t="shared" si="10"/>
        <v>1926</v>
      </c>
      <c r="AA36" s="1469">
        <f t="shared" si="10"/>
        <v>2381</v>
      </c>
      <c r="AB36" s="1488">
        <f>Y36/AA36</f>
        <v>0.19109617807643847</v>
      </c>
      <c r="AC36" s="61"/>
      <c r="AD36" s="940"/>
      <c r="AE36" s="6" t="str">
        <f t="shared" si="8"/>
        <v>Asia</v>
      </c>
      <c r="AF36" s="941">
        <f t="shared" si="9"/>
        <v>2023</v>
      </c>
      <c r="AG36" s="945">
        <f t="shared" si="11"/>
        <v>0.21314929933621327</v>
      </c>
      <c r="AH36" s="948">
        <f t="shared" ref="AH36:AH39" si="12">AG36</f>
        <v>0.21314929933621327</v>
      </c>
      <c r="AI36" s="6" t="str">
        <f>B36</f>
        <v>Asia</v>
      </c>
      <c r="AJ36" s="949">
        <f>K36/$K$39</f>
        <v>0.21386372587632926</v>
      </c>
      <c r="AK36" s="6"/>
      <c r="AL36" s="620" t="s">
        <v>920</v>
      </c>
      <c r="AM36" s="620"/>
      <c r="AN36" s="950">
        <f>AF38/$K$39</f>
        <v>1.9692792437967705E-3</v>
      </c>
    </row>
    <row r="37" spans="1:42" ht="15" x14ac:dyDescent="0.3">
      <c r="A37" s="9"/>
      <c r="B37" s="1215" t="s">
        <v>924</v>
      </c>
      <c r="C37" s="1499">
        <v>36</v>
      </c>
      <c r="D37" s="1499">
        <v>98</v>
      </c>
      <c r="E37" s="1499">
        <v>1</v>
      </c>
      <c r="F37" s="1499">
        <f t="shared" ref="F37:F39" si="13">SUM(C37:E37)</f>
        <v>135</v>
      </c>
      <c r="G37" s="1383">
        <f t="shared" si="4"/>
        <v>0.26666666666666666</v>
      </c>
      <c r="H37" s="1388"/>
      <c r="I37" s="1388"/>
      <c r="J37" s="1388"/>
      <c r="K37" s="1388"/>
      <c r="L37" s="1388"/>
      <c r="M37" s="1388"/>
      <c r="N37" s="1388"/>
      <c r="O37" s="1388"/>
      <c r="P37" s="1388"/>
      <c r="Q37" s="1388"/>
      <c r="R37" s="1388"/>
      <c r="S37" s="1388"/>
      <c r="T37" s="1388"/>
      <c r="U37" s="1388"/>
      <c r="V37" s="1388"/>
      <c r="W37" s="1388"/>
      <c r="X37" s="1388"/>
      <c r="Y37" s="1388"/>
      <c r="Z37" s="1388"/>
      <c r="AA37" s="1388"/>
      <c r="AB37" s="1388"/>
      <c r="AC37" s="61"/>
      <c r="AD37" s="940"/>
      <c r="AE37" s="6" t="str">
        <f t="shared" si="8"/>
        <v>South America</v>
      </c>
      <c r="AF37" s="941">
        <f t="shared" si="9"/>
        <v>135</v>
      </c>
      <c r="AG37" s="945">
        <f t="shared" si="11"/>
        <v>1.4224001685807607E-2</v>
      </c>
      <c r="AH37" s="948"/>
      <c r="AI37" s="6"/>
      <c r="AJ37" s="949"/>
      <c r="AK37" s="6"/>
      <c r="AL37" s="620"/>
      <c r="AM37" s="620"/>
      <c r="AN37" s="950"/>
    </row>
    <row r="38" spans="1:42" ht="15" x14ac:dyDescent="0.3">
      <c r="A38" s="9"/>
      <c r="B38" s="1215" t="s">
        <v>915</v>
      </c>
      <c r="C38" s="1499">
        <v>2</v>
      </c>
      <c r="D38" s="1499">
        <v>13</v>
      </c>
      <c r="E38" s="1499">
        <v>5</v>
      </c>
      <c r="F38" s="1499">
        <f t="shared" si="13"/>
        <v>20</v>
      </c>
      <c r="G38" s="1383">
        <f t="shared" si="4"/>
        <v>0.1</v>
      </c>
      <c r="H38" s="1492">
        <v>39</v>
      </c>
      <c r="I38" s="1492">
        <v>126</v>
      </c>
      <c r="J38" s="1492">
        <v>8</v>
      </c>
      <c r="K38" s="1469">
        <v>173</v>
      </c>
      <c r="L38" s="1488">
        <f>H38/K38</f>
        <v>0.22543352601156069</v>
      </c>
      <c r="M38" s="1492">
        <v>167</v>
      </c>
      <c r="N38" s="1492">
        <v>452</v>
      </c>
      <c r="O38" s="1492">
        <f t="shared" si="5"/>
        <v>619</v>
      </c>
      <c r="P38" s="1488">
        <f>M38/O38</f>
        <v>0.26978998384491115</v>
      </c>
      <c r="Q38" s="1469">
        <f t="shared" ref="Q38:AA38" si="14">Q23+Q30</f>
        <v>314</v>
      </c>
      <c r="R38" s="1469">
        <f t="shared" si="14"/>
        <v>742</v>
      </c>
      <c r="S38" s="1469">
        <f t="shared" si="14"/>
        <v>1056</v>
      </c>
      <c r="T38" s="1488">
        <f>Q38/S38</f>
        <v>0.29734848484848486</v>
      </c>
      <c r="U38" s="1469">
        <f t="shared" si="14"/>
        <v>228</v>
      </c>
      <c r="V38" s="1469">
        <f t="shared" si="14"/>
        <v>430</v>
      </c>
      <c r="W38" s="1469">
        <f t="shared" si="14"/>
        <v>658</v>
      </c>
      <c r="X38" s="1488">
        <f>U38/W38</f>
        <v>0.34650455927051671</v>
      </c>
      <c r="Y38" s="1469">
        <f t="shared" si="14"/>
        <v>217</v>
      </c>
      <c r="Z38" s="1469">
        <f t="shared" si="14"/>
        <v>420</v>
      </c>
      <c r="AA38" s="1469">
        <f t="shared" si="14"/>
        <v>637</v>
      </c>
      <c r="AB38" s="1488">
        <f>Y38/AA38</f>
        <v>0.34065934065934067</v>
      </c>
      <c r="AC38" s="61"/>
      <c r="AD38" s="940"/>
      <c r="AE38" s="6" t="str">
        <f t="shared" si="8"/>
        <v>Rest of World</v>
      </c>
      <c r="AF38" s="941">
        <f t="shared" si="9"/>
        <v>20</v>
      </c>
      <c r="AG38" s="945">
        <f t="shared" si="11"/>
        <v>2.1072595090085343E-3</v>
      </c>
      <c r="AH38" s="948">
        <f t="shared" si="12"/>
        <v>2.1072595090085343E-3</v>
      </c>
      <c r="AI38" s="6" t="str">
        <f>B38</f>
        <v>Rest of World</v>
      </c>
      <c r="AJ38" s="949">
        <f>K38/$K$39</f>
        <v>1.7034265458842065E-2</v>
      </c>
      <c r="AK38" s="6"/>
      <c r="AL38" s="620" t="s">
        <v>915</v>
      </c>
      <c r="AM38" s="620"/>
      <c r="AN38" s="950">
        <f>K38/K39</f>
        <v>1.7034265458842065E-2</v>
      </c>
    </row>
    <row r="39" spans="1:42" ht="15" x14ac:dyDescent="0.3">
      <c r="A39" s="9"/>
      <c r="B39" s="1611" t="s">
        <v>925</v>
      </c>
      <c r="C39" s="1460">
        <v>2629</v>
      </c>
      <c r="D39" s="1460">
        <v>6794</v>
      </c>
      <c r="E39" s="1499">
        <v>68</v>
      </c>
      <c r="F39" s="1460">
        <f t="shared" si="13"/>
        <v>9491</v>
      </c>
      <c r="G39" s="1383">
        <f t="shared" ref="G39" si="15">C39/F39</f>
        <v>0.27699926245917184</v>
      </c>
      <c r="H39" s="1492">
        <v>2849</v>
      </c>
      <c r="I39" s="1492">
        <v>7227</v>
      </c>
      <c r="J39" s="1492">
        <v>80</v>
      </c>
      <c r="K39" s="1469">
        <v>10156</v>
      </c>
      <c r="L39" s="1488">
        <f>H39/K39</f>
        <v>0.28052382827884992</v>
      </c>
      <c r="M39" s="1492">
        <f>SUM(M33:M38)</f>
        <v>3577</v>
      </c>
      <c r="N39" s="1492">
        <f>SUM(N33:N38)</f>
        <v>8108</v>
      </c>
      <c r="O39" s="1492">
        <f t="shared" si="5"/>
        <v>11685</v>
      </c>
      <c r="P39" s="1488">
        <f>M39/O39</f>
        <v>0.30611895592640137</v>
      </c>
      <c r="Q39" s="1469">
        <f>Q24+Q31</f>
        <v>3773</v>
      </c>
      <c r="R39" s="1469">
        <f>R24+R31</f>
        <v>8865</v>
      </c>
      <c r="S39" s="1469">
        <f>Q39+R39</f>
        <v>12638</v>
      </c>
      <c r="T39" s="1488">
        <f>Q39/S39</f>
        <v>0.29854407342934008</v>
      </c>
      <c r="U39" s="1469">
        <f>U24+U31</f>
        <v>3898</v>
      </c>
      <c r="V39" s="1469">
        <f>V24+V31</f>
        <v>9532</v>
      </c>
      <c r="W39" s="1469">
        <f t="shared" ref="W39:W44" si="16">U39+V39</f>
        <v>13430</v>
      </c>
      <c r="X39" s="1488">
        <f>U39/W39</f>
        <v>0.29024571854058079</v>
      </c>
      <c r="Y39" s="1469">
        <f>Y24+Y31</f>
        <v>3783</v>
      </c>
      <c r="Z39" s="1469">
        <f>Z24+Z31</f>
        <v>9858</v>
      </c>
      <c r="AA39" s="1469">
        <f t="shared" ref="AA39:AA42" si="17">Y39+Z39</f>
        <v>13641</v>
      </c>
      <c r="AB39" s="1488">
        <f>Y39/AA39</f>
        <v>0.27732570925885197</v>
      </c>
      <c r="AC39" s="61"/>
      <c r="AD39" s="940"/>
      <c r="AE39" s="6"/>
      <c r="AF39" s="941"/>
      <c r="AG39" s="945"/>
      <c r="AH39" s="948">
        <f t="shared" si="12"/>
        <v>0</v>
      </c>
      <c r="AI39" s="6"/>
      <c r="AJ39" s="948">
        <f>SUM(AJ33:AJ38)</f>
        <v>0.99999999999999989</v>
      </c>
      <c r="AK39" s="6"/>
      <c r="AL39" s="620"/>
      <c r="AM39" s="620"/>
      <c r="AN39" s="620"/>
    </row>
    <row r="40" spans="1:42" ht="15" x14ac:dyDescent="0.25">
      <c r="A40" s="9"/>
      <c r="B40" s="1612" t="s">
        <v>926</v>
      </c>
      <c r="C40" s="1499">
        <v>4</v>
      </c>
      <c r="D40" s="1499">
        <v>6</v>
      </c>
      <c r="E40" s="1499" t="s">
        <v>719</v>
      </c>
      <c r="F40" s="1499">
        <f>SUM(C40:E40)</f>
        <v>10</v>
      </c>
      <c r="G40" s="1383">
        <f t="shared" ref="G40:G45" si="18">C40/F40</f>
        <v>0.4</v>
      </c>
      <c r="H40" s="1492">
        <v>4</v>
      </c>
      <c r="I40" s="1492">
        <v>5</v>
      </c>
      <c r="J40" s="1492">
        <v>0</v>
      </c>
      <c r="K40" s="1469">
        <v>9</v>
      </c>
      <c r="L40" s="1613">
        <f>H40/K40</f>
        <v>0.44444444444444442</v>
      </c>
      <c r="M40" s="1492">
        <v>4</v>
      </c>
      <c r="N40" s="1492">
        <v>5</v>
      </c>
      <c r="O40" s="1492">
        <f t="shared" si="5"/>
        <v>9</v>
      </c>
      <c r="P40" s="1613">
        <f>M40/O40</f>
        <v>0.44444444444444442</v>
      </c>
      <c r="Q40" s="1469">
        <v>3</v>
      </c>
      <c r="R40" s="1469">
        <v>6</v>
      </c>
      <c r="S40" s="1469">
        <f t="shared" ref="S40:S44" si="19">Q40+R40</f>
        <v>9</v>
      </c>
      <c r="T40" s="1613">
        <f>Q40/S40</f>
        <v>0.33333333333333331</v>
      </c>
      <c r="U40" s="1469">
        <v>3</v>
      </c>
      <c r="V40" s="1469">
        <v>6</v>
      </c>
      <c r="W40" s="1469">
        <f t="shared" si="16"/>
        <v>9</v>
      </c>
      <c r="X40" s="1613">
        <f>U40/W40</f>
        <v>0.33333333333333331</v>
      </c>
      <c r="Y40" s="1469">
        <v>2</v>
      </c>
      <c r="Z40" s="1469">
        <v>5</v>
      </c>
      <c r="AA40" s="1469">
        <f t="shared" si="17"/>
        <v>7</v>
      </c>
      <c r="AB40" s="1613">
        <f>Y40/AA40</f>
        <v>0.2857142857142857</v>
      </c>
      <c r="AC40" s="665"/>
      <c r="AD40" s="940"/>
      <c r="AE40" s="6"/>
      <c r="AF40" s="941">
        <f>SUM(AF33:AF39)</f>
        <v>9491</v>
      </c>
      <c r="AG40" s="948">
        <f>SUM(AG33:AG39)</f>
        <v>1</v>
      </c>
      <c r="AH40" s="948">
        <f>SUM(AH33:AH39)</f>
        <v>0.98577599831419249</v>
      </c>
      <c r="AI40" s="6"/>
      <c r="AJ40" s="6"/>
      <c r="AK40" s="6"/>
      <c r="AL40" s="620"/>
      <c r="AM40" s="620"/>
      <c r="AN40" s="620"/>
    </row>
    <row r="41" spans="1:42" ht="15" x14ac:dyDescent="0.25">
      <c r="A41" s="9"/>
      <c r="B41" s="1612" t="s">
        <v>927</v>
      </c>
      <c r="C41" s="1499">
        <v>2</v>
      </c>
      <c r="D41" s="1499">
        <v>4</v>
      </c>
      <c r="E41" s="1499" t="s">
        <v>719</v>
      </c>
      <c r="F41" s="1499">
        <v>6</v>
      </c>
      <c r="G41" s="1383">
        <f t="shared" si="18"/>
        <v>0.33333333333333331</v>
      </c>
      <c r="H41" s="1492">
        <v>2</v>
      </c>
      <c r="I41" s="1492">
        <v>7</v>
      </c>
      <c r="J41" s="1492">
        <v>0</v>
      </c>
      <c r="K41" s="1469">
        <v>9</v>
      </c>
      <c r="L41" s="1613">
        <f t="shared" ref="L41:L43" si="20">H41/K41</f>
        <v>0.22222222222222221</v>
      </c>
      <c r="M41" s="1492">
        <v>4</v>
      </c>
      <c r="N41" s="1492">
        <v>9</v>
      </c>
      <c r="O41" s="1492">
        <f t="shared" si="5"/>
        <v>13</v>
      </c>
      <c r="P41" s="1613">
        <f t="shared" ref="P41:P43" si="21">M41/O41</f>
        <v>0.30769230769230771</v>
      </c>
      <c r="Q41" s="1469">
        <v>3</v>
      </c>
      <c r="R41" s="1469">
        <v>9</v>
      </c>
      <c r="S41" s="1469">
        <f t="shared" si="19"/>
        <v>12</v>
      </c>
      <c r="T41" s="1613">
        <f t="shared" ref="T41:T43" si="22">Q41/S41</f>
        <v>0.25</v>
      </c>
      <c r="U41" s="1469">
        <v>2</v>
      </c>
      <c r="V41" s="1469">
        <v>6</v>
      </c>
      <c r="W41" s="1469">
        <f t="shared" si="16"/>
        <v>8</v>
      </c>
      <c r="X41" s="1613">
        <f t="shared" ref="X41:X43" si="23">U41/W41</f>
        <v>0.25</v>
      </c>
      <c r="Y41" s="1469">
        <v>4</v>
      </c>
      <c r="Z41" s="1469">
        <v>5</v>
      </c>
      <c r="AA41" s="1469">
        <f t="shared" si="17"/>
        <v>9</v>
      </c>
      <c r="AB41" s="1613">
        <f t="shared" ref="AB41:AB43" si="24">Y41/AA41</f>
        <v>0.44444444444444442</v>
      </c>
      <c r="AC41" s="9"/>
      <c r="AD41" s="940"/>
      <c r="AE41" s="6"/>
      <c r="AF41" s="6"/>
      <c r="AG41" s="6"/>
      <c r="AH41" s="6"/>
      <c r="AI41" s="6"/>
      <c r="AJ41" s="6"/>
      <c r="AK41" s="6"/>
      <c r="AL41" s="620"/>
      <c r="AM41" s="620"/>
      <c r="AN41" s="620"/>
    </row>
    <row r="42" spans="1:42" s="951" customFormat="1" ht="15" x14ac:dyDescent="0.25">
      <c r="A42" s="9"/>
      <c r="B42" s="1540" t="s">
        <v>928</v>
      </c>
      <c r="C42" s="1499">
        <v>23</v>
      </c>
      <c r="D42" s="1499">
        <v>65</v>
      </c>
      <c r="E42" s="1499">
        <v>0</v>
      </c>
      <c r="F42" s="1499">
        <v>78</v>
      </c>
      <c r="G42" s="1383">
        <f t="shared" si="18"/>
        <v>0.29487179487179488</v>
      </c>
      <c r="H42" s="1492">
        <v>27</v>
      </c>
      <c r="I42" s="1492">
        <v>65</v>
      </c>
      <c r="J42" s="1492">
        <v>0</v>
      </c>
      <c r="K42" s="1469">
        <v>92</v>
      </c>
      <c r="L42" s="1613">
        <f t="shared" si="20"/>
        <v>0.29347826086956524</v>
      </c>
      <c r="M42" s="1492">
        <v>23</v>
      </c>
      <c r="N42" s="1492">
        <v>74</v>
      </c>
      <c r="O42" s="1492">
        <f t="shared" si="5"/>
        <v>97</v>
      </c>
      <c r="P42" s="1613">
        <f t="shared" si="21"/>
        <v>0.23711340206185566</v>
      </c>
      <c r="Q42" s="1469">
        <v>13</v>
      </c>
      <c r="R42" s="1469">
        <v>86</v>
      </c>
      <c r="S42" s="1469">
        <f t="shared" si="19"/>
        <v>99</v>
      </c>
      <c r="T42" s="1613">
        <f t="shared" si="22"/>
        <v>0.13131313131313133</v>
      </c>
      <c r="U42" s="1469">
        <v>17</v>
      </c>
      <c r="V42" s="1469">
        <v>100</v>
      </c>
      <c r="W42" s="1469">
        <f t="shared" si="16"/>
        <v>117</v>
      </c>
      <c r="X42" s="1613">
        <f t="shared" si="23"/>
        <v>0.14529914529914531</v>
      </c>
      <c r="Y42" s="1469">
        <v>16</v>
      </c>
      <c r="Z42" s="1469">
        <v>95</v>
      </c>
      <c r="AA42" s="1469">
        <f t="shared" si="17"/>
        <v>111</v>
      </c>
      <c r="AB42" s="1613">
        <f t="shared" si="24"/>
        <v>0.14414414414414414</v>
      </c>
      <c r="AC42" s="9"/>
      <c r="AD42" s="940"/>
      <c r="AE42" s="63"/>
      <c r="AF42" s="63"/>
      <c r="AG42" s="63"/>
      <c r="AH42" s="63"/>
      <c r="AI42" s="63"/>
      <c r="AJ42" s="63"/>
      <c r="AK42" s="63"/>
      <c r="AL42" s="9"/>
      <c r="AM42" s="9"/>
      <c r="AN42" s="9"/>
      <c r="AO42" s="9"/>
      <c r="AP42" s="9"/>
    </row>
    <row r="43" spans="1:42" ht="15" x14ac:dyDescent="0.25">
      <c r="A43" s="939"/>
      <c r="B43" s="1540" t="s">
        <v>929</v>
      </c>
      <c r="C43" s="1499">
        <v>31</v>
      </c>
      <c r="D43" s="1499">
        <v>42</v>
      </c>
      <c r="E43" s="1499">
        <v>0</v>
      </c>
      <c r="F43" s="1499">
        <v>73</v>
      </c>
      <c r="G43" s="1383">
        <f t="shared" si="18"/>
        <v>0.42465753424657532</v>
      </c>
      <c r="H43" s="1492">
        <v>42</v>
      </c>
      <c r="I43" s="1492">
        <v>35</v>
      </c>
      <c r="J43" s="1492">
        <v>0</v>
      </c>
      <c r="K43" s="1469">
        <v>77</v>
      </c>
      <c r="L43" s="1613">
        <f t="shared" si="20"/>
        <v>0.54545454545454541</v>
      </c>
      <c r="M43" s="1492">
        <v>30</v>
      </c>
      <c r="N43" s="1492">
        <v>48</v>
      </c>
      <c r="O43" s="1492">
        <f t="shared" si="5"/>
        <v>78</v>
      </c>
      <c r="P43" s="1613">
        <f t="shared" si="21"/>
        <v>0.38461538461538464</v>
      </c>
      <c r="Q43" s="1469">
        <v>31</v>
      </c>
      <c r="R43" s="1469">
        <v>52</v>
      </c>
      <c r="S43" s="1469">
        <f t="shared" si="19"/>
        <v>83</v>
      </c>
      <c r="T43" s="1613">
        <f t="shared" si="22"/>
        <v>0.37349397590361444</v>
      </c>
      <c r="U43" s="1469">
        <v>22</v>
      </c>
      <c r="V43" s="1469">
        <v>38</v>
      </c>
      <c r="W43" s="1469">
        <f t="shared" si="16"/>
        <v>60</v>
      </c>
      <c r="X43" s="1613">
        <f t="shared" si="23"/>
        <v>0.36666666666666664</v>
      </c>
      <c r="Y43" s="1469">
        <v>21</v>
      </c>
      <c r="Z43" s="1469">
        <v>41</v>
      </c>
      <c r="AA43" s="1469">
        <f>Y43+Z43</f>
        <v>62</v>
      </c>
      <c r="AB43" s="1613">
        <f t="shared" si="24"/>
        <v>0.33870967741935482</v>
      </c>
      <c r="AC43" s="9"/>
      <c r="AD43" s="61"/>
    </row>
    <row r="44" spans="1:42" ht="30" x14ac:dyDescent="0.25">
      <c r="A44" s="939"/>
      <c r="B44" s="1546" t="s">
        <v>930</v>
      </c>
      <c r="C44" s="1499">
        <v>495</v>
      </c>
      <c r="D44" s="1499">
        <v>1069</v>
      </c>
      <c r="E44" s="1499">
        <v>2</v>
      </c>
      <c r="F44" s="1499">
        <v>1566</v>
      </c>
      <c r="G44" s="1383">
        <f t="shared" si="18"/>
        <v>0.31609195402298851</v>
      </c>
      <c r="H44" s="1492">
        <v>542</v>
      </c>
      <c r="I44" s="1492">
        <v>1149</v>
      </c>
      <c r="J44" s="1492">
        <v>2</v>
      </c>
      <c r="K44" s="1469">
        <v>1693</v>
      </c>
      <c r="L44" s="1613">
        <f>H44/K44</f>
        <v>0.32014176018901358</v>
      </c>
      <c r="M44" s="1492">
        <v>507</v>
      </c>
      <c r="N44" s="1492">
        <v>1190</v>
      </c>
      <c r="O44" s="1492">
        <f>M44+N44</f>
        <v>1697</v>
      </c>
      <c r="P44" s="1613">
        <f>M44/O44</f>
        <v>0.29876252209781967</v>
      </c>
      <c r="Q44" s="1469">
        <v>478</v>
      </c>
      <c r="R44" s="1469">
        <v>1223</v>
      </c>
      <c r="S44" s="1469">
        <f t="shared" si="19"/>
        <v>1701</v>
      </c>
      <c r="T44" s="1613">
        <f>Q44/S44</f>
        <v>0.28101116990005881</v>
      </c>
      <c r="U44" s="1469">
        <v>487</v>
      </c>
      <c r="V44" s="1469">
        <v>1302</v>
      </c>
      <c r="W44" s="1469">
        <f t="shared" si="16"/>
        <v>1789</v>
      </c>
      <c r="X44" s="1613">
        <f>U44/W44</f>
        <v>0.27221911682504191</v>
      </c>
      <c r="Y44" s="1388"/>
      <c r="Z44" s="1388"/>
      <c r="AA44" s="1388"/>
      <c r="AB44" s="1388"/>
      <c r="AC44" s="952"/>
      <c r="AD44" s="953"/>
    </row>
    <row r="45" spans="1:42" ht="15" x14ac:dyDescent="0.25">
      <c r="A45" s="939"/>
      <c r="B45" s="1546" t="s">
        <v>931</v>
      </c>
      <c r="C45" s="1499">
        <v>249</v>
      </c>
      <c r="D45" s="1499">
        <v>601</v>
      </c>
      <c r="E45" s="1499">
        <v>4</v>
      </c>
      <c r="F45" s="1499">
        <v>854</v>
      </c>
      <c r="G45" s="1383">
        <f t="shared" si="18"/>
        <v>0.29156908665105385</v>
      </c>
      <c r="H45" s="1388"/>
      <c r="I45" s="1388"/>
      <c r="J45" s="1388"/>
      <c r="K45" s="1388"/>
      <c r="L45" s="1388"/>
      <c r="M45" s="1388"/>
      <c r="N45" s="1388"/>
      <c r="O45" s="1388"/>
      <c r="P45" s="1388"/>
      <c r="Q45" s="1388"/>
      <c r="R45" s="1388"/>
      <c r="S45" s="1388"/>
      <c r="T45" s="1388"/>
      <c r="U45" s="1388"/>
      <c r="V45" s="1388"/>
      <c r="W45" s="1388"/>
      <c r="X45" s="1388"/>
      <c r="Y45" s="1388"/>
      <c r="Z45" s="1388"/>
      <c r="AA45" s="1388"/>
      <c r="AB45" s="1388"/>
      <c r="AC45" s="9"/>
      <c r="AD45" s="61"/>
    </row>
    <row r="46" spans="1:42" ht="15" x14ac:dyDescent="0.25">
      <c r="A46" s="1009"/>
      <c r="B46" s="1612" t="s">
        <v>932</v>
      </c>
      <c r="C46" s="1499">
        <v>1488</v>
      </c>
      <c r="D46" s="1499">
        <v>5352</v>
      </c>
      <c r="E46" s="1499">
        <v>47</v>
      </c>
      <c r="F46" s="1499">
        <v>6887</v>
      </c>
      <c r="G46" s="1383">
        <f t="shared" ref="G46" si="25">C46/F46</f>
        <v>0.21605924205023957</v>
      </c>
      <c r="H46" s="1388"/>
      <c r="I46" s="1388"/>
      <c r="J46" s="1388"/>
      <c r="K46" s="1388"/>
      <c r="L46" s="1388"/>
      <c r="M46" s="1387"/>
      <c r="N46" s="1388"/>
      <c r="O46" s="1388"/>
      <c r="P46" s="1388"/>
      <c r="Q46" s="1388"/>
      <c r="R46" s="1388"/>
      <c r="S46" s="1388"/>
      <c r="T46" s="1388"/>
      <c r="U46" s="1388"/>
      <c r="V46" s="1388"/>
      <c r="W46" s="1388"/>
      <c r="X46" s="1388"/>
      <c r="Y46" s="1388"/>
      <c r="Z46" s="1388"/>
      <c r="AA46" s="1388"/>
      <c r="AB46" s="1388"/>
      <c r="AC46" s="9"/>
      <c r="AD46" s="61"/>
    </row>
    <row r="47" spans="1:42" ht="15" x14ac:dyDescent="0.25">
      <c r="A47" s="1009"/>
      <c r="B47" s="1612" t="s">
        <v>933</v>
      </c>
      <c r="C47" s="1499">
        <v>151</v>
      </c>
      <c r="D47" s="1499">
        <v>379</v>
      </c>
      <c r="E47" s="1499">
        <v>6</v>
      </c>
      <c r="F47" s="1499">
        <v>536</v>
      </c>
      <c r="G47" s="1383">
        <f>C47/F47</f>
        <v>0.28171641791044777</v>
      </c>
      <c r="H47" s="1388"/>
      <c r="I47" s="1388"/>
      <c r="J47" s="1388"/>
      <c r="K47" s="1388"/>
      <c r="L47" s="1388"/>
      <c r="M47" s="1388"/>
      <c r="N47" s="1388"/>
      <c r="O47" s="1388"/>
      <c r="P47" s="1388"/>
      <c r="Q47" s="1388"/>
      <c r="R47" s="1388"/>
      <c r="S47" s="1388"/>
      <c r="T47" s="1388"/>
      <c r="U47" s="1388"/>
      <c r="V47" s="1388"/>
      <c r="W47" s="1388"/>
      <c r="X47" s="1388"/>
      <c r="Y47" s="1388"/>
      <c r="Z47" s="1388"/>
      <c r="AA47" s="1388"/>
      <c r="AB47" s="1388"/>
      <c r="AC47" s="9"/>
      <c r="AD47" s="61"/>
    </row>
    <row r="48" spans="1:42" ht="13.5" x14ac:dyDescent="0.25">
      <c r="A48" s="374"/>
      <c r="B48" s="90"/>
      <c r="C48" s="90"/>
      <c r="D48" s="64"/>
      <c r="E48" s="954"/>
      <c r="F48" s="955"/>
      <c r="G48" s="954"/>
      <c r="H48" s="954"/>
      <c r="I48" s="955"/>
      <c r="J48" s="954"/>
      <c r="K48" s="954"/>
      <c r="L48" s="954"/>
      <c r="M48" s="955"/>
      <c r="N48" s="954"/>
      <c r="O48" s="956"/>
      <c r="P48" s="956"/>
      <c r="Q48" s="955"/>
      <c r="R48" s="61"/>
    </row>
    <row r="49" spans="1:43" ht="17.5" x14ac:dyDescent="0.25">
      <c r="A49" s="939"/>
      <c r="B49" s="1379" t="s">
        <v>934</v>
      </c>
      <c r="C49" s="1847" t="s">
        <v>459</v>
      </c>
      <c r="D49" s="1847"/>
      <c r="E49" s="1847"/>
      <c r="F49" s="1847"/>
      <c r="G49" s="1455"/>
      <c r="H49" s="1848" t="s">
        <v>460</v>
      </c>
      <c r="I49" s="1848"/>
      <c r="J49" s="1848"/>
      <c r="K49" s="1848"/>
      <c r="L49" s="1848"/>
      <c r="M49" s="1848" t="s">
        <v>461</v>
      </c>
      <c r="N49" s="1848"/>
      <c r="O49" s="1848"/>
      <c r="P49" s="1848"/>
      <c r="Q49" s="1848" t="s">
        <v>462</v>
      </c>
      <c r="R49" s="1848"/>
      <c r="S49" s="1848"/>
      <c r="T49" s="1848"/>
      <c r="U49" s="1848" t="s">
        <v>463</v>
      </c>
      <c r="V49" s="1848"/>
      <c r="W49" s="1848"/>
      <c r="X49" s="1848"/>
      <c r="Y49" s="1848" t="s">
        <v>464</v>
      </c>
      <c r="Z49" s="1848"/>
      <c r="AA49" s="1848"/>
      <c r="AB49" s="1848"/>
      <c r="AD49" s="61"/>
      <c r="AE49" s="61"/>
    </row>
    <row r="50" spans="1:43" ht="60" x14ac:dyDescent="0.35">
      <c r="A50" s="939"/>
      <c r="B50" s="1457" t="s">
        <v>905</v>
      </c>
      <c r="C50" s="1458" t="s">
        <v>906</v>
      </c>
      <c r="D50" s="1458" t="s">
        <v>907</v>
      </c>
      <c r="E50" s="1458" t="s">
        <v>908</v>
      </c>
      <c r="F50" s="1458" t="s">
        <v>757</v>
      </c>
      <c r="G50" s="1458" t="s">
        <v>909</v>
      </c>
      <c r="H50" s="1458" t="s">
        <v>906</v>
      </c>
      <c r="I50" s="1458" t="s">
        <v>907</v>
      </c>
      <c r="J50" s="1458" t="s">
        <v>908</v>
      </c>
      <c r="K50" s="1458" t="s">
        <v>757</v>
      </c>
      <c r="L50" s="1458" t="s">
        <v>909</v>
      </c>
      <c r="M50" s="1458" t="s">
        <v>906</v>
      </c>
      <c r="N50" s="1458" t="s">
        <v>907</v>
      </c>
      <c r="O50" s="1458" t="s">
        <v>757</v>
      </c>
      <c r="P50" s="1458" t="s">
        <v>909</v>
      </c>
      <c r="Q50" s="1458" t="s">
        <v>906</v>
      </c>
      <c r="R50" s="1458" t="s">
        <v>907</v>
      </c>
      <c r="S50" s="1458" t="s">
        <v>757</v>
      </c>
      <c r="T50" s="1458" t="s">
        <v>909</v>
      </c>
      <c r="U50" s="1458" t="s">
        <v>906</v>
      </c>
      <c r="V50" s="1458" t="s">
        <v>907</v>
      </c>
      <c r="W50" s="1458" t="s">
        <v>757</v>
      </c>
      <c r="X50" s="1458" t="s">
        <v>909</v>
      </c>
      <c r="Y50" s="1458" t="s">
        <v>906</v>
      </c>
      <c r="Z50" s="1458" t="s">
        <v>907</v>
      </c>
      <c r="AA50" s="1458" t="s">
        <v>757</v>
      </c>
      <c r="AB50" s="1458" t="s">
        <v>909</v>
      </c>
      <c r="AD50" s="91" t="s">
        <v>935</v>
      </c>
      <c r="AI50"/>
    </row>
    <row r="51" spans="1:43" ht="15" x14ac:dyDescent="0.3">
      <c r="A51" s="939"/>
      <c r="B51" s="1459" t="s">
        <v>936</v>
      </c>
      <c r="C51" s="1460">
        <v>0</v>
      </c>
      <c r="D51" s="1460">
        <v>0</v>
      </c>
      <c r="E51" s="1460">
        <v>0</v>
      </c>
      <c r="F51" s="1460">
        <v>0</v>
      </c>
      <c r="G51" s="1461"/>
      <c r="H51" s="1388"/>
      <c r="I51" s="1388"/>
      <c r="J51" s="1388"/>
      <c r="K51" s="1388"/>
      <c r="L51" s="1388"/>
      <c r="M51" s="1388"/>
      <c r="N51" s="1388"/>
      <c r="O51" s="1388"/>
      <c r="P51" s="1388"/>
      <c r="Q51" s="1388"/>
      <c r="R51" s="1388"/>
      <c r="S51" s="1388"/>
      <c r="T51" s="1388"/>
      <c r="U51" s="1388"/>
      <c r="V51" s="1388"/>
      <c r="W51" s="1388"/>
      <c r="X51" s="1388"/>
      <c r="Y51" s="1388"/>
      <c r="Z51" s="1388"/>
      <c r="AA51" s="1388"/>
      <c r="AB51" s="1388"/>
      <c r="AC51" s="91"/>
    </row>
    <row r="52" spans="1:43" ht="15" x14ac:dyDescent="0.3">
      <c r="A52" s="939"/>
      <c r="B52" s="1459" t="s">
        <v>937</v>
      </c>
      <c r="C52" s="1460">
        <v>0</v>
      </c>
      <c r="D52" s="1460">
        <v>0</v>
      </c>
      <c r="E52" s="1460">
        <v>0</v>
      </c>
      <c r="F52" s="1460">
        <v>0</v>
      </c>
      <c r="G52" s="1461"/>
      <c r="H52" s="1388"/>
      <c r="I52" s="1388"/>
      <c r="J52" s="1388"/>
      <c r="K52" s="1388"/>
      <c r="L52" s="1388"/>
      <c r="M52" s="1388"/>
      <c r="N52" s="1388"/>
      <c r="O52" s="1388"/>
      <c r="P52" s="1388"/>
      <c r="Q52" s="1388"/>
      <c r="R52" s="1388"/>
      <c r="S52" s="1388"/>
      <c r="T52" s="1388"/>
      <c r="U52" s="1388"/>
      <c r="V52" s="1388"/>
      <c r="W52" s="1388"/>
      <c r="X52" s="1388"/>
      <c r="Y52" s="1388"/>
      <c r="Z52" s="1388"/>
      <c r="AA52" s="1388"/>
      <c r="AB52" s="1388"/>
      <c r="AC52" s="91"/>
    </row>
    <row r="53" spans="1:43" ht="15" x14ac:dyDescent="0.3">
      <c r="A53" s="939"/>
      <c r="B53" s="1459" t="s">
        <v>938</v>
      </c>
      <c r="C53" s="1460">
        <v>4</v>
      </c>
      <c r="D53" s="1460">
        <v>6</v>
      </c>
      <c r="E53" s="1460">
        <v>0</v>
      </c>
      <c r="F53" s="1460">
        <v>10</v>
      </c>
      <c r="G53" s="1461">
        <f t="shared" ref="G53:G54" si="26">C53/F53</f>
        <v>0.4</v>
      </c>
      <c r="H53" s="1388"/>
      <c r="I53" s="1388"/>
      <c r="J53" s="1388"/>
      <c r="K53" s="1388"/>
      <c r="L53" s="1388"/>
      <c r="M53" s="1388"/>
      <c r="N53" s="1388"/>
      <c r="O53" s="1388"/>
      <c r="P53" s="1388"/>
      <c r="Q53" s="1388"/>
      <c r="R53" s="1388"/>
      <c r="S53" s="1388"/>
      <c r="T53" s="1388"/>
      <c r="U53" s="1388"/>
      <c r="V53" s="1388"/>
      <c r="W53" s="1388"/>
      <c r="X53" s="1388"/>
      <c r="Y53" s="1388"/>
      <c r="Z53" s="1388"/>
      <c r="AA53" s="1388"/>
      <c r="AB53" s="1388"/>
      <c r="AC53" s="91"/>
    </row>
    <row r="54" spans="1:43" s="1030" customFormat="1" ht="15" x14ac:dyDescent="0.25">
      <c r="A54" s="46"/>
      <c r="B54" s="1462" t="s">
        <v>939</v>
      </c>
      <c r="C54" s="1460">
        <v>4</v>
      </c>
      <c r="D54" s="1460">
        <v>6</v>
      </c>
      <c r="E54" s="1460">
        <v>0</v>
      </c>
      <c r="F54" s="1460">
        <v>10</v>
      </c>
      <c r="G54" s="1461">
        <f t="shared" si="26"/>
        <v>0.4</v>
      </c>
      <c r="H54" s="1463">
        <v>4</v>
      </c>
      <c r="I54" s="1464">
        <v>5</v>
      </c>
      <c r="J54" s="1464" t="s">
        <v>719</v>
      </c>
      <c r="K54" s="1464">
        <v>9</v>
      </c>
      <c r="L54" s="1465">
        <f>IF(K54&gt;0,H54/K54,"-")</f>
        <v>0.44444444444444442</v>
      </c>
      <c r="M54" s="1463">
        <f>SUM(M55:M58)</f>
        <v>4</v>
      </c>
      <c r="N54" s="1463">
        <f>SUM(N55:N58)</f>
        <v>5</v>
      </c>
      <c r="O54" s="1463">
        <f>SUM(M54:N54)</f>
        <v>9</v>
      </c>
      <c r="P54" s="1465">
        <f>IF(O54&gt;0,M54/O54,"-")</f>
        <v>0.44444444444444442</v>
      </c>
      <c r="Q54" s="1463">
        <f>SUM(Q55:Q58)</f>
        <v>3</v>
      </c>
      <c r="R54" s="1463">
        <f>SUM(R55:R58)</f>
        <v>6</v>
      </c>
      <c r="S54" s="1463">
        <f>SUM(Q54:R54)</f>
        <v>9</v>
      </c>
      <c r="T54" s="1465">
        <f>IF(S54&gt;0,Q54/S54,"-")</f>
        <v>0.33333333333333331</v>
      </c>
      <c r="U54" s="1463">
        <f>SUM(U55:U58)</f>
        <v>3</v>
      </c>
      <c r="V54" s="1463">
        <f>SUM(V55:V58)</f>
        <v>6</v>
      </c>
      <c r="W54" s="1463">
        <f>SUM(U54:V54)</f>
        <v>9</v>
      </c>
      <c r="X54" s="1465">
        <f>IF(W54&gt;0,U54/W54,"-")</f>
        <v>0.33333333333333331</v>
      </c>
      <c r="Y54" s="1463">
        <f>SUM(Y55:Y58)</f>
        <v>3</v>
      </c>
      <c r="Z54" s="1463">
        <f>SUM(Z55:Z58)</f>
        <v>6</v>
      </c>
      <c r="AA54" s="1463">
        <f>SUM(Y54:Z54)</f>
        <v>9</v>
      </c>
      <c r="AB54" s="1465">
        <f>IF(AA54&gt;0,Y54/AA54,"-")</f>
        <v>0.33333333333333331</v>
      </c>
      <c r="AC54" s="91"/>
      <c r="AD54" s="2"/>
      <c r="AE54" s="2"/>
      <c r="AF54" s="2"/>
      <c r="AG54" s="2"/>
      <c r="AH54" s="2"/>
      <c r="AI54" s="2"/>
      <c r="AJ54" s="2"/>
      <c r="AK54" s="2"/>
      <c r="AL54" s="2"/>
      <c r="AM54" s="2"/>
      <c r="AN54" s="2"/>
      <c r="AO54" s="2"/>
      <c r="AP54" s="2"/>
      <c r="AQ54" s="2"/>
    </row>
    <row r="55" spans="1:43" ht="15" x14ac:dyDescent="0.3">
      <c r="B55" s="1466" t="s">
        <v>940</v>
      </c>
      <c r="C55" s="1388"/>
      <c r="D55" s="1388"/>
      <c r="E55" s="1388"/>
      <c r="F55" s="1388"/>
      <c r="G55" s="1388"/>
      <c r="H55" s="1467" t="s">
        <v>719</v>
      </c>
      <c r="I55" s="1467" t="s">
        <v>719</v>
      </c>
      <c r="J55" s="1467" t="s">
        <v>719</v>
      </c>
      <c r="K55" s="1467">
        <v>0</v>
      </c>
      <c r="L55" s="1465" t="str">
        <f t="shared" ref="L55:L58" si="27">IF(K55&gt;0,H55/K55,"-")</f>
        <v>-</v>
      </c>
      <c r="M55" s="1467">
        <v>0</v>
      </c>
      <c r="N55" s="1467">
        <v>0</v>
      </c>
      <c r="O55" s="1467">
        <f t="shared" ref="O55:O67" si="28">SUM(M55:N55)</f>
        <v>0</v>
      </c>
      <c r="P55" s="1465" t="str">
        <f t="shared" ref="P55:P58" si="29">IF(O55&gt;0,M55/O55,"-")</f>
        <v>-</v>
      </c>
      <c r="Q55" s="1468">
        <v>0</v>
      </c>
      <c r="R55" s="1468">
        <v>0</v>
      </c>
      <c r="S55" s="1468">
        <f>Q55+R55</f>
        <v>0</v>
      </c>
      <c r="T55" s="1465" t="str">
        <f t="shared" ref="T55:T58" si="30">IF(S55&gt;0,Q55/S55,"-")</f>
        <v>-</v>
      </c>
      <c r="U55" s="1469">
        <v>0</v>
      </c>
      <c r="V55" s="1469">
        <v>0</v>
      </c>
      <c r="W55" s="1469">
        <f>U55+V55</f>
        <v>0</v>
      </c>
      <c r="X55" s="1465" t="str">
        <f t="shared" ref="X55:X58" si="31">IF(W55&gt;0,U55/W55,"-")</f>
        <v>-</v>
      </c>
      <c r="Y55" s="1469">
        <v>1</v>
      </c>
      <c r="Z55" s="1469">
        <v>0</v>
      </c>
      <c r="AA55" s="1469">
        <v>1</v>
      </c>
      <c r="AB55" s="1465">
        <f t="shared" ref="AB55:AB58" si="32">IF(AA55&gt;0,Y55/AA55,"-")</f>
        <v>1</v>
      </c>
      <c r="AC55" s="9"/>
      <c r="AD55" s="61"/>
    </row>
    <row r="56" spans="1:43" ht="15" x14ac:dyDescent="0.3">
      <c r="A56" s="939"/>
      <c r="B56" s="1466" t="s">
        <v>941</v>
      </c>
      <c r="C56" s="1388"/>
      <c r="D56" s="1388"/>
      <c r="E56" s="1388"/>
      <c r="F56" s="1388"/>
      <c r="G56" s="1388"/>
      <c r="H56" s="1467">
        <v>1</v>
      </c>
      <c r="I56" s="1467">
        <v>2</v>
      </c>
      <c r="J56" s="1467">
        <v>0</v>
      </c>
      <c r="K56" s="1467">
        <v>3</v>
      </c>
      <c r="L56" s="1465">
        <f t="shared" si="27"/>
        <v>0.33333333333333331</v>
      </c>
      <c r="M56" s="1467">
        <v>0</v>
      </c>
      <c r="N56" s="1467">
        <v>2</v>
      </c>
      <c r="O56" s="1467">
        <f t="shared" si="28"/>
        <v>2</v>
      </c>
      <c r="P56" s="1465">
        <f t="shared" si="29"/>
        <v>0</v>
      </c>
      <c r="Q56" s="1468">
        <v>0</v>
      </c>
      <c r="R56" s="1468">
        <v>3</v>
      </c>
      <c r="S56" s="1468">
        <f>Q56+R56</f>
        <v>3</v>
      </c>
      <c r="T56" s="1465">
        <f t="shared" si="30"/>
        <v>0</v>
      </c>
      <c r="U56" s="1469">
        <v>0</v>
      </c>
      <c r="V56" s="1469">
        <v>3</v>
      </c>
      <c r="W56" s="1469">
        <f>U56+V56</f>
        <v>3</v>
      </c>
      <c r="X56" s="1465">
        <f t="shared" si="31"/>
        <v>0</v>
      </c>
      <c r="Y56" s="1469">
        <v>0</v>
      </c>
      <c r="Z56" s="1469">
        <v>2</v>
      </c>
      <c r="AA56" s="1469">
        <v>2</v>
      </c>
      <c r="AB56" s="1465">
        <f t="shared" si="32"/>
        <v>0</v>
      </c>
      <c r="AC56" s="9"/>
      <c r="AD56" s="61"/>
    </row>
    <row r="57" spans="1:43" ht="15" x14ac:dyDescent="0.3">
      <c r="A57" s="939"/>
      <c r="B57" s="1466" t="s">
        <v>942</v>
      </c>
      <c r="C57" s="1388"/>
      <c r="D57" s="1388"/>
      <c r="E57" s="1388"/>
      <c r="F57" s="1388"/>
      <c r="G57" s="1388"/>
      <c r="H57" s="1467">
        <v>0</v>
      </c>
      <c r="I57" s="1467">
        <v>2</v>
      </c>
      <c r="J57" s="1467">
        <v>0</v>
      </c>
      <c r="K57" s="1467">
        <v>2</v>
      </c>
      <c r="L57" s="1465">
        <f t="shared" si="27"/>
        <v>0</v>
      </c>
      <c r="M57" s="1467"/>
      <c r="N57" s="1467">
        <v>2</v>
      </c>
      <c r="O57" s="1467">
        <f t="shared" si="28"/>
        <v>2</v>
      </c>
      <c r="P57" s="1465">
        <f t="shared" si="29"/>
        <v>0</v>
      </c>
      <c r="Q57" s="1468">
        <v>0</v>
      </c>
      <c r="R57" s="1468">
        <v>2</v>
      </c>
      <c r="S57" s="1468">
        <f>Q57+R57</f>
        <v>2</v>
      </c>
      <c r="T57" s="1465">
        <f t="shared" si="30"/>
        <v>0</v>
      </c>
      <c r="U57" s="1469">
        <v>0</v>
      </c>
      <c r="V57" s="1469">
        <v>2</v>
      </c>
      <c r="W57" s="1469">
        <f>U57+V57</f>
        <v>2</v>
      </c>
      <c r="X57" s="1465">
        <f t="shared" si="31"/>
        <v>0</v>
      </c>
      <c r="Y57" s="1469">
        <v>2</v>
      </c>
      <c r="Z57" s="1469">
        <v>4</v>
      </c>
      <c r="AA57" s="1469">
        <v>6</v>
      </c>
      <c r="AB57" s="1465">
        <f t="shared" si="32"/>
        <v>0.33333333333333331</v>
      </c>
      <c r="AC57" s="9"/>
      <c r="AD57" s="61"/>
    </row>
    <row r="58" spans="1:43" ht="15" x14ac:dyDescent="0.3">
      <c r="A58" s="46"/>
      <c r="B58" s="1466" t="s">
        <v>943</v>
      </c>
      <c r="C58" s="1388"/>
      <c r="D58" s="1388"/>
      <c r="E58" s="1388"/>
      <c r="F58" s="1388"/>
      <c r="G58" s="1388"/>
      <c r="H58" s="1467">
        <v>3</v>
      </c>
      <c r="I58" s="1467">
        <v>1</v>
      </c>
      <c r="J58" s="1467">
        <v>0</v>
      </c>
      <c r="K58" s="1467">
        <v>4</v>
      </c>
      <c r="L58" s="1465">
        <f t="shared" si="27"/>
        <v>0.75</v>
      </c>
      <c r="M58" s="1467">
        <v>4</v>
      </c>
      <c r="N58" s="1467">
        <v>1</v>
      </c>
      <c r="O58" s="1467">
        <f t="shared" si="28"/>
        <v>5</v>
      </c>
      <c r="P58" s="1465">
        <f t="shared" si="29"/>
        <v>0.8</v>
      </c>
      <c r="Q58" s="1468">
        <v>3</v>
      </c>
      <c r="R58" s="1468">
        <v>1</v>
      </c>
      <c r="S58" s="1468">
        <f>Q58+R58</f>
        <v>4</v>
      </c>
      <c r="T58" s="1465">
        <f t="shared" si="30"/>
        <v>0.75</v>
      </c>
      <c r="U58" s="1469">
        <v>3</v>
      </c>
      <c r="V58" s="1469">
        <v>1</v>
      </c>
      <c r="W58" s="1469">
        <f>U58+V58</f>
        <v>4</v>
      </c>
      <c r="X58" s="1465">
        <f t="shared" si="31"/>
        <v>0.75</v>
      </c>
      <c r="Y58" s="1469">
        <v>0</v>
      </c>
      <c r="Z58" s="1469">
        <v>0</v>
      </c>
      <c r="AA58" s="1469">
        <v>0</v>
      </c>
      <c r="AB58" s="1465" t="str">
        <f t="shared" si="32"/>
        <v>-</v>
      </c>
      <c r="AC58" s="9"/>
      <c r="AD58" s="61"/>
    </row>
    <row r="59" spans="1:43" ht="15" x14ac:dyDescent="0.3">
      <c r="A59" s="46"/>
      <c r="B59" s="1459" t="s">
        <v>944</v>
      </c>
      <c r="C59" s="1470">
        <v>452</v>
      </c>
      <c r="D59" s="1470">
        <v>889</v>
      </c>
      <c r="E59" s="1470">
        <v>17</v>
      </c>
      <c r="F59" s="1470">
        <v>1358</v>
      </c>
      <c r="G59" s="1461">
        <f>C59/F59</f>
        <v>0.3328424153166421</v>
      </c>
      <c r="H59" s="1388"/>
      <c r="I59" s="1388"/>
      <c r="J59" s="1388"/>
      <c r="K59" s="1388"/>
      <c r="L59" s="1388"/>
      <c r="M59" s="1388"/>
      <c r="N59" s="1388"/>
      <c r="O59" s="1388"/>
      <c r="P59" s="1388"/>
      <c r="Q59" s="1388"/>
      <c r="R59" s="1388"/>
      <c r="S59" s="1388"/>
      <c r="T59" s="1388"/>
      <c r="U59" s="1388"/>
      <c r="V59" s="1388"/>
      <c r="W59" s="1388"/>
      <c r="X59" s="1388"/>
      <c r="Y59" s="1388"/>
      <c r="Z59" s="1388"/>
      <c r="AA59" s="1388"/>
      <c r="AB59" s="1388"/>
      <c r="AC59" s="9"/>
      <c r="AD59" s="953"/>
    </row>
    <row r="60" spans="1:43" ht="15" x14ac:dyDescent="0.3">
      <c r="A60" s="46"/>
      <c r="B60" s="1459" t="s">
        <v>945</v>
      </c>
      <c r="C60" s="1470">
        <v>1766</v>
      </c>
      <c r="D60" s="1470">
        <v>4295</v>
      </c>
      <c r="E60" s="1470">
        <v>29</v>
      </c>
      <c r="F60" s="1470">
        <v>6090</v>
      </c>
      <c r="G60" s="1461">
        <f>C60/F60</f>
        <v>0.28998357963875204</v>
      </c>
      <c r="H60" s="1388"/>
      <c r="I60" s="1388"/>
      <c r="J60" s="1388"/>
      <c r="K60" s="1388"/>
      <c r="L60" s="1388"/>
      <c r="M60" s="1388"/>
      <c r="N60" s="1388"/>
      <c r="O60" s="1388"/>
      <c r="P60" s="1388"/>
      <c r="Q60" s="1388"/>
      <c r="R60" s="1388"/>
      <c r="S60" s="1388"/>
      <c r="T60" s="1388"/>
      <c r="U60" s="1388"/>
      <c r="V60" s="1388"/>
      <c r="W60" s="1388"/>
      <c r="X60" s="1388"/>
      <c r="Y60" s="1388"/>
      <c r="Z60" s="1388"/>
      <c r="AA60" s="1388"/>
      <c r="AB60" s="1388"/>
      <c r="AC60" s="9"/>
      <c r="AD60" s="953"/>
    </row>
    <row r="61" spans="1:43" ht="15" x14ac:dyDescent="0.3">
      <c r="A61" s="46"/>
      <c r="B61" s="1459" t="s">
        <v>946</v>
      </c>
      <c r="C61" s="1470">
        <v>411</v>
      </c>
      <c r="D61" s="1470">
        <v>1610</v>
      </c>
      <c r="E61" s="1470">
        <v>6</v>
      </c>
      <c r="F61" s="1470">
        <v>2027</v>
      </c>
      <c r="G61" s="1461">
        <f>C61/F61</f>
        <v>0.20276270350271336</v>
      </c>
      <c r="H61" s="1388"/>
      <c r="I61" s="1388"/>
      <c r="J61" s="1388"/>
      <c r="K61" s="1388"/>
      <c r="L61" s="1388"/>
      <c r="M61" s="1388"/>
      <c r="N61" s="1388"/>
      <c r="O61" s="1388"/>
      <c r="P61" s="1388"/>
      <c r="Q61" s="1388"/>
      <c r="R61" s="1388"/>
      <c r="S61" s="1388"/>
      <c r="T61" s="1388"/>
      <c r="U61" s="1388"/>
      <c r="V61" s="1388"/>
      <c r="W61" s="1388"/>
      <c r="X61" s="1388"/>
      <c r="Y61" s="1388"/>
      <c r="Z61" s="1388"/>
      <c r="AA61" s="1388"/>
      <c r="AB61" s="1388"/>
      <c r="AC61" s="9"/>
      <c r="AD61" s="953"/>
    </row>
    <row r="62" spans="1:43" ht="15" x14ac:dyDescent="0.3">
      <c r="A62" s="46"/>
      <c r="B62" s="1471" t="s">
        <v>947</v>
      </c>
      <c r="C62" s="1470"/>
      <c r="D62" s="1470"/>
      <c r="E62" s="1470">
        <v>16</v>
      </c>
      <c r="F62" s="1470">
        <v>16</v>
      </c>
      <c r="G62" s="1461">
        <f>C62/F62</f>
        <v>0</v>
      </c>
      <c r="H62" s="1387"/>
      <c r="I62" s="1387"/>
      <c r="J62" s="1387"/>
      <c r="K62" s="1387"/>
      <c r="L62" s="1387"/>
      <c r="M62" s="1387"/>
      <c r="N62" s="1387"/>
      <c r="O62" s="1387"/>
      <c r="P62" s="1387"/>
      <c r="Q62" s="1387"/>
      <c r="R62" s="1387"/>
      <c r="S62" s="1387"/>
      <c r="T62" s="1387"/>
      <c r="U62" s="1387"/>
      <c r="V62" s="1387"/>
      <c r="W62" s="1387"/>
      <c r="X62" s="1387"/>
      <c r="Y62" s="1387"/>
      <c r="Z62" s="1387"/>
      <c r="AA62" s="1387"/>
      <c r="AB62" s="1387"/>
      <c r="AC62" s="9"/>
      <c r="AD62" s="953"/>
    </row>
    <row r="63" spans="1:43" ht="15" x14ac:dyDescent="0.25">
      <c r="A63" s="46"/>
      <c r="B63" s="1472" t="s">
        <v>923</v>
      </c>
      <c r="C63" s="1460">
        <f>SUM(C59:C62)</f>
        <v>2629</v>
      </c>
      <c r="D63" s="1460">
        <f>SUM(D59:D62)</f>
        <v>6794</v>
      </c>
      <c r="E63" s="1460">
        <f>SUM(E59:E62)</f>
        <v>68</v>
      </c>
      <c r="F63" s="1460">
        <f>SUM(F59:F62)</f>
        <v>9491</v>
      </c>
      <c r="G63" s="1461">
        <f>C63/F63</f>
        <v>0.27699926245917184</v>
      </c>
      <c r="H63" s="1463">
        <v>2849</v>
      </c>
      <c r="I63" s="1463">
        <v>7227</v>
      </c>
      <c r="J63" s="1463">
        <v>42</v>
      </c>
      <c r="K63" s="1463">
        <v>10118</v>
      </c>
      <c r="L63" s="1465">
        <f t="shared" ref="L63:L68" si="33">IF(K63&gt;0,H63/K63,"-")</f>
        <v>0.28157738683534295</v>
      </c>
      <c r="M63" s="1463">
        <f t="shared" ref="M63:AA63" si="34">SUM(M58:M61)</f>
        <v>4</v>
      </c>
      <c r="N63" s="1463">
        <f t="shared" si="34"/>
        <v>1</v>
      </c>
      <c r="O63" s="1463">
        <f t="shared" si="34"/>
        <v>5</v>
      </c>
      <c r="P63" s="1465">
        <f t="shared" ref="P63:P68" si="35">IF(O63&gt;0,M63/O63,"-")</f>
        <v>0.8</v>
      </c>
      <c r="Q63" s="1464">
        <f t="shared" si="34"/>
        <v>3</v>
      </c>
      <c r="R63" s="1464">
        <f t="shared" si="34"/>
        <v>1</v>
      </c>
      <c r="S63" s="1464">
        <f t="shared" si="34"/>
        <v>4</v>
      </c>
      <c r="T63" s="1465">
        <f t="shared" ref="T63:T68" si="36">IF(S63&gt;0,Q63/S63,"-")</f>
        <v>0.75</v>
      </c>
      <c r="U63" s="1464">
        <f t="shared" si="34"/>
        <v>3</v>
      </c>
      <c r="V63" s="1464">
        <f t="shared" si="34"/>
        <v>1</v>
      </c>
      <c r="W63" s="1464">
        <f t="shared" si="34"/>
        <v>4</v>
      </c>
      <c r="X63" s="1465">
        <f t="shared" ref="X63:X67" si="37">IF(W63&gt;0,U63/W63,"-")</f>
        <v>0.75</v>
      </c>
      <c r="Y63" s="1464">
        <f t="shared" si="34"/>
        <v>0</v>
      </c>
      <c r="Z63" s="1464">
        <f t="shared" si="34"/>
        <v>0</v>
      </c>
      <c r="AA63" s="1464">
        <f t="shared" si="34"/>
        <v>0</v>
      </c>
      <c r="AB63" s="1465" t="str">
        <f t="shared" ref="AB63:AB67" si="38">IF(AA63&gt;0,Y63/AA63,"-")</f>
        <v>-</v>
      </c>
      <c r="AC63" s="71"/>
      <c r="AD63" s="72"/>
      <c r="AE63" s="71"/>
      <c r="AF63" s="71"/>
      <c r="AG63" s="71"/>
      <c r="AH63" s="71"/>
      <c r="AI63" s="71"/>
      <c r="AJ63" s="71"/>
      <c r="AK63" s="71"/>
      <c r="AL63" s="71"/>
      <c r="AM63" s="71"/>
      <c r="AN63" s="71"/>
      <c r="AO63" s="71"/>
      <c r="AP63" s="71"/>
      <c r="AQ63" s="71"/>
    </row>
    <row r="64" spans="1:43" ht="15" x14ac:dyDescent="0.25">
      <c r="A64" s="46"/>
      <c r="B64" s="1473" t="s">
        <v>944</v>
      </c>
      <c r="C64" s="1388"/>
      <c r="D64" s="1388"/>
      <c r="E64" s="1388"/>
      <c r="F64" s="1388"/>
      <c r="G64" s="1388"/>
      <c r="H64" s="1467">
        <v>529</v>
      </c>
      <c r="I64" s="1467">
        <v>1011</v>
      </c>
      <c r="J64" s="1467">
        <v>18</v>
      </c>
      <c r="K64" s="1467">
        <v>1558</v>
      </c>
      <c r="L64" s="1465">
        <f t="shared" si="33"/>
        <v>0.33953786906290118</v>
      </c>
      <c r="M64" s="1467">
        <v>659</v>
      </c>
      <c r="N64" s="1467">
        <v>1284</v>
      </c>
      <c r="O64" s="1467">
        <f t="shared" si="28"/>
        <v>1943</v>
      </c>
      <c r="P64" s="1465">
        <f t="shared" si="35"/>
        <v>0.33916623777663407</v>
      </c>
      <c r="Q64" s="1468">
        <v>640</v>
      </c>
      <c r="R64" s="1468">
        <v>1388</v>
      </c>
      <c r="S64" s="1468">
        <f>Q64+R64</f>
        <v>2028</v>
      </c>
      <c r="T64" s="1465">
        <f t="shared" si="36"/>
        <v>0.31558185404339251</v>
      </c>
      <c r="U64" s="1468">
        <v>719</v>
      </c>
      <c r="V64" s="1468">
        <v>1509</v>
      </c>
      <c r="W64" s="1468">
        <f>U64+V64</f>
        <v>2228</v>
      </c>
      <c r="X64" s="1465">
        <f t="shared" si="37"/>
        <v>0.3227109515260323</v>
      </c>
      <c r="Y64" s="1468">
        <v>730</v>
      </c>
      <c r="Z64" s="1468">
        <v>1608</v>
      </c>
      <c r="AA64" s="1468">
        <f>Y64+Z64</f>
        <v>2338</v>
      </c>
      <c r="AB64" s="1465">
        <f t="shared" si="38"/>
        <v>0.31223267750213857</v>
      </c>
      <c r="AC64" s="9"/>
      <c r="AD64" s="61"/>
    </row>
    <row r="65" spans="1:43" ht="15" x14ac:dyDescent="0.25">
      <c r="A65" s="939"/>
      <c r="B65" s="1473" t="s">
        <v>948</v>
      </c>
      <c r="C65" s="1388"/>
      <c r="D65" s="1388"/>
      <c r="E65" s="1388"/>
      <c r="F65" s="1388"/>
      <c r="G65" s="1388"/>
      <c r="H65" s="1467">
        <v>1562</v>
      </c>
      <c r="I65" s="1467">
        <v>3731</v>
      </c>
      <c r="J65" s="1467">
        <v>22</v>
      </c>
      <c r="K65" s="1467">
        <v>5315</v>
      </c>
      <c r="L65" s="1465">
        <f t="shared" si="33"/>
        <v>0.29388523047977422</v>
      </c>
      <c r="M65" s="1467">
        <v>1855</v>
      </c>
      <c r="N65" s="1467">
        <v>4090</v>
      </c>
      <c r="O65" s="1467">
        <f t="shared" si="28"/>
        <v>5945</v>
      </c>
      <c r="P65" s="1465">
        <f t="shared" si="35"/>
        <v>0.31202691337258198</v>
      </c>
      <c r="Q65" s="1858">
        <v>1971</v>
      </c>
      <c r="R65" s="1858">
        <v>4463</v>
      </c>
      <c r="S65" s="1858">
        <f>Q65+R65</f>
        <v>6434</v>
      </c>
      <c r="T65" s="1465">
        <f>IF(S65&gt;0,Q65/S65,"-")</f>
        <v>0.30634131178116258</v>
      </c>
      <c r="U65" s="1858">
        <v>2477</v>
      </c>
      <c r="V65" s="1858">
        <v>6050</v>
      </c>
      <c r="W65" s="1858">
        <f>U65+V65</f>
        <v>8527</v>
      </c>
      <c r="X65" s="1465">
        <f t="shared" si="37"/>
        <v>0.29048903483053828</v>
      </c>
      <c r="Y65" s="1858">
        <v>2331</v>
      </c>
      <c r="Z65" s="1858">
        <v>5927</v>
      </c>
      <c r="AA65" s="1858">
        <f>Y65+Z65</f>
        <v>8258</v>
      </c>
      <c r="AB65" s="1465">
        <f t="shared" si="38"/>
        <v>0.28227173649794141</v>
      </c>
      <c r="AC65" s="9"/>
      <c r="AD65" s="61"/>
    </row>
    <row r="66" spans="1:43" ht="15" x14ac:dyDescent="0.25">
      <c r="A66" s="939"/>
      <c r="B66" s="1473" t="s">
        <v>949</v>
      </c>
      <c r="C66" s="1388"/>
      <c r="D66" s="1388"/>
      <c r="E66" s="1388"/>
      <c r="F66" s="1388"/>
      <c r="G66" s="1388"/>
      <c r="H66" s="1467">
        <v>681</v>
      </c>
      <c r="I66" s="1467">
        <v>2082</v>
      </c>
      <c r="J66" s="1467">
        <v>2</v>
      </c>
      <c r="K66" s="1467">
        <v>2765</v>
      </c>
      <c r="L66" s="1465">
        <f t="shared" si="33"/>
        <v>0.24629294755877035</v>
      </c>
      <c r="M66" s="1467">
        <v>917</v>
      </c>
      <c r="N66" s="1467">
        <v>2272</v>
      </c>
      <c r="O66" s="1467">
        <f t="shared" si="28"/>
        <v>3189</v>
      </c>
      <c r="P66" s="1465">
        <f t="shared" si="35"/>
        <v>0.28755095641266853</v>
      </c>
      <c r="Q66" s="1858">
        <v>962</v>
      </c>
      <c r="R66" s="1858">
        <v>2456</v>
      </c>
      <c r="S66" s="1858">
        <f>Q66+R66</f>
        <v>3418</v>
      </c>
      <c r="T66" s="1465">
        <f t="shared" si="36"/>
        <v>0.28145114101813928</v>
      </c>
      <c r="U66" s="1858"/>
      <c r="V66" s="1858"/>
      <c r="W66" s="1858"/>
      <c r="X66" s="1465" t="str">
        <f t="shared" si="37"/>
        <v>-</v>
      </c>
      <c r="Y66" s="1858"/>
      <c r="Z66" s="1858"/>
      <c r="AA66" s="1858"/>
      <c r="AB66" s="1465" t="str">
        <f t="shared" si="38"/>
        <v>-</v>
      </c>
      <c r="AC66" s="9"/>
      <c r="AD66" s="61"/>
    </row>
    <row r="67" spans="1:43" s="947" customFormat="1" ht="15" x14ac:dyDescent="0.25">
      <c r="A67" s="939"/>
      <c r="B67" s="1473" t="s">
        <v>950</v>
      </c>
      <c r="C67" s="1388"/>
      <c r="D67" s="1388"/>
      <c r="E67" s="1388"/>
      <c r="F67" s="1388"/>
      <c r="G67" s="1388"/>
      <c r="H67" s="1467">
        <v>77</v>
      </c>
      <c r="I67" s="1467">
        <v>405</v>
      </c>
      <c r="J67" s="1467">
        <v>0</v>
      </c>
      <c r="K67" s="1467">
        <v>482</v>
      </c>
      <c r="L67" s="1465">
        <f t="shared" si="33"/>
        <v>0.15975103734439833</v>
      </c>
      <c r="M67" s="1467">
        <v>118</v>
      </c>
      <c r="N67" s="1467">
        <v>415</v>
      </c>
      <c r="O67" s="1467">
        <f t="shared" si="28"/>
        <v>533</v>
      </c>
      <c r="P67" s="1465">
        <f t="shared" si="35"/>
        <v>0.22138836772983114</v>
      </c>
      <c r="Q67" s="1468">
        <v>123</v>
      </c>
      <c r="R67" s="1468">
        <v>434</v>
      </c>
      <c r="S67" s="1468">
        <f>Q67+R67</f>
        <v>557</v>
      </c>
      <c r="T67" s="1465">
        <f t="shared" si="36"/>
        <v>0.22082585278276481</v>
      </c>
      <c r="U67" s="1468">
        <v>703</v>
      </c>
      <c r="V67" s="1468">
        <v>1972</v>
      </c>
      <c r="W67" s="1468">
        <f>U67+V67</f>
        <v>2675</v>
      </c>
      <c r="X67" s="1465">
        <f t="shared" si="37"/>
        <v>0.262803738317757</v>
      </c>
      <c r="Y67" s="1468">
        <v>722</v>
      </c>
      <c r="Z67" s="1468">
        <v>2322</v>
      </c>
      <c r="AA67" s="1468">
        <f>Y67+Z67</f>
        <v>3044</v>
      </c>
      <c r="AB67" s="1465">
        <f t="shared" si="38"/>
        <v>0.23718791064388961</v>
      </c>
      <c r="AC67" s="9"/>
      <c r="AD67" s="61"/>
      <c r="AE67" s="2"/>
      <c r="AF67" s="2"/>
      <c r="AG67" s="2"/>
      <c r="AH67" s="2"/>
      <c r="AI67" s="2"/>
      <c r="AJ67" s="2"/>
      <c r="AK67" s="2"/>
      <c r="AL67" s="2"/>
      <c r="AM67" s="2"/>
      <c r="AN67" s="2"/>
      <c r="AO67" s="2"/>
      <c r="AP67" s="2"/>
      <c r="AQ67" s="2"/>
    </row>
    <row r="68" spans="1:43" ht="15" x14ac:dyDescent="0.25">
      <c r="A68" s="939"/>
      <c r="B68" s="1473" t="s">
        <v>947</v>
      </c>
      <c r="C68" s="1387"/>
      <c r="D68" s="1387"/>
      <c r="E68" s="1387"/>
      <c r="F68" s="1387"/>
      <c r="G68" s="1387"/>
      <c r="H68" s="1467"/>
      <c r="I68" s="1467"/>
      <c r="J68" s="1467">
        <v>38</v>
      </c>
      <c r="K68" s="1467">
        <v>38</v>
      </c>
      <c r="L68" s="1465">
        <f t="shared" si="33"/>
        <v>0</v>
      </c>
      <c r="M68" s="1467"/>
      <c r="N68" s="1467"/>
      <c r="O68" s="1467">
        <v>75</v>
      </c>
      <c r="P68" s="1465">
        <f t="shared" si="35"/>
        <v>0</v>
      </c>
      <c r="Q68" s="1468"/>
      <c r="R68" s="1468"/>
      <c r="S68" s="1468">
        <v>201</v>
      </c>
      <c r="T68" s="1465">
        <f t="shared" si="36"/>
        <v>0</v>
      </c>
      <c r="U68" s="1388"/>
      <c r="V68" s="1388"/>
      <c r="W68" s="1388"/>
      <c r="X68" s="1388"/>
      <c r="Y68" s="1388"/>
      <c r="Z68" s="1388"/>
      <c r="AA68" s="1388"/>
      <c r="AB68" s="1388"/>
      <c r="AC68" s="9"/>
      <c r="AD68" s="61"/>
    </row>
    <row r="69" spans="1:43" ht="15" x14ac:dyDescent="0.25">
      <c r="A69" s="939"/>
      <c r="B69" s="959"/>
      <c r="C69" s="959"/>
      <c r="D69" s="960"/>
      <c r="E69" s="961"/>
      <c r="F69" s="961"/>
      <c r="G69" s="962"/>
      <c r="H69" s="961"/>
      <c r="I69" s="961"/>
      <c r="J69" s="962"/>
      <c r="K69" s="961"/>
      <c r="L69" s="961"/>
      <c r="M69" s="962"/>
      <c r="N69" s="961"/>
      <c r="O69" s="961"/>
      <c r="P69" s="961"/>
      <c r="Q69" s="961"/>
      <c r="R69" s="961"/>
    </row>
    <row r="70" spans="1:43" ht="17.5" x14ac:dyDescent="0.25">
      <c r="A70" s="46"/>
      <c r="B70" s="1379" t="s">
        <v>951</v>
      </c>
      <c r="C70" s="1847" t="s">
        <v>459</v>
      </c>
      <c r="D70" s="1847"/>
      <c r="E70" s="1015"/>
      <c r="F70" s="1015"/>
      <c r="G70" s="962"/>
      <c r="H70" s="962"/>
      <c r="I70" s="962"/>
      <c r="J70" s="962"/>
      <c r="K70" s="962"/>
      <c r="L70" s="962"/>
      <c r="M70" s="961"/>
      <c r="N70" s="961"/>
      <c r="O70" s="962"/>
      <c r="P70" s="961"/>
      <c r="Q70" s="961"/>
      <c r="R70" s="961"/>
      <c r="S70" s="961"/>
      <c r="T70" s="961"/>
    </row>
    <row r="71" spans="1:43" ht="15" x14ac:dyDescent="0.25">
      <c r="A71" s="939"/>
      <c r="B71" s="1474"/>
      <c r="C71" s="1475" t="s">
        <v>952</v>
      </c>
      <c r="D71" s="1475" t="s">
        <v>953</v>
      </c>
      <c r="E71" s="1015"/>
      <c r="F71" s="1015"/>
      <c r="G71" s="962"/>
      <c r="H71" s="962"/>
      <c r="I71" s="962"/>
      <c r="J71" s="962"/>
      <c r="K71" s="962"/>
      <c r="L71" s="962"/>
      <c r="M71" s="961"/>
      <c r="N71" s="961"/>
      <c r="O71" s="962"/>
      <c r="P71" s="961"/>
      <c r="Q71" s="961"/>
      <c r="R71" s="961"/>
      <c r="S71" s="961"/>
      <c r="T71" s="961"/>
    </row>
    <row r="72" spans="1:43" ht="15" x14ac:dyDescent="0.25">
      <c r="A72" s="939"/>
      <c r="B72" s="1476" t="s">
        <v>954</v>
      </c>
      <c r="C72" s="1477">
        <v>2692</v>
      </c>
      <c r="D72" s="1478">
        <f>C72/$C78</f>
        <v>0.28363712991254875</v>
      </c>
      <c r="E72" s="1015"/>
      <c r="F72" s="1015"/>
      <c r="G72" s="962"/>
      <c r="H72" s="962"/>
      <c r="I72" s="962"/>
      <c r="J72" s="962"/>
      <c r="K72" s="962"/>
      <c r="L72" s="962"/>
      <c r="M72" s="961"/>
      <c r="N72" s="961"/>
      <c r="O72" s="962"/>
      <c r="P72" s="961"/>
      <c r="Q72" s="961"/>
      <c r="R72" s="961"/>
      <c r="S72" s="961"/>
      <c r="T72" s="961"/>
    </row>
    <row r="73" spans="1:43" ht="15" x14ac:dyDescent="0.25">
      <c r="A73" s="939"/>
      <c r="B73" s="1476" t="s">
        <v>955</v>
      </c>
      <c r="C73" s="1479">
        <v>79</v>
      </c>
      <c r="D73" s="1478">
        <f>C73/C78</f>
        <v>8.3236750605837108E-3</v>
      </c>
      <c r="E73" s="1015"/>
      <c r="F73" s="1015"/>
      <c r="G73" s="962"/>
      <c r="H73" s="962"/>
      <c r="I73" s="962"/>
      <c r="J73" s="962"/>
      <c r="K73" s="962"/>
      <c r="L73" s="962"/>
      <c r="M73" s="961"/>
      <c r="N73" s="961"/>
      <c r="O73" s="962"/>
      <c r="P73" s="961"/>
      <c r="Q73" s="961"/>
      <c r="R73" s="961"/>
      <c r="S73" s="961"/>
      <c r="T73" s="961"/>
    </row>
    <row r="74" spans="1:43" ht="15" x14ac:dyDescent="0.25">
      <c r="A74" s="939"/>
      <c r="B74" s="1476" t="s">
        <v>956</v>
      </c>
      <c r="C74" s="1477">
        <v>1273</v>
      </c>
      <c r="D74" s="1478">
        <f>C74/C78</f>
        <v>0.13412706774839322</v>
      </c>
      <c r="E74" s="1016"/>
      <c r="F74" s="1016"/>
      <c r="G74" s="963"/>
      <c r="H74" s="963"/>
      <c r="I74" s="963"/>
      <c r="J74" s="963"/>
      <c r="K74" s="963"/>
      <c r="L74" s="963"/>
      <c r="M74" s="961"/>
      <c r="N74" s="961"/>
      <c r="O74" s="962"/>
      <c r="P74" s="961"/>
      <c r="Q74" s="961"/>
      <c r="R74" s="961"/>
      <c r="S74" s="961"/>
      <c r="T74" s="961"/>
    </row>
    <row r="75" spans="1:43" ht="15" x14ac:dyDescent="0.25">
      <c r="A75" s="939"/>
      <c r="B75" s="1476" t="s">
        <v>957</v>
      </c>
      <c r="C75" s="1479">
        <v>275</v>
      </c>
      <c r="D75" s="1478">
        <f>C75/C78</f>
        <v>2.897481824886735E-2</v>
      </c>
      <c r="E75" s="1015"/>
      <c r="F75" s="1015"/>
      <c r="G75" s="962"/>
      <c r="H75" s="962"/>
      <c r="I75" s="962"/>
      <c r="J75" s="962"/>
      <c r="K75" s="962"/>
      <c r="L75" s="962"/>
      <c r="M75" s="961"/>
      <c r="N75" s="961"/>
      <c r="O75" s="962"/>
      <c r="P75" s="961"/>
      <c r="Q75" s="961"/>
      <c r="R75" s="961"/>
      <c r="S75" s="961"/>
      <c r="T75" s="961"/>
    </row>
    <row r="76" spans="1:43" ht="15" x14ac:dyDescent="0.25">
      <c r="A76" s="939"/>
      <c r="B76" s="1200" t="s">
        <v>958</v>
      </c>
      <c r="C76" s="1479">
        <v>220</v>
      </c>
      <c r="D76" s="1478">
        <f>C76/C78</f>
        <v>2.3179854599093878E-2</v>
      </c>
      <c r="E76" s="1015"/>
      <c r="F76" s="1015"/>
      <c r="G76" s="962"/>
      <c r="H76" s="962"/>
      <c r="I76" s="962"/>
      <c r="J76" s="962"/>
      <c r="K76" s="962"/>
      <c r="L76" s="962"/>
      <c r="M76" s="961"/>
      <c r="N76" s="961"/>
      <c r="O76" s="962"/>
      <c r="P76" s="961"/>
      <c r="Q76" s="961"/>
      <c r="R76" s="961"/>
      <c r="S76" s="961"/>
      <c r="T76" s="961"/>
    </row>
    <row r="77" spans="1:43" ht="15" x14ac:dyDescent="0.25">
      <c r="A77" s="939"/>
      <c r="B77" s="1471" t="s">
        <v>959</v>
      </c>
      <c r="C77" s="1480">
        <v>4952</v>
      </c>
      <c r="D77" s="1478">
        <f>C77/C78</f>
        <v>0.52175745443051313</v>
      </c>
      <c r="E77" s="1015"/>
      <c r="F77" s="1015"/>
      <c r="G77" s="962"/>
      <c r="H77" s="962"/>
      <c r="I77" s="962"/>
      <c r="J77" s="962"/>
      <c r="K77" s="962"/>
      <c r="L77" s="962"/>
      <c r="M77" s="961"/>
      <c r="N77" s="961"/>
      <c r="O77" s="962"/>
      <c r="P77" s="961"/>
      <c r="Q77" s="961"/>
      <c r="R77" s="961"/>
      <c r="S77" s="961"/>
      <c r="T77" s="961"/>
    </row>
    <row r="78" spans="1:43" ht="15" x14ac:dyDescent="0.3">
      <c r="A78" s="939"/>
      <c r="B78" s="1462" t="s">
        <v>757</v>
      </c>
      <c r="C78" s="1481">
        <v>9491</v>
      </c>
      <c r="D78" s="1482">
        <v>1</v>
      </c>
      <c r="E78" s="1015"/>
      <c r="F78" s="1015"/>
      <c r="G78" s="962"/>
      <c r="H78" s="962"/>
      <c r="I78" s="962"/>
      <c r="J78" s="962"/>
      <c r="K78" s="962"/>
      <c r="L78" s="962"/>
      <c r="M78" s="961"/>
      <c r="N78" s="961"/>
      <c r="O78" s="962"/>
      <c r="P78" s="961"/>
      <c r="Q78" s="961"/>
      <c r="R78" s="961"/>
      <c r="S78" s="961"/>
      <c r="T78" s="961"/>
    </row>
    <row r="79" spans="1:43" ht="15" x14ac:dyDescent="0.25">
      <c r="A79" s="939"/>
      <c r="B79" s="1013"/>
      <c r="C79" s="962"/>
      <c r="D79" s="962"/>
      <c r="E79" s="962"/>
      <c r="F79" s="962"/>
      <c r="G79" s="962"/>
      <c r="H79" s="962"/>
      <c r="I79" s="962"/>
      <c r="J79" s="962"/>
      <c r="K79" s="962"/>
      <c r="L79" s="962"/>
      <c r="M79" s="961"/>
      <c r="N79" s="961"/>
      <c r="O79" s="962"/>
      <c r="P79" s="961"/>
      <c r="Q79" s="961"/>
      <c r="R79" s="961"/>
      <c r="S79" s="961"/>
      <c r="T79" s="961"/>
    </row>
    <row r="80" spans="1:43" ht="17.5" x14ac:dyDescent="0.25">
      <c r="A80" s="46"/>
      <c r="B80" s="1379" t="s">
        <v>960</v>
      </c>
      <c r="C80" s="1847" t="s">
        <v>459</v>
      </c>
      <c r="D80" s="1847"/>
      <c r="E80" s="1848" t="s">
        <v>460</v>
      </c>
      <c r="F80" s="1848"/>
      <c r="G80" s="962"/>
      <c r="H80" s="962"/>
      <c r="I80" s="962"/>
      <c r="J80" s="962"/>
      <c r="K80" s="962"/>
      <c r="L80" s="962"/>
      <c r="M80" s="961"/>
      <c r="N80" s="961"/>
      <c r="O80" s="962"/>
      <c r="P80" s="961"/>
      <c r="Q80" s="961"/>
      <c r="R80" s="961"/>
      <c r="S80" s="961"/>
      <c r="T80" s="961"/>
    </row>
    <row r="81" spans="1:20" ht="15" x14ac:dyDescent="0.25">
      <c r="A81" s="939"/>
      <c r="B81" s="1474"/>
      <c r="C81" s="1475" t="s">
        <v>952</v>
      </c>
      <c r="D81" s="1475" t="s">
        <v>953</v>
      </c>
      <c r="E81" s="1483" t="s">
        <v>952</v>
      </c>
      <c r="F81" s="1483" t="s">
        <v>953</v>
      </c>
      <c r="G81" s="962"/>
      <c r="H81" s="962"/>
      <c r="I81" s="962"/>
      <c r="J81" s="962"/>
      <c r="K81" s="962"/>
      <c r="L81" s="962"/>
      <c r="M81" s="961"/>
      <c r="N81" s="961"/>
      <c r="O81" s="962"/>
      <c r="P81" s="961"/>
      <c r="Q81" s="961"/>
      <c r="R81" s="961"/>
      <c r="S81" s="961"/>
      <c r="T81" s="961"/>
    </row>
    <row r="82" spans="1:20" ht="15" x14ac:dyDescent="0.3">
      <c r="A82" s="939"/>
      <c r="B82" s="1476" t="s">
        <v>954</v>
      </c>
      <c r="C82" s="1477">
        <v>45</v>
      </c>
      <c r="D82" s="1484">
        <f>C82/$C88</f>
        <v>0.61643835616438358</v>
      </c>
      <c r="E82" s="1485">
        <v>46</v>
      </c>
      <c r="F82" s="1482">
        <v>0.6</v>
      </c>
      <c r="G82" s="962"/>
      <c r="H82" s="962"/>
      <c r="I82" s="962"/>
      <c r="J82" s="962"/>
      <c r="K82" s="962"/>
      <c r="L82" s="962"/>
      <c r="M82" s="961"/>
      <c r="N82" s="961"/>
      <c r="O82" s="962"/>
      <c r="P82" s="961"/>
      <c r="Q82" s="961"/>
      <c r="R82" s="961"/>
      <c r="S82" s="961"/>
      <c r="T82" s="961"/>
    </row>
    <row r="83" spans="1:20" ht="15" x14ac:dyDescent="0.3">
      <c r="A83" s="939"/>
      <c r="B83" s="1476" t="s">
        <v>955</v>
      </c>
      <c r="C83" s="1479">
        <v>2</v>
      </c>
      <c r="D83" s="1484">
        <f>C83/C88</f>
        <v>2.7397260273972601E-2</v>
      </c>
      <c r="E83" s="1485">
        <v>1</v>
      </c>
      <c r="F83" s="1482">
        <v>0.01</v>
      </c>
      <c r="G83" s="962"/>
      <c r="H83" s="962"/>
      <c r="I83" s="962"/>
      <c r="J83" s="962"/>
      <c r="K83" s="962"/>
      <c r="L83" s="962"/>
      <c r="M83" s="961"/>
      <c r="N83" s="961"/>
      <c r="O83" s="962"/>
      <c r="P83" s="961"/>
      <c r="Q83" s="961"/>
      <c r="R83" s="961"/>
      <c r="S83" s="961"/>
      <c r="T83" s="961"/>
    </row>
    <row r="84" spans="1:20" ht="15" x14ac:dyDescent="0.3">
      <c r="A84" s="939"/>
      <c r="B84" s="1476" t="s">
        <v>956</v>
      </c>
      <c r="C84" s="1477">
        <v>8</v>
      </c>
      <c r="D84" s="1484">
        <f>C84/C88</f>
        <v>0.1095890410958904</v>
      </c>
      <c r="E84" s="1485">
        <v>9</v>
      </c>
      <c r="F84" s="1482">
        <v>0.12</v>
      </c>
      <c r="G84" s="962"/>
      <c r="H84" s="962"/>
      <c r="J84" s="962"/>
      <c r="K84" s="962"/>
      <c r="L84" s="962"/>
      <c r="M84" s="961"/>
      <c r="N84" s="961"/>
      <c r="O84" s="962"/>
      <c r="P84" s="961"/>
      <c r="Q84" s="961"/>
      <c r="R84" s="961"/>
      <c r="S84" s="961"/>
      <c r="T84" s="961"/>
    </row>
    <row r="85" spans="1:20" ht="15" x14ac:dyDescent="0.3">
      <c r="A85" s="939"/>
      <c r="B85" s="1476" t="s">
        <v>957</v>
      </c>
      <c r="C85" s="1479">
        <v>0</v>
      </c>
      <c r="D85" s="1484">
        <f>C85/C88</f>
        <v>0</v>
      </c>
      <c r="E85" s="1485">
        <v>0</v>
      </c>
      <c r="F85" s="1482">
        <v>0</v>
      </c>
      <c r="G85" s="962"/>
      <c r="H85" s="962"/>
      <c r="I85" s="962"/>
      <c r="J85" s="962"/>
      <c r="K85" s="962"/>
      <c r="L85" s="962"/>
      <c r="M85" s="961"/>
      <c r="N85" s="961"/>
      <c r="O85" s="962"/>
      <c r="P85" s="961"/>
      <c r="Q85" s="961"/>
      <c r="R85" s="961"/>
      <c r="S85" s="961"/>
      <c r="T85" s="961"/>
    </row>
    <row r="86" spans="1:20" ht="15" x14ac:dyDescent="0.3">
      <c r="A86" s="939"/>
      <c r="B86" s="1200" t="s">
        <v>958</v>
      </c>
      <c r="C86" s="1479">
        <v>0</v>
      </c>
      <c r="D86" s="1484">
        <f>C86/C88</f>
        <v>0</v>
      </c>
      <c r="E86" s="1485">
        <v>0</v>
      </c>
      <c r="F86" s="1482">
        <v>0</v>
      </c>
      <c r="G86" s="962"/>
      <c r="H86" s="962"/>
      <c r="I86" s="962"/>
      <c r="J86" s="962"/>
      <c r="K86" s="962"/>
      <c r="L86" s="962"/>
      <c r="M86" s="961"/>
      <c r="N86" s="961"/>
      <c r="O86" s="962"/>
      <c r="P86" s="961"/>
      <c r="Q86" s="961"/>
      <c r="R86" s="961"/>
      <c r="S86" s="961"/>
      <c r="T86" s="961"/>
    </row>
    <row r="87" spans="1:20" ht="15" x14ac:dyDescent="0.3">
      <c r="A87" s="939"/>
      <c r="B87" s="1471" t="s">
        <v>959</v>
      </c>
      <c r="C87" s="1479">
        <v>18</v>
      </c>
      <c r="D87" s="1484">
        <f>C87/C88</f>
        <v>0.24657534246575341</v>
      </c>
      <c r="E87" s="1485">
        <v>21</v>
      </c>
      <c r="F87" s="1482">
        <v>0.27</v>
      </c>
      <c r="G87" s="962"/>
      <c r="H87" s="962"/>
      <c r="I87" s="962"/>
      <c r="J87" s="962"/>
      <c r="K87" s="962"/>
      <c r="L87" s="962"/>
      <c r="M87" s="961"/>
      <c r="N87" s="961"/>
      <c r="O87" s="962"/>
      <c r="P87" s="961"/>
      <c r="Q87" s="961"/>
      <c r="R87" s="961"/>
      <c r="S87" s="961"/>
      <c r="T87" s="961"/>
    </row>
    <row r="88" spans="1:20" ht="15" x14ac:dyDescent="0.3">
      <c r="A88" s="939"/>
      <c r="B88" s="1462" t="s">
        <v>757</v>
      </c>
      <c r="C88" s="1481">
        <f>SUM(C82:C87)</f>
        <v>73</v>
      </c>
      <c r="D88" s="1482">
        <v>1</v>
      </c>
      <c r="E88" s="1485">
        <v>77</v>
      </c>
      <c r="F88" s="1482">
        <v>1</v>
      </c>
      <c r="G88" s="962"/>
      <c r="H88" s="962"/>
      <c r="I88" s="1046"/>
      <c r="J88" s="962"/>
      <c r="K88" s="962"/>
      <c r="L88" s="962"/>
      <c r="M88" s="961"/>
      <c r="N88" s="961"/>
      <c r="O88" s="962"/>
      <c r="P88" s="961"/>
      <c r="Q88" s="961"/>
      <c r="R88" s="961"/>
      <c r="S88" s="961"/>
      <c r="T88" s="961"/>
    </row>
    <row r="89" spans="1:20" ht="15" x14ac:dyDescent="0.25">
      <c r="A89" s="939"/>
      <c r="B89" s="1013"/>
      <c r="C89" s="1046"/>
      <c r="D89" s="962"/>
      <c r="E89" s="962"/>
      <c r="F89" s="962"/>
      <c r="G89" s="962"/>
      <c r="H89" s="962"/>
      <c r="I89" s="962"/>
      <c r="J89" s="962"/>
      <c r="K89" s="962"/>
      <c r="L89" s="962"/>
      <c r="M89" s="961"/>
      <c r="N89" s="961"/>
      <c r="O89" s="962"/>
      <c r="P89" s="961"/>
      <c r="Q89" s="961"/>
      <c r="R89" s="961"/>
      <c r="S89" s="961"/>
      <c r="T89" s="961"/>
    </row>
    <row r="90" spans="1:20" ht="17.5" x14ac:dyDescent="0.25">
      <c r="A90" s="939"/>
      <c r="B90" s="1379" t="s">
        <v>961</v>
      </c>
      <c r="C90" s="1847" t="s">
        <v>459</v>
      </c>
      <c r="D90" s="1847"/>
      <c r="E90" s="1848" t="s">
        <v>460</v>
      </c>
      <c r="F90" s="1848"/>
      <c r="G90" s="1848" t="s">
        <v>461</v>
      </c>
      <c r="H90" s="1848"/>
      <c r="I90" s="1848" t="s">
        <v>462</v>
      </c>
      <c r="J90" s="1848"/>
      <c r="K90" s="1848" t="s">
        <v>463</v>
      </c>
      <c r="L90" s="1848"/>
      <c r="M90" s="962"/>
      <c r="N90" s="962"/>
      <c r="O90" s="962"/>
      <c r="P90" s="962"/>
      <c r="Q90" s="964"/>
      <c r="R90" s="9"/>
      <c r="S90" s="61"/>
    </row>
    <row r="91" spans="1:20" ht="15" hidden="1" x14ac:dyDescent="0.25">
      <c r="B91" s="1474" t="s">
        <v>962</v>
      </c>
      <c r="C91" s="1474"/>
      <c r="D91" s="1474"/>
      <c r="E91" s="1474"/>
      <c r="F91" s="1474"/>
      <c r="G91" s="1475" t="s">
        <v>952</v>
      </c>
      <c r="H91" s="1475" t="s">
        <v>953</v>
      </c>
      <c r="I91" s="1475" t="s">
        <v>952</v>
      </c>
      <c r="J91" s="1475" t="s">
        <v>953</v>
      </c>
      <c r="K91" s="1475" t="s">
        <v>952</v>
      </c>
      <c r="L91" s="1475" t="s">
        <v>953</v>
      </c>
      <c r="Q91" s="9"/>
    </row>
    <row r="92" spans="1:20" ht="15" x14ac:dyDescent="0.25">
      <c r="B92" s="1474"/>
      <c r="C92" s="1475" t="s">
        <v>952</v>
      </c>
      <c r="D92" s="1475" t="s">
        <v>953</v>
      </c>
      <c r="E92" s="1475" t="s">
        <v>952</v>
      </c>
      <c r="F92" s="1475" t="s">
        <v>953</v>
      </c>
      <c r="G92" s="1475" t="s">
        <v>952</v>
      </c>
      <c r="H92" s="1475" t="s">
        <v>953</v>
      </c>
      <c r="I92" s="1475" t="s">
        <v>952</v>
      </c>
      <c r="J92" s="1475" t="s">
        <v>953</v>
      </c>
      <c r="K92" s="1475" t="s">
        <v>952</v>
      </c>
      <c r="L92" s="1475" t="s">
        <v>953</v>
      </c>
      <c r="Q92" s="9"/>
    </row>
    <row r="93" spans="1:20" ht="15" x14ac:dyDescent="0.25">
      <c r="A93" s="939"/>
      <c r="B93" s="1471" t="s">
        <v>963</v>
      </c>
      <c r="C93" s="1480">
        <v>1</v>
      </c>
      <c r="D93" s="1484">
        <f>C93/$C$96</f>
        <v>0.1</v>
      </c>
      <c r="E93" s="1467">
        <v>1</v>
      </c>
      <c r="F93" s="1486">
        <f>E93/$E$96</f>
        <v>0.1111111111111111</v>
      </c>
      <c r="G93" s="1467">
        <v>1</v>
      </c>
      <c r="H93" s="1486">
        <f>G93/$G$96</f>
        <v>0.1111111111111111</v>
      </c>
      <c r="I93" s="1468">
        <v>1</v>
      </c>
      <c r="J93" s="1486">
        <f>I93/$I$96</f>
        <v>0.1111111111111111</v>
      </c>
      <c r="K93" s="1468">
        <v>1</v>
      </c>
      <c r="L93" s="1486">
        <f t="shared" ref="L93:L94" si="39">K93/$K$96</f>
        <v>0.1111111111111111</v>
      </c>
      <c r="M93" s="962"/>
      <c r="N93" s="965"/>
      <c r="O93" s="962"/>
      <c r="P93" s="962"/>
      <c r="Q93" s="964"/>
      <c r="R93" s="9"/>
      <c r="S93" s="61"/>
    </row>
    <row r="94" spans="1:20" ht="15" x14ac:dyDescent="0.25">
      <c r="A94" s="939"/>
      <c r="B94" s="1471" t="s">
        <v>964</v>
      </c>
      <c r="C94" s="1480">
        <v>3</v>
      </c>
      <c r="D94" s="1484">
        <f>C94/$C$96</f>
        <v>0.3</v>
      </c>
      <c r="E94" s="1467">
        <v>2</v>
      </c>
      <c r="F94" s="1486">
        <f>E94/$E$96</f>
        <v>0.22222222222222221</v>
      </c>
      <c r="G94" s="1467">
        <v>2</v>
      </c>
      <c r="H94" s="1486">
        <f>G94/$G$96</f>
        <v>0.22222222222222221</v>
      </c>
      <c r="I94" s="1468">
        <v>2</v>
      </c>
      <c r="J94" s="1486">
        <f>I94/$I$96</f>
        <v>0.22222222222222221</v>
      </c>
      <c r="K94" s="1468">
        <v>2</v>
      </c>
      <c r="L94" s="1486">
        <f t="shared" si="39"/>
        <v>0.22222222222222221</v>
      </c>
      <c r="M94" s="962"/>
      <c r="N94" s="966"/>
      <c r="O94" s="962"/>
      <c r="P94" s="962"/>
      <c r="Q94" s="964"/>
      <c r="R94" s="9"/>
      <c r="S94" s="61"/>
    </row>
    <row r="95" spans="1:20" ht="15" x14ac:dyDescent="0.25">
      <c r="A95" s="939"/>
      <c r="B95" s="1471" t="s">
        <v>965</v>
      </c>
      <c r="C95" s="1480">
        <v>6</v>
      </c>
      <c r="D95" s="1484">
        <f>C95/$C$96</f>
        <v>0.6</v>
      </c>
      <c r="E95" s="1467">
        <v>6</v>
      </c>
      <c r="F95" s="1486">
        <f>E95/$E$96</f>
        <v>0.66666666666666663</v>
      </c>
      <c r="G95" s="1467">
        <v>6</v>
      </c>
      <c r="H95" s="1486">
        <f t="shared" ref="H95" si="40">G95/$G$96</f>
        <v>0.66666666666666663</v>
      </c>
      <c r="I95" s="1468">
        <v>6</v>
      </c>
      <c r="J95" s="1486">
        <f>I95/$I$96</f>
        <v>0.66666666666666663</v>
      </c>
      <c r="K95" s="1468">
        <v>6</v>
      </c>
      <c r="L95" s="1486">
        <f>K95/$K$96</f>
        <v>0.66666666666666663</v>
      </c>
      <c r="M95" s="962"/>
      <c r="N95" s="966"/>
      <c r="O95" s="962"/>
      <c r="P95" s="962"/>
      <c r="Q95" s="964"/>
      <c r="R95" s="9"/>
      <c r="S95" s="61"/>
    </row>
    <row r="96" spans="1:20" ht="15" x14ac:dyDescent="0.25">
      <c r="A96" s="939"/>
      <c r="B96" s="1487" t="s">
        <v>757</v>
      </c>
      <c r="C96" s="1480">
        <f>SUM(C93:C95)</f>
        <v>10</v>
      </c>
      <c r="D96" s="1484">
        <f>C96/$C$96</f>
        <v>1</v>
      </c>
      <c r="E96" s="1467">
        <f t="shared" ref="E96:K96" si="41">SUM(E93:E95)</f>
        <v>9</v>
      </c>
      <c r="F96" s="1486">
        <f>SUM(F93:F95)</f>
        <v>1</v>
      </c>
      <c r="G96" s="1467">
        <f t="shared" si="41"/>
        <v>9</v>
      </c>
      <c r="H96" s="1488">
        <f>SUM(H93:H95)</f>
        <v>1</v>
      </c>
      <c r="I96" s="1469">
        <f t="shared" si="41"/>
        <v>9</v>
      </c>
      <c r="J96" s="1486">
        <f>SUM(J93:J95)</f>
        <v>1</v>
      </c>
      <c r="K96" s="1469">
        <f t="shared" si="41"/>
        <v>9</v>
      </c>
      <c r="L96" s="1486">
        <f>SUM(L93:L95)</f>
        <v>1</v>
      </c>
      <c r="M96" s="962"/>
      <c r="N96" s="962"/>
      <c r="O96" s="962"/>
      <c r="P96" s="962"/>
      <c r="Q96" s="964"/>
      <c r="R96" s="9"/>
      <c r="S96" s="61"/>
    </row>
    <row r="97" spans="1:19" ht="15" x14ac:dyDescent="0.25">
      <c r="A97" s="939"/>
      <c r="B97" s="1474" t="s">
        <v>966</v>
      </c>
      <c r="C97" s="1475" t="s">
        <v>952</v>
      </c>
      <c r="D97" s="1475" t="s">
        <v>953</v>
      </c>
      <c r="E97" s="1475" t="s">
        <v>952</v>
      </c>
      <c r="F97" s="1475" t="s">
        <v>953</v>
      </c>
      <c r="G97" s="1475" t="s">
        <v>952</v>
      </c>
      <c r="H97" s="1475" t="s">
        <v>953</v>
      </c>
      <c r="I97" s="1475" t="s">
        <v>952</v>
      </c>
      <c r="J97" s="1475" t="s">
        <v>953</v>
      </c>
      <c r="K97" s="1475" t="s">
        <v>952</v>
      </c>
      <c r="L97" s="1475" t="s">
        <v>953</v>
      </c>
      <c r="M97" s="962"/>
      <c r="N97" s="962"/>
      <c r="O97" s="962"/>
      <c r="P97" s="962"/>
      <c r="Q97" s="964"/>
      <c r="R97" s="9"/>
      <c r="S97" s="61"/>
    </row>
    <row r="98" spans="1:19" ht="15" x14ac:dyDescent="0.25">
      <c r="A98" s="939"/>
      <c r="B98" s="1471" t="s">
        <v>967</v>
      </c>
      <c r="C98" s="1480">
        <v>3</v>
      </c>
      <c r="D98" s="1484">
        <f>C98/$C$101</f>
        <v>0.42857142857142855</v>
      </c>
      <c r="E98" s="1489">
        <v>2</v>
      </c>
      <c r="F98" s="1490">
        <f>E98/$E$101</f>
        <v>0.2857142857142857</v>
      </c>
      <c r="G98" s="1489">
        <v>2</v>
      </c>
      <c r="H98" s="1490">
        <f>G98/$G$101</f>
        <v>0.2857142857142857</v>
      </c>
      <c r="I98" s="1491">
        <v>1</v>
      </c>
      <c r="J98" s="1490">
        <f>I98/$I$101</f>
        <v>0.14285714285714285</v>
      </c>
      <c r="K98" s="1491">
        <v>4</v>
      </c>
      <c r="L98" s="1490">
        <f>K98/$K$101</f>
        <v>0.5714285714285714</v>
      </c>
      <c r="M98" s="962"/>
      <c r="N98" s="962"/>
      <c r="O98" s="962"/>
      <c r="P98" s="962"/>
      <c r="Q98" s="964"/>
      <c r="R98" s="9"/>
      <c r="S98" s="61"/>
    </row>
    <row r="99" spans="1:19" ht="15" x14ac:dyDescent="0.25">
      <c r="A99" s="939"/>
      <c r="B99" s="1471" t="s">
        <v>968</v>
      </c>
      <c r="C99" s="1480">
        <v>1</v>
      </c>
      <c r="D99" s="1484">
        <f>C99/$C$101</f>
        <v>0.14285714285714285</v>
      </c>
      <c r="E99" s="1489">
        <v>4</v>
      </c>
      <c r="F99" s="1490">
        <f>E99/$E$101</f>
        <v>0.5714285714285714</v>
      </c>
      <c r="G99" s="1489">
        <v>4</v>
      </c>
      <c r="H99" s="1490">
        <f>G99/$G$101</f>
        <v>0.5714285714285714</v>
      </c>
      <c r="I99" s="1491">
        <v>5</v>
      </c>
      <c r="J99" s="1490">
        <f t="shared" ref="J99" si="42">I99/$I$101</f>
        <v>0.7142857142857143</v>
      </c>
      <c r="K99" s="1491">
        <v>3</v>
      </c>
      <c r="L99" s="1490">
        <f t="shared" ref="L99:L100" si="43">K99/$K$101</f>
        <v>0.42857142857142855</v>
      </c>
      <c r="M99" s="962"/>
      <c r="N99" s="962"/>
      <c r="O99" s="962"/>
      <c r="P99" s="962"/>
      <c r="Q99" s="964"/>
      <c r="R99" s="9"/>
      <c r="S99" s="61"/>
    </row>
    <row r="100" spans="1:19" ht="15" x14ac:dyDescent="0.25">
      <c r="A100" s="939"/>
      <c r="B100" s="1471" t="s">
        <v>969</v>
      </c>
      <c r="C100" s="1480">
        <v>3</v>
      </c>
      <c r="D100" s="1484">
        <f>C100/$C$101</f>
        <v>0.42857142857142855</v>
      </c>
      <c r="E100" s="1492">
        <v>1</v>
      </c>
      <c r="F100" s="1488">
        <f>E100/$E$101</f>
        <v>0.14285714285714285</v>
      </c>
      <c r="G100" s="1492">
        <v>1</v>
      </c>
      <c r="H100" s="1488">
        <f>G100/$G$101</f>
        <v>0.14285714285714285</v>
      </c>
      <c r="I100" s="1468">
        <v>1</v>
      </c>
      <c r="J100" s="1490">
        <f>I100/$I$101</f>
        <v>0.14285714285714285</v>
      </c>
      <c r="K100" s="1493">
        <v>0</v>
      </c>
      <c r="L100" s="1490">
        <f t="shared" si="43"/>
        <v>0</v>
      </c>
      <c r="M100" s="962"/>
      <c r="N100" s="962"/>
      <c r="O100" s="962"/>
      <c r="P100" s="962"/>
      <c r="Q100" s="964"/>
      <c r="R100" s="9"/>
      <c r="S100" s="61"/>
    </row>
    <row r="101" spans="1:19" ht="15" x14ac:dyDescent="0.25">
      <c r="A101" s="939"/>
      <c r="B101" s="1487" t="s">
        <v>757</v>
      </c>
      <c r="C101" s="1480">
        <f>SUM(C98:C100)</f>
        <v>7</v>
      </c>
      <c r="D101" s="1484">
        <f>C101/$C$101</f>
        <v>1</v>
      </c>
      <c r="E101" s="1492">
        <v>7</v>
      </c>
      <c r="F101" s="1488">
        <f>SUM(F98:F100)</f>
        <v>1</v>
      </c>
      <c r="G101" s="1492">
        <f t="shared" ref="G101:K101" si="44">SUM(G98:G100)</f>
        <v>7</v>
      </c>
      <c r="H101" s="1488">
        <f>SUM(H98:H100)</f>
        <v>1</v>
      </c>
      <c r="I101" s="1469">
        <f t="shared" si="44"/>
        <v>7</v>
      </c>
      <c r="J101" s="1488">
        <f>SUM(J98:J100)</f>
        <v>1</v>
      </c>
      <c r="K101" s="1469">
        <f t="shared" si="44"/>
        <v>7</v>
      </c>
      <c r="L101" s="1488">
        <f>SUM(L98:L100)</f>
        <v>1</v>
      </c>
      <c r="M101" s="962"/>
      <c r="N101" s="962"/>
      <c r="O101" s="962"/>
      <c r="P101" s="962"/>
      <c r="Q101" s="964"/>
      <c r="R101" s="9"/>
      <c r="S101" s="61"/>
    </row>
    <row r="102" spans="1:19" ht="15" x14ac:dyDescent="0.25">
      <c r="A102" s="939"/>
      <c r="B102" s="1474" t="s">
        <v>970</v>
      </c>
      <c r="C102" s="1475" t="s">
        <v>952</v>
      </c>
      <c r="D102" s="1475" t="s">
        <v>953</v>
      </c>
      <c r="E102" s="1475" t="s">
        <v>952</v>
      </c>
      <c r="F102" s="1475" t="s">
        <v>953</v>
      </c>
      <c r="G102" s="1475" t="s">
        <v>952</v>
      </c>
      <c r="H102" s="1475" t="s">
        <v>953</v>
      </c>
      <c r="I102" s="1475" t="s">
        <v>952</v>
      </c>
      <c r="J102" s="1475" t="s">
        <v>953</v>
      </c>
      <c r="K102" s="1475" t="s">
        <v>952</v>
      </c>
      <c r="L102" s="1475" t="s">
        <v>953</v>
      </c>
      <c r="M102" s="962"/>
      <c r="N102" s="962"/>
      <c r="O102" s="962"/>
      <c r="P102" s="962"/>
      <c r="Q102" s="964"/>
      <c r="R102" s="9"/>
      <c r="S102" s="61"/>
    </row>
    <row r="103" spans="1:19" ht="15" x14ac:dyDescent="0.25">
      <c r="A103" s="939"/>
      <c r="B103" s="1476" t="s">
        <v>971</v>
      </c>
      <c r="C103" s="1480">
        <v>4</v>
      </c>
      <c r="D103" s="1484">
        <f>C103/$C$107</f>
        <v>0.4</v>
      </c>
      <c r="E103" s="1489">
        <v>3</v>
      </c>
      <c r="F103" s="1490">
        <f>E103/$E$107</f>
        <v>0.33333333333333331</v>
      </c>
      <c r="G103" s="1489">
        <v>4</v>
      </c>
      <c r="H103" s="1490">
        <f>G103/$G$107</f>
        <v>0.44444444444444442</v>
      </c>
      <c r="I103" s="1372">
        <v>5</v>
      </c>
      <c r="J103" s="1490">
        <f>I103/$I$107</f>
        <v>0.55555555555555558</v>
      </c>
      <c r="K103" s="1494">
        <v>5</v>
      </c>
      <c r="L103" s="1490">
        <f>K103/$K$107</f>
        <v>0.55555555555555558</v>
      </c>
      <c r="M103" s="962"/>
      <c r="N103" s="962"/>
      <c r="O103" s="962"/>
      <c r="P103" s="962"/>
      <c r="Q103" s="964"/>
      <c r="R103" s="9"/>
      <c r="S103" s="61"/>
    </row>
    <row r="104" spans="1:19" ht="15" x14ac:dyDescent="0.25">
      <c r="A104" s="939"/>
      <c r="B104" s="1476" t="s">
        <v>972</v>
      </c>
      <c r="C104" s="1480">
        <v>3</v>
      </c>
      <c r="D104" s="1484">
        <f>C104/$C$107</f>
        <v>0.3</v>
      </c>
      <c r="E104" s="1489">
        <v>3</v>
      </c>
      <c r="F104" s="1490">
        <f>E104/$E$107</f>
        <v>0.33333333333333331</v>
      </c>
      <c r="G104" s="1489">
        <v>2</v>
      </c>
      <c r="H104" s="1490">
        <f t="shared" ref="H104:H105" si="45">G104/$G$107</f>
        <v>0.22222222222222221</v>
      </c>
      <c r="I104" s="1372">
        <v>2</v>
      </c>
      <c r="J104" s="1490">
        <f t="shared" ref="J104:J105" si="46">I104/$I$107</f>
        <v>0.22222222222222221</v>
      </c>
      <c r="K104" s="1494">
        <v>2</v>
      </c>
      <c r="L104" s="1490">
        <f t="shared" ref="L104:L106" si="47">K104/$K$107</f>
        <v>0.22222222222222221</v>
      </c>
      <c r="M104" s="962"/>
      <c r="N104" s="962"/>
      <c r="O104" s="962"/>
      <c r="P104" s="962"/>
      <c r="Q104" s="964"/>
      <c r="R104" s="9"/>
      <c r="S104" s="61"/>
    </row>
    <row r="105" spans="1:19" ht="15" x14ac:dyDescent="0.25">
      <c r="A105" s="939"/>
      <c r="B105" s="1476" t="s">
        <v>973</v>
      </c>
      <c r="C105" s="1480">
        <v>2</v>
      </c>
      <c r="D105" s="1484">
        <f>C105/$C$107</f>
        <v>0.2</v>
      </c>
      <c r="E105" s="1489">
        <v>2</v>
      </c>
      <c r="F105" s="1490">
        <f>E105/$E$107</f>
        <v>0.22222222222222221</v>
      </c>
      <c r="G105" s="1489">
        <v>2</v>
      </c>
      <c r="H105" s="1490">
        <f t="shared" si="45"/>
        <v>0.22222222222222221</v>
      </c>
      <c r="I105" s="1372">
        <v>2</v>
      </c>
      <c r="J105" s="1490">
        <f t="shared" si="46"/>
        <v>0.22222222222222221</v>
      </c>
      <c r="K105" s="1494">
        <v>2</v>
      </c>
      <c r="L105" s="1490">
        <f t="shared" si="47"/>
        <v>0.22222222222222221</v>
      </c>
      <c r="M105" s="962"/>
      <c r="N105" s="962"/>
      <c r="O105" s="962"/>
      <c r="P105" s="962"/>
      <c r="Q105" s="964"/>
      <c r="R105" s="9"/>
      <c r="S105" s="61"/>
    </row>
    <row r="106" spans="1:19" ht="15" x14ac:dyDescent="0.25">
      <c r="A106" s="939"/>
      <c r="B106" s="1476" t="s">
        <v>974</v>
      </c>
      <c r="C106" s="1480">
        <v>1</v>
      </c>
      <c r="D106" s="1484">
        <f>C106/$C$107</f>
        <v>0.1</v>
      </c>
      <c r="E106" s="1489">
        <v>1</v>
      </c>
      <c r="F106" s="1490">
        <f>E106/$E$107</f>
        <v>0.1111111111111111</v>
      </c>
      <c r="G106" s="1489">
        <v>1</v>
      </c>
      <c r="H106" s="1490">
        <f>G106/$G$107</f>
        <v>0.1111111111111111</v>
      </c>
      <c r="I106" s="1372">
        <v>0</v>
      </c>
      <c r="J106" s="1490">
        <f>I106/$I$107</f>
        <v>0</v>
      </c>
      <c r="K106" s="1494">
        <v>0</v>
      </c>
      <c r="L106" s="1490">
        <f t="shared" si="47"/>
        <v>0</v>
      </c>
      <c r="M106" s="962"/>
      <c r="N106" s="962"/>
      <c r="O106" s="962"/>
      <c r="P106" s="962"/>
      <c r="Q106" s="964"/>
      <c r="R106" s="9"/>
      <c r="S106" s="61"/>
    </row>
    <row r="107" spans="1:19" ht="15" x14ac:dyDescent="0.25">
      <c r="A107" s="939"/>
      <c r="B107" s="1487" t="s">
        <v>757</v>
      </c>
      <c r="C107" s="1480">
        <f>SUM(C103:C106)</f>
        <v>10</v>
      </c>
      <c r="D107" s="1484">
        <f>C107/$C$107</f>
        <v>1</v>
      </c>
      <c r="E107" s="1492">
        <v>9</v>
      </c>
      <c r="F107" s="1488">
        <f>SUM(F103:F106)</f>
        <v>1</v>
      </c>
      <c r="G107" s="1492">
        <f t="shared" ref="G107:K107" si="48">SUM(G103:G106)</f>
        <v>9</v>
      </c>
      <c r="H107" s="1488">
        <f>SUM(H103:H106)</f>
        <v>1</v>
      </c>
      <c r="I107" s="1469">
        <f t="shared" si="48"/>
        <v>9</v>
      </c>
      <c r="J107" s="1488">
        <f>SUM(J103:J106)</f>
        <v>1</v>
      </c>
      <c r="K107" s="1469">
        <f t="shared" si="48"/>
        <v>9</v>
      </c>
      <c r="L107" s="1488">
        <f>SUM(L103:L106)</f>
        <v>1</v>
      </c>
      <c r="M107" s="962"/>
      <c r="N107" s="962"/>
      <c r="O107" s="962"/>
      <c r="P107" s="962"/>
      <c r="Q107" s="964"/>
      <c r="R107" s="9"/>
      <c r="S107" s="61"/>
    </row>
    <row r="108" spans="1:19" ht="15" x14ac:dyDescent="0.25">
      <c r="B108" s="1474" t="s">
        <v>975</v>
      </c>
      <c r="C108" s="1475" t="s">
        <v>952</v>
      </c>
      <c r="D108" s="1475" t="s">
        <v>953</v>
      </c>
      <c r="E108" s="1475" t="s">
        <v>952</v>
      </c>
      <c r="F108" s="1475" t="s">
        <v>953</v>
      </c>
      <c r="G108" s="1475" t="s">
        <v>952</v>
      </c>
      <c r="H108" s="1475" t="s">
        <v>953</v>
      </c>
      <c r="I108" s="1475" t="s">
        <v>952</v>
      </c>
      <c r="J108" s="1475" t="s">
        <v>953</v>
      </c>
      <c r="K108" s="1475" t="s">
        <v>952</v>
      </c>
      <c r="L108" s="1475" t="s">
        <v>953</v>
      </c>
      <c r="M108" s="962"/>
      <c r="N108" s="962"/>
      <c r="O108" s="962"/>
      <c r="P108" s="962"/>
      <c r="Q108" s="964"/>
      <c r="R108" s="9"/>
      <c r="S108" s="61"/>
    </row>
    <row r="109" spans="1:19" ht="15" x14ac:dyDescent="0.25">
      <c r="A109" s="939"/>
      <c r="B109" s="1476" t="s">
        <v>954</v>
      </c>
      <c r="C109" s="1480">
        <v>9</v>
      </c>
      <c r="D109" s="1484">
        <f t="shared" ref="D109:D115" si="49">C109/$C$115</f>
        <v>0.9</v>
      </c>
      <c r="E109" s="1495">
        <v>8</v>
      </c>
      <c r="F109" s="1490">
        <f t="shared" ref="F109:F114" si="50">E109/$E$115</f>
        <v>0.88888888888888884</v>
      </c>
      <c r="G109" s="1495">
        <v>8</v>
      </c>
      <c r="H109" s="1490">
        <f>G109/$G$115</f>
        <v>0.88888888888888884</v>
      </c>
      <c r="I109" s="1495">
        <v>8</v>
      </c>
      <c r="J109" s="1490">
        <f>I109/$I$115</f>
        <v>0.88888888888888884</v>
      </c>
      <c r="K109" s="1388"/>
      <c r="L109" s="1388"/>
      <c r="M109" s="962"/>
      <c r="N109" s="962"/>
      <c r="O109" s="962"/>
      <c r="P109" s="962"/>
      <c r="Q109" s="964"/>
      <c r="R109" s="9"/>
      <c r="S109" s="61"/>
    </row>
    <row r="110" spans="1:19" ht="15" x14ac:dyDescent="0.25">
      <c r="A110" s="939"/>
      <c r="B110" s="1476" t="s">
        <v>955</v>
      </c>
      <c r="C110" s="1480">
        <v>0</v>
      </c>
      <c r="D110" s="1484">
        <f t="shared" si="49"/>
        <v>0</v>
      </c>
      <c r="E110" s="1495">
        <v>0</v>
      </c>
      <c r="F110" s="1490">
        <f t="shared" si="50"/>
        <v>0</v>
      </c>
      <c r="G110" s="1495">
        <v>0</v>
      </c>
      <c r="H110" s="1490">
        <f t="shared" ref="H110:H114" si="51">G110/$G$115</f>
        <v>0</v>
      </c>
      <c r="I110" s="1495">
        <v>0</v>
      </c>
      <c r="J110" s="1490">
        <f t="shared" ref="J110:J113" si="52">I110/$I$115</f>
        <v>0</v>
      </c>
      <c r="K110" s="1388"/>
      <c r="L110" s="1388"/>
      <c r="M110" s="962"/>
      <c r="N110" s="962"/>
      <c r="O110" s="962"/>
      <c r="P110" s="962"/>
      <c r="Q110" s="964"/>
      <c r="R110" s="9"/>
      <c r="S110" s="61"/>
    </row>
    <row r="111" spans="1:19" ht="15" x14ac:dyDescent="0.25">
      <c r="A111" s="939"/>
      <c r="B111" s="1476" t="s">
        <v>956</v>
      </c>
      <c r="C111" s="1480">
        <v>1</v>
      </c>
      <c r="D111" s="1484">
        <f t="shared" si="49"/>
        <v>0.1</v>
      </c>
      <c r="E111" s="1495">
        <v>1</v>
      </c>
      <c r="F111" s="1490">
        <f t="shared" si="50"/>
        <v>0.1111111111111111</v>
      </c>
      <c r="G111" s="1495">
        <v>1</v>
      </c>
      <c r="H111" s="1490">
        <f t="shared" si="51"/>
        <v>0.1111111111111111</v>
      </c>
      <c r="I111" s="1495">
        <v>1</v>
      </c>
      <c r="J111" s="1490">
        <f t="shared" si="52"/>
        <v>0.1111111111111111</v>
      </c>
      <c r="K111" s="1388"/>
      <c r="L111" s="1388"/>
      <c r="M111" s="962"/>
      <c r="N111" s="962"/>
      <c r="O111" s="962"/>
      <c r="P111" s="962"/>
      <c r="Q111" s="964"/>
      <c r="R111" s="9"/>
      <c r="S111" s="61"/>
    </row>
    <row r="112" spans="1:19" ht="15" x14ac:dyDescent="0.25">
      <c r="A112" s="939"/>
      <c r="B112" s="1476" t="s">
        <v>957</v>
      </c>
      <c r="C112" s="1480">
        <v>0</v>
      </c>
      <c r="D112" s="1484">
        <f t="shared" si="49"/>
        <v>0</v>
      </c>
      <c r="E112" s="1495">
        <v>0</v>
      </c>
      <c r="F112" s="1490">
        <f t="shared" si="50"/>
        <v>0</v>
      </c>
      <c r="G112" s="1495">
        <v>0</v>
      </c>
      <c r="H112" s="1490">
        <f t="shared" si="51"/>
        <v>0</v>
      </c>
      <c r="I112" s="1495">
        <v>0</v>
      </c>
      <c r="J112" s="1490">
        <f>I112/$I$115</f>
        <v>0</v>
      </c>
      <c r="K112" s="1388"/>
      <c r="L112" s="1388"/>
      <c r="M112" s="962"/>
      <c r="N112" s="962"/>
      <c r="O112" s="962"/>
      <c r="P112" s="962"/>
      <c r="Q112" s="964"/>
      <c r="R112" s="9"/>
      <c r="S112" s="61"/>
    </row>
    <row r="113" spans="1:37" ht="15" x14ac:dyDescent="0.25">
      <c r="A113" s="939"/>
      <c r="B113" s="1200" t="s">
        <v>958</v>
      </c>
      <c r="C113" s="1480">
        <v>0</v>
      </c>
      <c r="D113" s="1484">
        <f t="shared" si="49"/>
        <v>0</v>
      </c>
      <c r="E113" s="1495">
        <v>0</v>
      </c>
      <c r="F113" s="1490">
        <f t="shared" si="50"/>
        <v>0</v>
      </c>
      <c r="G113" s="1495">
        <v>0</v>
      </c>
      <c r="H113" s="1490">
        <f t="shared" si="51"/>
        <v>0</v>
      </c>
      <c r="I113" s="1495">
        <v>0</v>
      </c>
      <c r="J113" s="1490">
        <f t="shared" si="52"/>
        <v>0</v>
      </c>
      <c r="K113" s="1388"/>
      <c r="L113" s="1388"/>
      <c r="M113" s="962"/>
      <c r="N113" s="962"/>
      <c r="O113" s="962"/>
      <c r="P113" s="962"/>
      <c r="Q113" s="964"/>
      <c r="R113" s="9"/>
      <c r="S113" s="61"/>
    </row>
    <row r="114" spans="1:37" ht="15" x14ac:dyDescent="0.25">
      <c r="A114" s="939"/>
      <c r="B114" s="1471" t="s">
        <v>959</v>
      </c>
      <c r="C114" s="1480">
        <v>0</v>
      </c>
      <c r="D114" s="1484">
        <f t="shared" si="49"/>
        <v>0</v>
      </c>
      <c r="E114" s="1495">
        <v>0</v>
      </c>
      <c r="F114" s="1490">
        <f t="shared" si="50"/>
        <v>0</v>
      </c>
      <c r="G114" s="1495">
        <v>0</v>
      </c>
      <c r="H114" s="1490">
        <f t="shared" si="51"/>
        <v>0</v>
      </c>
      <c r="I114" s="1495">
        <v>0</v>
      </c>
      <c r="J114" s="1490">
        <f>I114/$I$115</f>
        <v>0</v>
      </c>
      <c r="K114" s="1388"/>
      <c r="L114" s="1388"/>
      <c r="M114" s="962"/>
      <c r="N114" s="962"/>
      <c r="O114" s="962"/>
      <c r="P114" s="962"/>
      <c r="Q114" s="964"/>
      <c r="R114" s="9"/>
      <c r="S114" s="61"/>
    </row>
    <row r="115" spans="1:37" ht="15" x14ac:dyDescent="0.25">
      <c r="A115" s="939"/>
      <c r="B115" s="1462" t="s">
        <v>757</v>
      </c>
      <c r="C115" s="1480">
        <v>10</v>
      </c>
      <c r="D115" s="1484">
        <f t="shared" si="49"/>
        <v>1</v>
      </c>
      <c r="E115" s="1489">
        <f t="shared" ref="E115:I115" si="53">SUM(E109:E114)</f>
        <v>9</v>
      </c>
      <c r="F115" s="1490">
        <f>SUM(F109:F114)</f>
        <v>1</v>
      </c>
      <c r="G115" s="1489">
        <f t="shared" si="53"/>
        <v>9</v>
      </c>
      <c r="H115" s="1490">
        <f>SUM(H109:H114)</f>
        <v>1</v>
      </c>
      <c r="I115" s="1496">
        <f t="shared" si="53"/>
        <v>9</v>
      </c>
      <c r="J115" s="1490">
        <f>SUM(J109:J114)</f>
        <v>1</v>
      </c>
      <c r="K115" s="1388"/>
      <c r="L115" s="1388"/>
      <c r="M115" s="962"/>
      <c r="N115" s="962"/>
      <c r="O115" s="962"/>
      <c r="P115" s="962"/>
      <c r="Q115" s="964"/>
      <c r="R115" s="9"/>
      <c r="S115" s="61"/>
    </row>
    <row r="116" spans="1:37" s="958" customFormat="1" ht="13.5" hidden="1" x14ac:dyDescent="0.25">
      <c r="A116" s="367"/>
      <c r="B116" s="968"/>
      <c r="C116" s="968"/>
      <c r="D116" s="969"/>
      <c r="E116" s="970"/>
      <c r="F116" s="970"/>
      <c r="G116" s="969"/>
      <c r="H116" s="970"/>
      <c r="I116" s="970"/>
      <c r="J116" s="970"/>
      <c r="K116" s="970"/>
      <c r="L116" s="970"/>
      <c r="M116" s="970"/>
      <c r="N116" s="970"/>
      <c r="O116" s="970"/>
      <c r="P116" s="970"/>
      <c r="Q116" s="956"/>
      <c r="R116" s="71"/>
      <c r="S116" s="72"/>
      <c r="T116" s="71"/>
      <c r="U116" s="71"/>
      <c r="V116" s="71"/>
      <c r="W116" s="71"/>
      <c r="X116" s="71"/>
      <c r="Y116" s="71"/>
      <c r="Z116" s="71"/>
      <c r="AA116" s="71"/>
      <c r="AB116" s="71"/>
      <c r="AC116" s="71"/>
      <c r="AD116" s="71"/>
      <c r="AE116" s="71"/>
      <c r="AF116" s="71"/>
      <c r="AG116" s="71"/>
      <c r="AH116" s="71"/>
      <c r="AI116" s="71"/>
      <c r="AJ116" s="71"/>
      <c r="AK116" s="71"/>
    </row>
    <row r="117" spans="1:37" s="958" customFormat="1" ht="13.5" x14ac:dyDescent="0.25">
      <c r="A117" s="367"/>
      <c r="B117" s="968"/>
      <c r="C117" s="968"/>
      <c r="D117" s="969"/>
      <c r="E117" s="970"/>
      <c r="F117" s="970"/>
      <c r="G117" s="969"/>
      <c r="H117" s="970"/>
      <c r="I117" s="970"/>
      <c r="J117" s="970"/>
      <c r="K117" s="970"/>
      <c r="L117" s="970"/>
      <c r="M117" s="970"/>
      <c r="N117" s="970"/>
      <c r="O117" s="970"/>
      <c r="P117" s="970"/>
      <c r="Q117" s="956"/>
      <c r="R117" s="71"/>
      <c r="S117" s="72"/>
      <c r="T117" s="71"/>
      <c r="U117" s="71"/>
      <c r="V117" s="71"/>
      <c r="W117" s="71"/>
      <c r="X117" s="71"/>
      <c r="Y117" s="71"/>
      <c r="Z117" s="71"/>
      <c r="AA117" s="71"/>
      <c r="AB117" s="71"/>
      <c r="AC117" s="71"/>
      <c r="AD117" s="71"/>
      <c r="AE117" s="71"/>
      <c r="AF117" s="71"/>
      <c r="AG117" s="71"/>
      <c r="AH117" s="71"/>
      <c r="AI117" s="71"/>
      <c r="AJ117" s="71"/>
      <c r="AK117" s="71"/>
    </row>
    <row r="118" spans="1:37" ht="17.5" x14ac:dyDescent="0.25">
      <c r="B118" s="1379" t="s">
        <v>976</v>
      </c>
      <c r="C118" s="1847" t="s">
        <v>459</v>
      </c>
      <c r="D118" s="1847"/>
      <c r="E118" s="1847"/>
      <c r="F118" s="1847"/>
      <c r="G118" s="1847"/>
      <c r="H118" s="1848" t="s">
        <v>460</v>
      </c>
      <c r="I118" s="1848"/>
      <c r="J118" s="1848"/>
      <c r="K118" s="1848"/>
      <c r="L118" s="1848"/>
      <c r="M118" s="1848" t="s">
        <v>461</v>
      </c>
      <c r="N118" s="1848"/>
      <c r="O118" s="1848"/>
      <c r="P118" s="1848"/>
      <c r="Q118" s="1848" t="s">
        <v>462</v>
      </c>
      <c r="R118" s="1848"/>
      <c r="S118" s="1848"/>
      <c r="T118" s="1848"/>
      <c r="U118" s="1848" t="s">
        <v>463</v>
      </c>
      <c r="V118" s="1848"/>
      <c r="W118" s="1848"/>
      <c r="X118" s="1848"/>
      <c r="Y118" s="1848" t="s">
        <v>464</v>
      </c>
      <c r="Z118" s="1848"/>
      <c r="AA118" s="1848"/>
      <c r="AB118" s="1848"/>
      <c r="AC118" s="9"/>
      <c r="AD118" s="61"/>
      <c r="AE118" s="61"/>
    </row>
    <row r="119" spans="1:37" ht="60" x14ac:dyDescent="0.25">
      <c r="A119" s="9"/>
      <c r="B119" s="1457" t="s">
        <v>905</v>
      </c>
      <c r="C119" s="1458" t="s">
        <v>906</v>
      </c>
      <c r="D119" s="1458" t="s">
        <v>907</v>
      </c>
      <c r="E119" s="1458" t="s">
        <v>908</v>
      </c>
      <c r="F119" s="1458" t="s">
        <v>757</v>
      </c>
      <c r="G119" s="1458" t="s">
        <v>909</v>
      </c>
      <c r="H119" s="1458" t="s">
        <v>906</v>
      </c>
      <c r="I119" s="1458" t="s">
        <v>907</v>
      </c>
      <c r="J119" s="1458" t="s">
        <v>908</v>
      </c>
      <c r="K119" s="1458" t="s">
        <v>757</v>
      </c>
      <c r="L119" s="1458" t="s">
        <v>909</v>
      </c>
      <c r="M119" s="1497" t="s">
        <v>906</v>
      </c>
      <c r="N119" s="1497" t="s">
        <v>907</v>
      </c>
      <c r="O119" s="1497" t="s">
        <v>757</v>
      </c>
      <c r="P119" s="1458" t="s">
        <v>909</v>
      </c>
      <c r="Q119" s="1497" t="s">
        <v>906</v>
      </c>
      <c r="R119" s="1497" t="s">
        <v>907</v>
      </c>
      <c r="S119" s="1497" t="s">
        <v>757</v>
      </c>
      <c r="T119" s="1458" t="s">
        <v>909</v>
      </c>
      <c r="U119" s="1497" t="s">
        <v>906</v>
      </c>
      <c r="V119" s="1497" t="s">
        <v>907</v>
      </c>
      <c r="W119" s="1497" t="s">
        <v>757</v>
      </c>
      <c r="X119" s="1458" t="s">
        <v>909</v>
      </c>
      <c r="Y119" s="1497" t="s">
        <v>906</v>
      </c>
      <c r="Z119" s="1497" t="s">
        <v>907</v>
      </c>
      <c r="AA119" s="1497" t="s">
        <v>757</v>
      </c>
      <c r="AB119" s="1458" t="s">
        <v>909</v>
      </c>
      <c r="AC119" s="9"/>
      <c r="AD119" s="91" t="s">
        <v>935</v>
      </c>
    </row>
    <row r="120" spans="1:37" ht="15" x14ac:dyDescent="0.25">
      <c r="A120" s="1371"/>
      <c r="B120" s="1498" t="s">
        <v>977</v>
      </c>
      <c r="C120" s="1499">
        <v>241</v>
      </c>
      <c r="D120" s="1499">
        <v>521</v>
      </c>
      <c r="E120" s="1499">
        <v>10</v>
      </c>
      <c r="F120" s="1499">
        <v>772</v>
      </c>
      <c r="G120" s="1500">
        <f>C120/F120</f>
        <v>0.31217616580310881</v>
      </c>
      <c r="H120" s="1375">
        <v>398</v>
      </c>
      <c r="I120" s="1375">
        <v>672</v>
      </c>
      <c r="J120" s="1375">
        <v>26</v>
      </c>
      <c r="K120" s="1375">
        <v>1096</v>
      </c>
      <c r="L120" s="1501">
        <f>H120/K120</f>
        <v>0.36313868613138683</v>
      </c>
      <c r="M120" s="1492">
        <v>765</v>
      </c>
      <c r="N120" s="1492">
        <v>1232</v>
      </c>
      <c r="O120" s="1492">
        <f>SUM(M120:N120)</f>
        <v>1997</v>
      </c>
      <c r="P120" s="1501">
        <f>M120/O120</f>
        <v>0.38307461191787684</v>
      </c>
      <c r="Q120" s="1468">
        <v>748</v>
      </c>
      <c r="R120" s="1468">
        <v>1496</v>
      </c>
      <c r="S120" s="1502">
        <f>Q120+R120</f>
        <v>2244</v>
      </c>
      <c r="T120" s="1501">
        <f>Q120/S120</f>
        <v>0.33333333333333331</v>
      </c>
      <c r="U120" s="1468">
        <v>718</v>
      </c>
      <c r="V120" s="1468">
        <v>1355</v>
      </c>
      <c r="W120" s="1468">
        <f>U120+V120</f>
        <v>2073</v>
      </c>
      <c r="X120" s="1501">
        <f>U120/W120</f>
        <v>0.34635793535938253</v>
      </c>
      <c r="Y120" s="1468">
        <v>475</v>
      </c>
      <c r="Z120" s="1468">
        <v>1117</v>
      </c>
      <c r="AA120" s="1468">
        <f>Y120+Z120</f>
        <v>1592</v>
      </c>
      <c r="AB120" s="1501">
        <f>Y120/AA120</f>
        <v>0.29836683417085424</v>
      </c>
      <c r="AC120" s="9"/>
      <c r="AD120" s="61"/>
    </row>
    <row r="121" spans="1:37" ht="15" x14ac:dyDescent="0.25">
      <c r="A121" s="1371"/>
      <c r="B121" s="1498" t="s">
        <v>978</v>
      </c>
      <c r="C121" s="1499">
        <v>12</v>
      </c>
      <c r="D121" s="1499">
        <v>11</v>
      </c>
      <c r="E121" s="1499">
        <v>0</v>
      </c>
      <c r="F121" s="1499">
        <v>23</v>
      </c>
      <c r="G121" s="1500">
        <f>C121/F121</f>
        <v>0.52173913043478259</v>
      </c>
      <c r="H121" s="1375"/>
      <c r="I121" s="1375"/>
      <c r="J121" s="1375"/>
      <c r="K121" s="1375"/>
      <c r="L121" s="1501"/>
      <c r="M121" s="1492"/>
      <c r="N121" s="1492"/>
      <c r="O121" s="1492"/>
      <c r="P121" s="1501"/>
      <c r="Q121" s="1468"/>
      <c r="R121" s="1468"/>
      <c r="S121" s="1502"/>
      <c r="T121" s="1501"/>
      <c r="U121" s="1468"/>
      <c r="V121" s="1468"/>
      <c r="W121" s="1468"/>
      <c r="X121" s="1501"/>
      <c r="Y121" s="1468"/>
      <c r="Z121" s="1468"/>
      <c r="AA121" s="1468"/>
      <c r="AB121" s="1501"/>
      <c r="AC121" s="9"/>
      <c r="AD121" s="61"/>
    </row>
    <row r="122" spans="1:37" ht="15" x14ac:dyDescent="0.25">
      <c r="A122" s="1371"/>
      <c r="B122" s="1498" t="s">
        <v>979</v>
      </c>
      <c r="C122" s="1499">
        <v>259</v>
      </c>
      <c r="D122" s="1499">
        <v>496</v>
      </c>
      <c r="E122" s="1499">
        <v>8</v>
      </c>
      <c r="F122" s="1499">
        <v>763</v>
      </c>
      <c r="G122" s="1500">
        <f t="shared" ref="G122:G125" si="54">C122/F122</f>
        <v>0.33944954128440369</v>
      </c>
      <c r="H122" s="1375">
        <v>217</v>
      </c>
      <c r="I122" s="1375">
        <v>517</v>
      </c>
      <c r="J122" s="1375">
        <v>8</v>
      </c>
      <c r="K122" s="1375">
        <v>739</v>
      </c>
      <c r="L122" s="1501">
        <f>H122/K122</f>
        <v>0.2936400541271989</v>
      </c>
      <c r="M122" s="1492">
        <v>405</v>
      </c>
      <c r="N122" s="1492">
        <v>817</v>
      </c>
      <c r="O122" s="1492">
        <f>SUM(M122:N122)</f>
        <v>1222</v>
      </c>
      <c r="P122" s="1501">
        <f t="shared" ref="P122:P126" si="55">M122/O122</f>
        <v>0.33142389525368249</v>
      </c>
      <c r="Q122" s="1468">
        <v>449</v>
      </c>
      <c r="R122" s="1468">
        <v>1082</v>
      </c>
      <c r="S122" s="1502">
        <f>Q122+R122</f>
        <v>1531</v>
      </c>
      <c r="T122" s="1501">
        <f t="shared" ref="T122:T126" si="56">Q122/S122</f>
        <v>0.29327237099934683</v>
      </c>
      <c r="U122" s="1468">
        <v>444</v>
      </c>
      <c r="V122" s="1468">
        <v>1115</v>
      </c>
      <c r="W122" s="1468">
        <f>U122+V122</f>
        <v>1559</v>
      </c>
      <c r="X122" s="1501">
        <f t="shared" ref="X122:X126" si="57">U122/W122</f>
        <v>0.2847979474021809</v>
      </c>
      <c r="Y122" s="1468">
        <v>317</v>
      </c>
      <c r="Z122" s="1468">
        <v>797</v>
      </c>
      <c r="AA122" s="1468">
        <f>Y122+Z122</f>
        <v>1114</v>
      </c>
      <c r="AB122" s="1501">
        <f t="shared" ref="AB122:AB125" si="58">Y122/AA122</f>
        <v>0.28456014362657089</v>
      </c>
      <c r="AC122" s="9"/>
      <c r="AD122" s="61"/>
    </row>
    <row r="123" spans="1:37" ht="15" hidden="1" x14ac:dyDescent="0.25">
      <c r="A123" s="1371"/>
      <c r="B123" s="1503" t="s">
        <v>980</v>
      </c>
      <c r="C123" s="1499"/>
      <c r="D123" s="1499"/>
      <c r="E123" s="1499"/>
      <c r="F123" s="1499"/>
      <c r="G123" s="1500" t="e">
        <f t="shared" si="54"/>
        <v>#DIV/0!</v>
      </c>
      <c r="H123" s="1375"/>
      <c r="I123" s="1375"/>
      <c r="J123" s="1375"/>
      <c r="K123" s="1375"/>
      <c r="L123" s="1501" t="e">
        <f t="shared" ref="L123:L125" si="59">H123/K123</f>
        <v>#DIV/0!</v>
      </c>
      <c r="M123" s="1492">
        <v>2</v>
      </c>
      <c r="N123" s="1492">
        <v>0</v>
      </c>
      <c r="O123" s="1492">
        <f>SUM(M123:N123)</f>
        <v>2</v>
      </c>
      <c r="P123" s="1501">
        <f t="shared" si="55"/>
        <v>1</v>
      </c>
      <c r="Q123" s="1468"/>
      <c r="R123" s="1468"/>
      <c r="S123" s="1502"/>
      <c r="T123" s="1501" t="e">
        <f t="shared" si="56"/>
        <v>#DIV/0!</v>
      </c>
      <c r="U123" s="1468"/>
      <c r="V123" s="1468"/>
      <c r="W123" s="1468"/>
      <c r="X123" s="1501" t="e">
        <f t="shared" si="57"/>
        <v>#DIV/0!</v>
      </c>
      <c r="Y123" s="1468"/>
      <c r="Z123" s="1468"/>
      <c r="AA123" s="1468"/>
      <c r="AB123" s="1501" t="e">
        <f t="shared" si="58"/>
        <v>#DIV/0!</v>
      </c>
      <c r="AC123" s="9"/>
      <c r="AD123" s="61"/>
    </row>
    <row r="124" spans="1:37" ht="15" x14ac:dyDescent="0.25">
      <c r="A124" s="1371"/>
      <c r="B124" s="1498" t="s">
        <v>981</v>
      </c>
      <c r="C124" s="1499">
        <v>236</v>
      </c>
      <c r="D124" s="1499">
        <v>546</v>
      </c>
      <c r="E124" s="1499">
        <v>3</v>
      </c>
      <c r="F124" s="1499">
        <v>785</v>
      </c>
      <c r="G124" s="1500">
        <f t="shared" si="54"/>
        <v>0.30063694267515922</v>
      </c>
      <c r="H124" s="1375">
        <v>781</v>
      </c>
      <c r="I124" s="1375">
        <v>912</v>
      </c>
      <c r="J124" s="1375">
        <v>17</v>
      </c>
      <c r="K124" s="1375">
        <v>1710</v>
      </c>
      <c r="L124" s="1501">
        <f t="shared" si="59"/>
        <v>0.45672514619883042</v>
      </c>
      <c r="M124" s="1492">
        <v>442</v>
      </c>
      <c r="N124" s="1492">
        <v>1025</v>
      </c>
      <c r="O124" s="1492">
        <f>SUM(M124:N124)</f>
        <v>1467</v>
      </c>
      <c r="P124" s="1501">
        <f t="shared" si="55"/>
        <v>0.30129516019086572</v>
      </c>
      <c r="Q124" s="1468">
        <v>375</v>
      </c>
      <c r="R124" s="1468">
        <v>996</v>
      </c>
      <c r="S124" s="1502">
        <f>Q124+R124</f>
        <v>1371</v>
      </c>
      <c r="T124" s="1501">
        <f t="shared" si="56"/>
        <v>0.2735229759299781</v>
      </c>
      <c r="U124" s="1468">
        <v>115</v>
      </c>
      <c r="V124" s="1468">
        <v>396</v>
      </c>
      <c r="W124" s="1468">
        <f>U124+V124</f>
        <v>511</v>
      </c>
      <c r="X124" s="1501">
        <f t="shared" si="57"/>
        <v>0.22504892367906065</v>
      </c>
      <c r="Y124" s="1468">
        <v>230</v>
      </c>
      <c r="Z124" s="1468">
        <v>782</v>
      </c>
      <c r="AA124" s="1468">
        <f>Y124+Z124</f>
        <v>1012</v>
      </c>
      <c r="AB124" s="1501">
        <f t="shared" si="58"/>
        <v>0.22727272727272727</v>
      </c>
      <c r="AC124" s="9"/>
      <c r="AD124" s="61"/>
    </row>
    <row r="125" spans="1:37" ht="15" hidden="1" x14ac:dyDescent="0.25">
      <c r="A125" s="1371"/>
      <c r="B125" s="1503" t="s">
        <v>982</v>
      </c>
      <c r="C125" s="1499"/>
      <c r="D125" s="1499"/>
      <c r="E125" s="1499"/>
      <c r="F125" s="1499"/>
      <c r="G125" s="1500" t="e">
        <f t="shared" si="54"/>
        <v>#DIV/0!</v>
      </c>
      <c r="H125" s="1375"/>
      <c r="I125" s="1375"/>
      <c r="J125" s="1375"/>
      <c r="K125" s="1375"/>
      <c r="L125" s="1501" t="e">
        <f t="shared" si="59"/>
        <v>#DIV/0!</v>
      </c>
      <c r="M125" s="1492">
        <v>36</v>
      </c>
      <c r="N125" s="1492">
        <v>15</v>
      </c>
      <c r="O125" s="1492">
        <f>SUM(M125:N125)</f>
        <v>51</v>
      </c>
      <c r="P125" s="1501">
        <f t="shared" si="55"/>
        <v>0.70588235294117652</v>
      </c>
      <c r="Q125" s="1468"/>
      <c r="R125" s="1468"/>
      <c r="S125" s="1502"/>
      <c r="T125" s="1504" t="e">
        <f t="shared" si="56"/>
        <v>#DIV/0!</v>
      </c>
      <c r="U125" s="1468"/>
      <c r="V125" s="1468"/>
      <c r="W125" s="1468"/>
      <c r="X125" s="1504" t="e">
        <f t="shared" si="57"/>
        <v>#DIV/0!</v>
      </c>
      <c r="Y125" s="1468"/>
      <c r="Z125" s="1468"/>
      <c r="AA125" s="1468"/>
      <c r="AB125" s="1504" t="e">
        <f t="shared" si="58"/>
        <v>#DIV/0!</v>
      </c>
      <c r="AC125" s="9"/>
      <c r="AD125" s="61"/>
    </row>
    <row r="126" spans="1:37" s="71" customFormat="1" ht="15" x14ac:dyDescent="0.25">
      <c r="A126" s="1371"/>
      <c r="B126" s="1505" t="s">
        <v>983</v>
      </c>
      <c r="C126" s="1499">
        <v>495</v>
      </c>
      <c r="D126" s="1499">
        <f t="shared" ref="D126:F126" si="60">D122+D124</f>
        <v>1042</v>
      </c>
      <c r="E126" s="1499">
        <f t="shared" si="60"/>
        <v>11</v>
      </c>
      <c r="F126" s="1499">
        <f t="shared" si="60"/>
        <v>1548</v>
      </c>
      <c r="G126" s="1500">
        <f>C126/F126</f>
        <v>0.31976744186046513</v>
      </c>
      <c r="H126" s="1375">
        <f>H122+H124</f>
        <v>998</v>
      </c>
      <c r="I126" s="1375">
        <f t="shared" ref="I126:O126" si="61">I122+I124</f>
        <v>1429</v>
      </c>
      <c r="J126" s="1375">
        <f t="shared" si="61"/>
        <v>25</v>
      </c>
      <c r="K126" s="1375">
        <f t="shared" si="61"/>
        <v>2449</v>
      </c>
      <c r="L126" s="1501">
        <f>H126/K126</f>
        <v>0.40751327072274396</v>
      </c>
      <c r="M126" s="1375">
        <f>M122+M124</f>
        <v>847</v>
      </c>
      <c r="N126" s="1375">
        <f t="shared" si="61"/>
        <v>1842</v>
      </c>
      <c r="O126" s="1375">
        <f t="shared" si="61"/>
        <v>2689</v>
      </c>
      <c r="P126" s="1501">
        <f t="shared" si="55"/>
        <v>0.31498698400892527</v>
      </c>
      <c r="Q126" s="1375">
        <f>Q122+Q124</f>
        <v>824</v>
      </c>
      <c r="R126" s="1375">
        <f t="shared" ref="R126:S126" si="62">R122+R124</f>
        <v>2078</v>
      </c>
      <c r="S126" s="1375">
        <f t="shared" si="62"/>
        <v>2902</v>
      </c>
      <c r="T126" s="1501">
        <f t="shared" si="56"/>
        <v>0.28394210889042037</v>
      </c>
      <c r="U126" s="1375">
        <f>U122+U124</f>
        <v>559</v>
      </c>
      <c r="V126" s="1375">
        <f t="shared" ref="V126:W126" si="63">V122+V124</f>
        <v>1511</v>
      </c>
      <c r="W126" s="1375">
        <f t="shared" si="63"/>
        <v>2070</v>
      </c>
      <c r="X126" s="1501">
        <f t="shared" si="57"/>
        <v>0.27004830917874395</v>
      </c>
      <c r="Y126" s="1375">
        <f>Y122+Y124</f>
        <v>547</v>
      </c>
      <c r="Z126" s="1375">
        <f t="shared" ref="Z126:AA126" si="64">Z122+Z124</f>
        <v>1579</v>
      </c>
      <c r="AA126" s="1375">
        <f t="shared" si="64"/>
        <v>2126</v>
      </c>
      <c r="AB126" s="1501">
        <f>Y126/AA126</f>
        <v>0.25729068673565381</v>
      </c>
      <c r="AC126" s="1053"/>
      <c r="AD126" s="72"/>
    </row>
    <row r="127" spans="1:37" ht="15" x14ac:dyDescent="0.25">
      <c r="A127" s="1371"/>
      <c r="B127" s="1506" t="s">
        <v>984</v>
      </c>
      <c r="C127" s="1507">
        <v>7.17E-2</v>
      </c>
      <c r="D127" s="1507">
        <v>9.6199999999999994E-2</v>
      </c>
      <c r="E127" s="1507">
        <v>0.11310000000000001</v>
      </c>
      <c r="F127" s="1507">
        <v>7.8799999999999995E-2</v>
      </c>
      <c r="G127" s="1460">
        <v>0</v>
      </c>
      <c r="H127" s="1508">
        <v>7.0000000000000007E-2</v>
      </c>
      <c r="I127" s="1508">
        <v>7.0000000000000007E-2</v>
      </c>
      <c r="J127" s="1508">
        <v>0.12</v>
      </c>
      <c r="K127" s="1508">
        <v>7.0000000000000007E-2</v>
      </c>
      <c r="L127" s="1509" t="s">
        <v>719</v>
      </c>
      <c r="M127" s="1510">
        <v>0.114</v>
      </c>
      <c r="N127" s="1510">
        <v>9.7000000000000003E-2</v>
      </c>
      <c r="O127" s="1510">
        <v>0.105</v>
      </c>
      <c r="P127" s="1509" t="s">
        <v>719</v>
      </c>
      <c r="Q127" s="1511">
        <v>0.123</v>
      </c>
      <c r="R127" s="1511">
        <v>0.121</v>
      </c>
      <c r="S127" s="1511">
        <v>0.122</v>
      </c>
      <c r="T127" s="1509" t="s">
        <v>719</v>
      </c>
      <c r="U127" s="1851">
        <v>0.11550000000000001</v>
      </c>
      <c r="V127" s="1851"/>
      <c r="W127" s="1851"/>
      <c r="X127" s="1509" t="s">
        <v>719</v>
      </c>
      <c r="Y127" s="1851">
        <v>8.2000000000000003E-2</v>
      </c>
      <c r="Z127" s="1851"/>
      <c r="AA127" s="1851"/>
      <c r="AB127" s="1509" t="s">
        <v>719</v>
      </c>
      <c r="AC127" s="9"/>
      <c r="AD127" s="61"/>
    </row>
    <row r="128" spans="1:37" ht="15" x14ac:dyDescent="0.25">
      <c r="A128" s="1371"/>
      <c r="B128" s="1506" t="s">
        <v>985</v>
      </c>
      <c r="C128" s="1507">
        <v>7.9000000000000001E-2</v>
      </c>
      <c r="D128" s="1507">
        <v>8.77E-2</v>
      </c>
      <c r="E128" s="1507">
        <v>4.24E-2</v>
      </c>
      <c r="F128" s="1507">
        <v>8.1100000000000005E-2</v>
      </c>
      <c r="G128" s="1460">
        <v>0</v>
      </c>
      <c r="H128" s="1508">
        <v>0.27</v>
      </c>
      <c r="I128" s="1508">
        <v>0.12</v>
      </c>
      <c r="J128" s="1508">
        <v>0.24</v>
      </c>
      <c r="K128" s="1508">
        <v>0.16</v>
      </c>
      <c r="L128" s="1509" t="s">
        <v>719</v>
      </c>
      <c r="M128" s="1510">
        <v>0.127</v>
      </c>
      <c r="N128" s="1510">
        <v>0.125</v>
      </c>
      <c r="O128" s="1510">
        <v>0.126</v>
      </c>
      <c r="P128" s="1509" t="s">
        <v>719</v>
      </c>
      <c r="Q128" s="1511">
        <v>0.10299999999999999</v>
      </c>
      <c r="R128" s="1511">
        <v>0.111</v>
      </c>
      <c r="S128" s="1511">
        <v>0.109</v>
      </c>
      <c r="T128" s="1509" t="s">
        <v>719</v>
      </c>
      <c r="U128" s="1851">
        <v>3.7900000000000003E-2</v>
      </c>
      <c r="V128" s="1851"/>
      <c r="W128" s="1851"/>
      <c r="X128" s="1509" t="s">
        <v>719</v>
      </c>
      <c r="Y128" s="1851">
        <v>7.4999999999999997E-2</v>
      </c>
      <c r="Z128" s="1851"/>
      <c r="AA128" s="1851"/>
      <c r="AB128" s="1509" t="s">
        <v>719</v>
      </c>
      <c r="AC128" s="9"/>
      <c r="AD128" s="61"/>
    </row>
    <row r="129" spans="1:30" ht="15" x14ac:dyDescent="0.25">
      <c r="A129" s="1371"/>
      <c r="B129" s="1505" t="s">
        <v>986</v>
      </c>
      <c r="C129" s="1507">
        <v>0.1507</v>
      </c>
      <c r="D129" s="1507">
        <v>0.184</v>
      </c>
      <c r="E129" s="1507">
        <v>0.1555</v>
      </c>
      <c r="F129" s="1507">
        <v>0.16</v>
      </c>
      <c r="G129" s="1460">
        <v>0</v>
      </c>
      <c r="H129" s="1508">
        <v>0.35</v>
      </c>
      <c r="I129" s="1508">
        <v>0.19</v>
      </c>
      <c r="J129" s="1508">
        <v>0.36</v>
      </c>
      <c r="K129" s="1508">
        <v>0.23</v>
      </c>
      <c r="L129" s="1509" t="s">
        <v>719</v>
      </c>
      <c r="M129" s="1510">
        <f t="shared" ref="M129:U129" si="65">M127+M128</f>
        <v>0.24099999999999999</v>
      </c>
      <c r="N129" s="1510">
        <f t="shared" si="65"/>
        <v>0.222</v>
      </c>
      <c r="O129" s="1510">
        <f t="shared" si="65"/>
        <v>0.23099999999999998</v>
      </c>
      <c r="P129" s="1509" t="s">
        <v>719</v>
      </c>
      <c r="Q129" s="1511">
        <f t="shared" si="65"/>
        <v>0.22599999999999998</v>
      </c>
      <c r="R129" s="1511">
        <f t="shared" si="65"/>
        <v>0.23199999999999998</v>
      </c>
      <c r="S129" s="1511">
        <f t="shared" si="65"/>
        <v>0.23099999999999998</v>
      </c>
      <c r="T129" s="1509" t="s">
        <v>719</v>
      </c>
      <c r="U129" s="1851">
        <f t="shared" si="65"/>
        <v>0.15340000000000001</v>
      </c>
      <c r="V129" s="1851"/>
      <c r="W129" s="1851"/>
      <c r="X129" s="1509" t="s">
        <v>719</v>
      </c>
      <c r="Y129" s="1851">
        <f>Y127+Y128</f>
        <v>0.157</v>
      </c>
      <c r="Z129" s="1851"/>
      <c r="AA129" s="1851"/>
      <c r="AB129" s="1509" t="s">
        <v>719</v>
      </c>
      <c r="AC129" s="9"/>
      <c r="AD129" s="61"/>
    </row>
    <row r="130" spans="1:30" ht="14" x14ac:dyDescent="0.3">
      <c r="B130" s="971" t="s">
        <v>987</v>
      </c>
      <c r="C130" s="971"/>
      <c r="D130" s="95"/>
      <c r="E130" s="63"/>
      <c r="F130" s="63"/>
      <c r="G130" s="63"/>
      <c r="H130" s="972"/>
      <c r="I130" s="63"/>
      <c r="J130" s="63"/>
      <c r="K130" s="63"/>
      <c r="L130" s="63"/>
      <c r="M130" s="63"/>
      <c r="N130" s="63"/>
      <c r="P130" s="61"/>
      <c r="Q130" s="61"/>
    </row>
    <row r="131" spans="1:30" ht="14" hidden="1" x14ac:dyDescent="0.3">
      <c r="B131" s="971" t="s">
        <v>988</v>
      </c>
      <c r="C131" s="971"/>
      <c r="D131" s="95"/>
      <c r="E131" s="63"/>
      <c r="F131" s="63"/>
      <c r="G131" s="63"/>
      <c r="H131" s="972"/>
      <c r="I131" s="63"/>
      <c r="J131" s="63"/>
      <c r="K131" s="63"/>
      <c r="L131" s="63"/>
      <c r="M131" s="63"/>
      <c r="N131" s="63"/>
      <c r="P131" s="61"/>
      <c r="Q131" s="61"/>
    </row>
    <row r="132" spans="1:30" ht="13.5" hidden="1" x14ac:dyDescent="0.25">
      <c r="B132" s="61"/>
      <c r="C132" s="61"/>
      <c r="D132" s="61"/>
      <c r="E132" s="61"/>
      <c r="F132" s="61"/>
      <c r="G132" s="61"/>
      <c r="H132" s="61"/>
      <c r="I132" s="61"/>
      <c r="J132" s="61"/>
      <c r="K132" s="61"/>
      <c r="L132" s="61"/>
      <c r="M132" s="61"/>
      <c r="N132" s="61"/>
      <c r="P132" s="61"/>
      <c r="Q132" s="61"/>
    </row>
    <row r="133" spans="1:30" ht="18" hidden="1" customHeight="1" x14ac:dyDescent="0.25">
      <c r="B133" s="1860" t="s">
        <v>989</v>
      </c>
      <c r="C133" s="973"/>
      <c r="D133" s="1861" t="s">
        <v>461</v>
      </c>
      <c r="E133" s="1862"/>
      <c r="F133" s="1863"/>
      <c r="G133" s="1864" t="s">
        <v>462</v>
      </c>
      <c r="H133" s="1864"/>
      <c r="I133" s="1864"/>
      <c r="J133" s="63"/>
      <c r="K133" s="63"/>
      <c r="L133" s="63"/>
      <c r="N133" s="63"/>
      <c r="O133" s="2"/>
      <c r="P133" s="2"/>
    </row>
    <row r="134" spans="1:30" ht="54" hidden="1" x14ac:dyDescent="0.25">
      <c r="B134" s="1860"/>
      <c r="C134" s="973"/>
      <c r="D134" s="974" t="s">
        <v>990</v>
      </c>
      <c r="E134" s="644" t="s">
        <v>991</v>
      </c>
      <c r="F134" s="644" t="s">
        <v>992</v>
      </c>
      <c r="G134" s="974" t="s">
        <v>990</v>
      </c>
      <c r="H134" s="644" t="s">
        <v>991</v>
      </c>
      <c r="I134" s="644" t="s">
        <v>992</v>
      </c>
      <c r="J134" s="63"/>
      <c r="K134" s="63"/>
      <c r="N134" s="63"/>
      <c r="O134" s="2"/>
      <c r="P134" s="2"/>
    </row>
    <row r="135" spans="1:30" ht="15" hidden="1" x14ac:dyDescent="0.3">
      <c r="B135" s="827" t="s">
        <v>911</v>
      </c>
      <c r="C135" s="827"/>
      <c r="D135" s="975">
        <v>4035</v>
      </c>
      <c r="E135" s="976">
        <v>810</v>
      </c>
      <c r="F135" s="977">
        <f t="shared" ref="F135:F140" si="66">E135/D135</f>
        <v>0.20074349442379183</v>
      </c>
      <c r="G135" s="978">
        <v>4162</v>
      </c>
      <c r="H135" s="866">
        <v>893</v>
      </c>
      <c r="I135" s="979">
        <f t="shared" ref="I135:I140" si="67">H135/(G135)</f>
        <v>0.2145603075444498</v>
      </c>
      <c r="J135" s="63"/>
      <c r="K135" s="63"/>
      <c r="L135" s="63"/>
      <c r="M135" s="63"/>
      <c r="N135" s="63"/>
      <c r="O135" s="2"/>
      <c r="P135" s="2"/>
    </row>
    <row r="136" spans="1:30" ht="15" hidden="1" x14ac:dyDescent="0.3">
      <c r="B136" s="827" t="s">
        <v>912</v>
      </c>
      <c r="C136" s="827"/>
      <c r="D136" s="975">
        <v>2840</v>
      </c>
      <c r="E136" s="976">
        <v>709</v>
      </c>
      <c r="F136" s="977">
        <f t="shared" si="66"/>
        <v>0.24964788732394366</v>
      </c>
      <c r="G136" s="978">
        <v>2734</v>
      </c>
      <c r="H136" s="866">
        <v>668</v>
      </c>
      <c r="I136" s="979">
        <f t="shared" si="67"/>
        <v>0.24433065106071689</v>
      </c>
      <c r="J136" s="980"/>
      <c r="K136" s="63"/>
      <c r="L136" s="63"/>
      <c r="M136" s="63"/>
      <c r="N136" s="63"/>
      <c r="O136" s="2"/>
      <c r="P136" s="2"/>
    </row>
    <row r="137" spans="1:30" ht="15" hidden="1" x14ac:dyDescent="0.3">
      <c r="B137" s="827" t="s">
        <v>913</v>
      </c>
      <c r="C137" s="827"/>
      <c r="D137" s="975">
        <v>2025</v>
      </c>
      <c r="E137" s="976">
        <v>407</v>
      </c>
      <c r="F137" s="977">
        <f t="shared" si="66"/>
        <v>0.20098765432098764</v>
      </c>
      <c r="G137" s="978">
        <v>2271</v>
      </c>
      <c r="H137" s="866">
        <v>397</v>
      </c>
      <c r="I137" s="979">
        <f t="shared" si="67"/>
        <v>0.17481285777190664</v>
      </c>
      <c r="J137" s="980"/>
      <c r="K137" s="63"/>
      <c r="L137" s="63"/>
      <c r="M137" s="63"/>
      <c r="N137" s="63"/>
      <c r="O137" s="2"/>
      <c r="P137" s="2"/>
    </row>
    <row r="138" spans="1:30" ht="15" hidden="1" x14ac:dyDescent="0.3">
      <c r="B138" s="827" t="s">
        <v>914</v>
      </c>
      <c r="C138" s="827"/>
      <c r="D138" s="975">
        <v>2384</v>
      </c>
      <c r="E138" s="976">
        <v>677</v>
      </c>
      <c r="F138" s="977">
        <f t="shared" si="66"/>
        <v>0.28397651006711411</v>
      </c>
      <c r="G138" s="978">
        <v>2442</v>
      </c>
      <c r="H138" s="866">
        <v>660</v>
      </c>
      <c r="I138" s="979">
        <f t="shared" si="67"/>
        <v>0.27027027027027029</v>
      </c>
      <c r="J138" s="980"/>
      <c r="K138" s="63"/>
      <c r="L138" s="63"/>
      <c r="M138" s="63"/>
      <c r="N138" s="63"/>
      <c r="O138" s="2"/>
      <c r="P138" s="2"/>
    </row>
    <row r="139" spans="1:30" ht="15" hidden="1" x14ac:dyDescent="0.3">
      <c r="B139" s="827" t="s">
        <v>915</v>
      </c>
      <c r="C139" s="827"/>
      <c r="D139" s="975">
        <v>824</v>
      </c>
      <c r="E139" s="976">
        <v>411</v>
      </c>
      <c r="F139" s="977">
        <f t="shared" si="66"/>
        <v>0.49878640776699029</v>
      </c>
      <c r="G139" s="978">
        <v>1057</v>
      </c>
      <c r="H139" s="866">
        <v>545</v>
      </c>
      <c r="I139" s="979">
        <f t="shared" si="67"/>
        <v>0.51561021759697256</v>
      </c>
      <c r="J139" s="980"/>
      <c r="K139" s="63"/>
      <c r="L139" s="63"/>
      <c r="M139" s="63"/>
      <c r="N139" s="63"/>
      <c r="O139" s="2"/>
      <c r="P139" s="2"/>
    </row>
    <row r="140" spans="1:30" ht="15" hidden="1" x14ac:dyDescent="0.3">
      <c r="B140" s="1512" t="s">
        <v>993</v>
      </c>
      <c r="C140" s="1512"/>
      <c r="D140" s="1513">
        <v>12206</v>
      </c>
      <c r="E140" s="1513">
        <f>SUM(E135:E139)</f>
        <v>3014</v>
      </c>
      <c r="F140" s="1514">
        <f t="shared" si="66"/>
        <v>0.24692774045551369</v>
      </c>
      <c r="G140" s="1515">
        <f>SUM(G135:G139)</f>
        <v>12666</v>
      </c>
      <c r="H140" s="1515">
        <f>SUM(H135:H139)</f>
        <v>3163</v>
      </c>
      <c r="I140" s="1516">
        <f t="shared" si="67"/>
        <v>0.24972366966682458</v>
      </c>
      <c r="J140" s="980"/>
      <c r="K140" s="63"/>
      <c r="L140" s="63"/>
      <c r="M140" s="63"/>
      <c r="N140" s="63"/>
      <c r="O140" s="2"/>
      <c r="P140" s="2"/>
    </row>
    <row r="141" spans="1:30" ht="17.5" x14ac:dyDescent="0.25">
      <c r="B141" s="1379" t="s">
        <v>976</v>
      </c>
      <c r="C141" s="1847" t="s">
        <v>459</v>
      </c>
      <c r="D141" s="1847"/>
      <c r="E141" s="1847"/>
      <c r="F141" s="1847"/>
      <c r="G141" s="1847"/>
      <c r="H141" s="1847"/>
      <c r="I141" s="1847"/>
      <c r="J141" s="980"/>
      <c r="K141" s="63"/>
      <c r="L141" s="63"/>
      <c r="M141" s="63"/>
      <c r="N141" s="63"/>
      <c r="O141" s="2"/>
      <c r="P141" s="2"/>
    </row>
    <row r="142" spans="1:30" ht="30" x14ac:dyDescent="0.25">
      <c r="B142" s="1457" t="s">
        <v>994</v>
      </c>
      <c r="C142" s="1458" t="s">
        <v>914</v>
      </c>
      <c r="D142" s="1458" t="s">
        <v>913</v>
      </c>
      <c r="E142" s="1458" t="s">
        <v>912</v>
      </c>
      <c r="F142" s="1458" t="s">
        <v>924</v>
      </c>
      <c r="G142" s="1458" t="s">
        <v>911</v>
      </c>
      <c r="H142" s="1458" t="s">
        <v>995</v>
      </c>
      <c r="I142" s="1458" t="s">
        <v>996</v>
      </c>
      <c r="J142" s="980"/>
      <c r="K142" s="63"/>
      <c r="L142" s="63"/>
      <c r="M142" s="63"/>
      <c r="N142" s="63"/>
      <c r="O142" s="2"/>
      <c r="P142" s="2"/>
    </row>
    <row r="143" spans="1:30" ht="15" x14ac:dyDescent="0.25">
      <c r="B143" s="1498" t="s">
        <v>977</v>
      </c>
      <c r="C143" s="1460">
        <v>200</v>
      </c>
      <c r="D143" s="1460">
        <v>176</v>
      </c>
      <c r="E143" s="1460">
        <v>172</v>
      </c>
      <c r="F143" s="1460">
        <v>3</v>
      </c>
      <c r="G143" s="1460">
        <v>220</v>
      </c>
      <c r="H143" s="1460">
        <v>1</v>
      </c>
      <c r="I143" s="1460">
        <v>772</v>
      </c>
      <c r="J143" s="2"/>
      <c r="K143" s="2"/>
      <c r="L143" s="2"/>
      <c r="M143" s="2"/>
      <c r="N143" s="2"/>
      <c r="O143" s="2"/>
      <c r="P143" s="2"/>
    </row>
    <row r="144" spans="1:30" ht="15" x14ac:dyDescent="0.25">
      <c r="B144" s="1498" t="s">
        <v>978</v>
      </c>
      <c r="C144" s="1460">
        <v>1</v>
      </c>
      <c r="D144" s="1460">
        <v>6</v>
      </c>
      <c r="E144" s="1460">
        <v>2</v>
      </c>
      <c r="F144" s="1460">
        <v>0</v>
      </c>
      <c r="G144" s="1460">
        <v>14</v>
      </c>
      <c r="H144" s="1460">
        <v>0</v>
      </c>
      <c r="I144" s="1460">
        <v>23</v>
      </c>
      <c r="J144" s="2"/>
      <c r="K144" s="2"/>
      <c r="L144" s="2"/>
      <c r="M144" s="2"/>
      <c r="N144" s="2"/>
      <c r="O144" s="2"/>
      <c r="P144" s="2"/>
    </row>
    <row r="145" spans="2:21" ht="15" x14ac:dyDescent="0.25">
      <c r="B145" s="1498" t="s">
        <v>979</v>
      </c>
      <c r="C145" s="1460">
        <v>184</v>
      </c>
      <c r="D145" s="1460">
        <v>167</v>
      </c>
      <c r="E145" s="1460">
        <v>200</v>
      </c>
      <c r="F145" s="1460">
        <v>1</v>
      </c>
      <c r="G145" s="1460">
        <v>211</v>
      </c>
      <c r="H145" s="1460">
        <v>0</v>
      </c>
      <c r="I145" s="1460">
        <f>SUM(C145:G145)</f>
        <v>763</v>
      </c>
      <c r="J145" s="980"/>
      <c r="K145" s="63"/>
      <c r="L145" s="63"/>
      <c r="M145" s="63"/>
      <c r="N145" s="63"/>
      <c r="O145" s="2"/>
      <c r="P145" s="2"/>
    </row>
    <row r="146" spans="2:21" ht="15" x14ac:dyDescent="0.25">
      <c r="B146" s="1498" t="s">
        <v>981</v>
      </c>
      <c r="C146" s="1460">
        <v>186</v>
      </c>
      <c r="D146" s="1460">
        <v>145</v>
      </c>
      <c r="E146" s="1460">
        <v>156</v>
      </c>
      <c r="F146" s="1460">
        <v>11</v>
      </c>
      <c r="G146" s="1460">
        <v>287</v>
      </c>
      <c r="H146" s="1460">
        <v>0</v>
      </c>
      <c r="I146" s="1460">
        <f>SUM(C146:G146)</f>
        <v>785</v>
      </c>
      <c r="J146" s="980"/>
      <c r="K146" s="63"/>
      <c r="L146" s="63"/>
      <c r="M146" s="63"/>
      <c r="N146" s="63"/>
      <c r="O146" s="2"/>
      <c r="P146" s="2"/>
    </row>
    <row r="147" spans="2:21" ht="15" x14ac:dyDescent="0.25">
      <c r="B147" s="1506" t="s">
        <v>984</v>
      </c>
      <c r="C147" s="1383">
        <v>8.9099999999999999E-2</v>
      </c>
      <c r="D147" s="1507">
        <v>8.7099999999999997E-2</v>
      </c>
      <c r="E147" s="1507">
        <v>8.8700000000000001E-2</v>
      </c>
      <c r="F147" s="1507">
        <v>7.3000000000000001E-3</v>
      </c>
      <c r="G147" s="1507">
        <v>6.4199999999999993E-2</v>
      </c>
      <c r="H147" s="1383">
        <v>0</v>
      </c>
      <c r="I147" s="1507">
        <v>7.8799999999999995E-2</v>
      </c>
      <c r="J147" s="980"/>
      <c r="K147" s="63"/>
      <c r="L147" s="63"/>
      <c r="M147" s="63"/>
      <c r="N147" s="63"/>
      <c r="O147" s="2"/>
      <c r="P147" s="2"/>
    </row>
    <row r="148" spans="2:21" ht="15" x14ac:dyDescent="0.25">
      <c r="B148" s="1506" t="s">
        <v>985</v>
      </c>
      <c r="C148" s="1383">
        <v>9.01E-2</v>
      </c>
      <c r="D148" s="1507">
        <v>7.5600000000000001E-2</v>
      </c>
      <c r="E148" s="1507">
        <v>6.9199999999999998E-2</v>
      </c>
      <c r="F148" s="1507">
        <v>8.0299999999999996E-2</v>
      </c>
      <c r="G148" s="1507">
        <v>8.7400000000000005E-2</v>
      </c>
      <c r="H148" s="1383">
        <v>0</v>
      </c>
      <c r="I148" s="1507">
        <v>8.1100000000000005E-2</v>
      </c>
      <c r="J148" s="980"/>
      <c r="K148" s="63"/>
      <c r="L148" s="63"/>
      <c r="M148" s="63"/>
      <c r="N148" s="63"/>
      <c r="O148" s="2"/>
      <c r="P148" s="2"/>
    </row>
    <row r="149" spans="2:21" ht="15" x14ac:dyDescent="0.25">
      <c r="B149" s="1517" t="s">
        <v>986</v>
      </c>
      <c r="C149" s="1383">
        <v>0.1792</v>
      </c>
      <c r="D149" s="1507">
        <v>0.1628</v>
      </c>
      <c r="E149" s="1507">
        <v>0.1578</v>
      </c>
      <c r="F149" s="1507">
        <v>8.7599999999999997E-2</v>
      </c>
      <c r="G149" s="1507">
        <v>0.15160000000000001</v>
      </c>
      <c r="H149" s="1383">
        <v>0</v>
      </c>
      <c r="I149" s="1507">
        <v>0.16</v>
      </c>
      <c r="J149" s="980"/>
      <c r="K149" s="63"/>
      <c r="L149" s="63"/>
      <c r="M149" s="63"/>
      <c r="N149" s="63"/>
      <c r="O149" s="2"/>
      <c r="P149" s="2"/>
    </row>
    <row r="150" spans="2:21" ht="15" x14ac:dyDescent="0.3">
      <c r="B150" s="1029"/>
      <c r="C150" s="1029"/>
      <c r="D150" s="1029"/>
      <c r="E150" s="1029"/>
      <c r="F150" s="1029"/>
      <c r="G150" s="1029"/>
      <c r="H150" s="1029"/>
      <c r="I150" s="1028"/>
      <c r="J150" s="980"/>
      <c r="K150" s="63"/>
      <c r="L150" s="63"/>
      <c r="M150" s="63"/>
      <c r="N150" s="63"/>
      <c r="O150" s="2"/>
      <c r="P150" s="2"/>
    </row>
    <row r="151" spans="2:21" ht="17.5" x14ac:dyDescent="0.3">
      <c r="B151" s="1379" t="s">
        <v>976</v>
      </c>
      <c r="C151" s="1847" t="s">
        <v>459</v>
      </c>
      <c r="D151" s="1847"/>
      <c r="E151" s="1847"/>
      <c r="F151" s="1847"/>
      <c r="G151" s="1847"/>
      <c r="H151" s="1039"/>
      <c r="I151" s="1040"/>
      <c r="J151" s="347"/>
      <c r="K151" s="63"/>
      <c r="L151" s="63"/>
      <c r="M151" s="63"/>
      <c r="N151" s="63"/>
      <c r="O151" s="2"/>
      <c r="P151" s="2"/>
    </row>
    <row r="152" spans="2:21" ht="45" x14ac:dyDescent="0.3">
      <c r="B152" s="1457" t="s">
        <v>997</v>
      </c>
      <c r="C152" s="1458" t="s">
        <v>998</v>
      </c>
      <c r="D152" s="1458" t="s">
        <v>999</v>
      </c>
      <c r="E152" s="1458" t="s">
        <v>1000</v>
      </c>
      <c r="F152" s="1458" t="s">
        <v>1001</v>
      </c>
      <c r="G152" s="1458" t="s">
        <v>757</v>
      </c>
      <c r="H152" s="1039"/>
      <c r="I152" s="1039"/>
      <c r="J152" s="1040"/>
      <c r="K152" s="980"/>
      <c r="L152" s="63"/>
      <c r="M152" s="63"/>
      <c r="N152" s="63"/>
      <c r="O152" s="63"/>
      <c r="P152" s="2"/>
    </row>
    <row r="153" spans="2:21" ht="15" x14ac:dyDescent="0.3">
      <c r="B153" s="1498" t="s">
        <v>977</v>
      </c>
      <c r="C153" s="1499">
        <v>321</v>
      </c>
      <c r="D153" s="1499">
        <v>389</v>
      </c>
      <c r="E153" s="1499">
        <v>60</v>
      </c>
      <c r="F153" s="1499">
        <v>2</v>
      </c>
      <c r="G153" s="1499">
        <f>SUM(C153:F153)</f>
        <v>772</v>
      </c>
      <c r="H153" s="1039"/>
      <c r="I153" s="1027"/>
      <c r="J153" s="1028"/>
      <c r="K153" s="980"/>
      <c r="L153" s="63"/>
      <c r="M153" s="63"/>
      <c r="N153" s="63"/>
      <c r="O153" s="63"/>
      <c r="P153" s="2"/>
    </row>
    <row r="154" spans="2:21" ht="15" x14ac:dyDescent="0.3">
      <c r="B154" s="1498" t="s">
        <v>979</v>
      </c>
      <c r="C154" s="1499">
        <v>228</v>
      </c>
      <c r="D154" s="1499">
        <v>398</v>
      </c>
      <c r="E154" s="1499">
        <v>135</v>
      </c>
      <c r="F154" s="1499">
        <v>2</v>
      </c>
      <c r="G154" s="1499">
        <f>SUM(C154:F154)</f>
        <v>763</v>
      </c>
      <c r="H154" s="1039"/>
      <c r="I154" s="1027"/>
      <c r="J154" s="1028"/>
      <c r="K154" s="980"/>
      <c r="L154" s="63"/>
      <c r="M154" s="63"/>
      <c r="N154" s="63"/>
      <c r="O154" s="63"/>
      <c r="P154" s="2"/>
    </row>
    <row r="155" spans="2:21" ht="15" x14ac:dyDescent="0.3">
      <c r="B155" s="1498" t="s">
        <v>981</v>
      </c>
      <c r="C155" s="1499">
        <v>102</v>
      </c>
      <c r="D155" s="1499">
        <v>476</v>
      </c>
      <c r="E155" s="1499">
        <v>206</v>
      </c>
      <c r="F155" s="1499">
        <v>1</v>
      </c>
      <c r="G155" s="1499">
        <f>SUM(C155:F155)</f>
        <v>785</v>
      </c>
      <c r="H155" s="1027"/>
      <c r="I155" s="1027"/>
      <c r="J155" s="1028"/>
      <c r="K155" s="980"/>
      <c r="L155" s="63"/>
      <c r="M155" s="63"/>
      <c r="N155" s="63"/>
      <c r="O155" s="63"/>
      <c r="P155" s="2"/>
    </row>
    <row r="156" spans="2:21" ht="15" x14ac:dyDescent="0.3">
      <c r="B156" s="1506" t="s">
        <v>984</v>
      </c>
      <c r="C156" s="1507">
        <v>0.15859999999999999</v>
      </c>
      <c r="D156" s="1507">
        <v>6.4000000000000001E-2</v>
      </c>
      <c r="E156" s="1507">
        <v>6.7299999999999999E-2</v>
      </c>
      <c r="F156" s="1507">
        <v>0.1875</v>
      </c>
      <c r="G156" s="1507">
        <v>7.8799999999999995E-2</v>
      </c>
      <c r="H156" s="1027"/>
      <c r="I156" s="1027"/>
      <c r="J156" s="1028"/>
      <c r="K156" s="980"/>
      <c r="L156" s="63"/>
      <c r="M156" s="63"/>
      <c r="N156" s="63"/>
      <c r="O156" s="63"/>
      <c r="P156" s="2"/>
    </row>
    <row r="157" spans="2:21" ht="15" x14ac:dyDescent="0.3">
      <c r="B157" s="1506" t="s">
        <v>985</v>
      </c>
      <c r="C157" s="1507">
        <v>7.0900000000000005E-2</v>
      </c>
      <c r="D157" s="1507">
        <v>7.6600000000000001E-2</v>
      </c>
      <c r="E157" s="1507">
        <v>0.1027</v>
      </c>
      <c r="F157" s="1507">
        <v>6.25E-2</v>
      </c>
      <c r="G157" s="1507">
        <v>8.1100000000000005E-2</v>
      </c>
      <c r="H157" s="1027"/>
      <c r="I157" s="1027"/>
      <c r="J157" s="1028"/>
      <c r="K157" s="980"/>
      <c r="L157" s="63"/>
      <c r="M157" s="63"/>
      <c r="N157" s="63"/>
      <c r="O157" s="63"/>
      <c r="P157" s="2"/>
    </row>
    <row r="158" spans="2:21" ht="15" x14ac:dyDescent="0.3">
      <c r="B158" s="1517" t="s">
        <v>986</v>
      </c>
      <c r="C158" s="1507">
        <v>0.22950000000000001</v>
      </c>
      <c r="D158" s="1507">
        <v>0.1406</v>
      </c>
      <c r="E158" s="1507">
        <v>0.17</v>
      </c>
      <c r="F158" s="1507">
        <v>0.1875</v>
      </c>
      <c r="G158" s="1507">
        <v>0.16</v>
      </c>
      <c r="H158" s="1027"/>
      <c r="I158" s="1027"/>
      <c r="J158" s="1028"/>
      <c r="K158" s="980"/>
      <c r="L158" s="63"/>
      <c r="M158" s="63"/>
      <c r="N158" s="63"/>
      <c r="O158" s="63"/>
      <c r="P158" s="2"/>
    </row>
    <row r="159" spans="2:21" ht="13.5" x14ac:dyDescent="0.25">
      <c r="D159" s="90"/>
    </row>
    <row r="160" spans="2:21" ht="13.5" x14ac:dyDescent="0.25">
      <c r="B160" s="1852" t="s">
        <v>1558</v>
      </c>
      <c r="C160" s="1853" t="s">
        <v>459</v>
      </c>
      <c r="D160" s="1853"/>
      <c r="E160" s="1853"/>
      <c r="F160" s="1859" t="s">
        <v>460</v>
      </c>
      <c r="G160" s="1859"/>
      <c r="H160" s="1859"/>
      <c r="I160" s="1859" t="s">
        <v>461</v>
      </c>
      <c r="J160" s="1859"/>
      <c r="K160" s="1859"/>
      <c r="L160" s="1859" t="s">
        <v>462</v>
      </c>
      <c r="M160" s="1859"/>
      <c r="N160" s="1859"/>
      <c r="Q160" s="9"/>
      <c r="R160" s="9"/>
      <c r="S160" s="9"/>
      <c r="T160" s="9"/>
      <c r="U160" s="9"/>
    </row>
    <row r="161" spans="2:21" ht="41.5" customHeight="1" x14ac:dyDescent="0.25">
      <c r="B161" s="1852"/>
      <c r="C161" s="1518" t="s">
        <v>923</v>
      </c>
      <c r="D161" s="1378" t="s">
        <v>1003</v>
      </c>
      <c r="E161" s="1378" t="s">
        <v>992</v>
      </c>
      <c r="F161" s="1518" t="s">
        <v>923</v>
      </c>
      <c r="G161" s="1378" t="s">
        <v>1003</v>
      </c>
      <c r="H161" s="1378" t="s">
        <v>992</v>
      </c>
      <c r="I161" s="1518" t="s">
        <v>923</v>
      </c>
      <c r="J161" s="1378" t="s">
        <v>1003</v>
      </c>
      <c r="K161" s="1378" t="s">
        <v>992</v>
      </c>
      <c r="L161" s="1518" t="s">
        <v>923</v>
      </c>
      <c r="M161" s="1378" t="s">
        <v>1003</v>
      </c>
      <c r="N161" s="1378" t="s">
        <v>992</v>
      </c>
      <c r="Q161" s="9"/>
      <c r="R161" s="9"/>
      <c r="S161" s="9"/>
      <c r="T161" s="9"/>
      <c r="U161" s="9"/>
    </row>
    <row r="162" spans="2:21" ht="15" customHeight="1" x14ac:dyDescent="0.3">
      <c r="B162" s="1214" t="s">
        <v>911</v>
      </c>
      <c r="C162" s="1519">
        <v>3229</v>
      </c>
      <c r="D162" s="1520">
        <v>0</v>
      </c>
      <c r="E162" s="1521">
        <f>D162/C162</f>
        <v>0</v>
      </c>
      <c r="F162" s="1522">
        <v>3485</v>
      </c>
      <c r="G162" s="1523">
        <v>687</v>
      </c>
      <c r="H162" s="1524">
        <v>0.2</v>
      </c>
      <c r="I162" s="1525">
        <v>3879</v>
      </c>
      <c r="J162" s="1526">
        <v>775</v>
      </c>
      <c r="K162" s="1527">
        <f>J162/I162</f>
        <v>0.19979376127868007</v>
      </c>
      <c r="L162" s="1528">
        <v>4079</v>
      </c>
      <c r="M162" s="1529">
        <v>835</v>
      </c>
      <c r="N162" s="1530">
        <f>M162/(L162)</f>
        <v>0.20470703603824467</v>
      </c>
      <c r="Q162" s="9"/>
      <c r="R162" s="9"/>
      <c r="S162" s="9"/>
      <c r="T162" s="9"/>
      <c r="U162" s="9"/>
    </row>
    <row r="163" spans="2:21" ht="15" x14ac:dyDescent="0.3">
      <c r="B163" s="1214" t="s">
        <v>912</v>
      </c>
      <c r="C163" s="1519">
        <v>2208</v>
      </c>
      <c r="D163" s="1520">
        <v>0</v>
      </c>
      <c r="E163" s="1521">
        <f t="shared" ref="E163:E167" si="68">D163/C163</f>
        <v>0</v>
      </c>
      <c r="F163" s="1522">
        <v>2350</v>
      </c>
      <c r="G163" s="1523">
        <v>706</v>
      </c>
      <c r="H163" s="1524">
        <v>0.3</v>
      </c>
      <c r="I163" s="1525">
        <v>2876</v>
      </c>
      <c r="J163" s="1526">
        <v>722</v>
      </c>
      <c r="K163" s="1527">
        <f t="shared" ref="K163:K169" si="69">J163/I163</f>
        <v>0.25104311543810848</v>
      </c>
      <c r="L163" s="1528">
        <v>2858</v>
      </c>
      <c r="M163" s="1529">
        <v>688</v>
      </c>
      <c r="N163" s="1530">
        <f t="shared" ref="N163:N169" si="70">M163/(L163)</f>
        <v>0.24072778166550035</v>
      </c>
      <c r="Q163" s="9"/>
      <c r="R163" s="9"/>
      <c r="S163" s="9"/>
      <c r="T163" s="9"/>
      <c r="U163" s="9"/>
    </row>
    <row r="164" spans="2:21" ht="15" x14ac:dyDescent="0.3">
      <c r="B164" s="1214" t="s">
        <v>924</v>
      </c>
      <c r="C164" s="1519">
        <v>135</v>
      </c>
      <c r="D164" s="1520">
        <v>0</v>
      </c>
      <c r="E164" s="1521">
        <f t="shared" si="68"/>
        <v>0</v>
      </c>
      <c r="F164" s="1522"/>
      <c r="G164" s="1523"/>
      <c r="H164" s="1524"/>
      <c r="I164" s="1525"/>
      <c r="J164" s="1526"/>
      <c r="K164" s="1527"/>
      <c r="L164" s="1528"/>
      <c r="M164" s="1529"/>
      <c r="N164" s="1530"/>
      <c r="Q164" s="9"/>
      <c r="R164" s="9"/>
      <c r="S164" s="9"/>
      <c r="T164" s="9"/>
      <c r="U164" s="9"/>
    </row>
    <row r="165" spans="2:21" ht="15" x14ac:dyDescent="0.3">
      <c r="B165" s="1214" t="s">
        <v>913</v>
      </c>
      <c r="C165" s="1519">
        <v>1876</v>
      </c>
      <c r="D165" s="1520">
        <v>327</v>
      </c>
      <c r="E165" s="1614">
        <f>D165/C165</f>
        <v>0.17430703624733476</v>
      </c>
      <c r="F165" s="1522">
        <v>1975</v>
      </c>
      <c r="G165" s="1523">
        <v>481</v>
      </c>
      <c r="H165" s="1524">
        <v>0.24</v>
      </c>
      <c r="I165" s="1525">
        <v>2014</v>
      </c>
      <c r="J165" s="1526">
        <v>400</v>
      </c>
      <c r="K165" s="1527">
        <f t="shared" si="69"/>
        <v>0.19860973187686196</v>
      </c>
      <c r="L165" s="1528">
        <v>2186</v>
      </c>
      <c r="M165" s="1529">
        <v>419</v>
      </c>
      <c r="N165" s="1530">
        <f t="shared" si="70"/>
        <v>0.19167429094236046</v>
      </c>
      <c r="Q165" s="9"/>
      <c r="R165" s="9"/>
      <c r="S165" s="9"/>
      <c r="T165" s="9"/>
      <c r="U165" s="9"/>
    </row>
    <row r="166" spans="2:21" ht="15" x14ac:dyDescent="0.3">
      <c r="B166" s="1214" t="s">
        <v>914</v>
      </c>
      <c r="C166" s="1519">
        <v>2023</v>
      </c>
      <c r="D166" s="1520">
        <v>0</v>
      </c>
      <c r="E166" s="1521">
        <f t="shared" si="68"/>
        <v>0</v>
      </c>
      <c r="F166" s="1522">
        <v>2172</v>
      </c>
      <c r="G166" s="1523">
        <v>743</v>
      </c>
      <c r="H166" s="1524">
        <v>0.34</v>
      </c>
      <c r="I166" s="1525">
        <f>1361+936</f>
        <v>2297</v>
      </c>
      <c r="J166" s="1526">
        <v>689</v>
      </c>
      <c r="K166" s="1527">
        <f t="shared" si="69"/>
        <v>0.29995646495428818</v>
      </c>
      <c r="L166" s="1528">
        <f>1404+1055</f>
        <v>2459</v>
      </c>
      <c r="M166" s="1529">
        <v>664</v>
      </c>
      <c r="N166" s="1530">
        <f t="shared" si="70"/>
        <v>0.27002846685644571</v>
      </c>
      <c r="Q166" s="9"/>
      <c r="R166" s="9"/>
      <c r="S166" s="9"/>
      <c r="T166" s="9"/>
      <c r="U166" s="9"/>
    </row>
    <row r="167" spans="2:21" ht="15" hidden="1" x14ac:dyDescent="0.3">
      <c r="B167" s="1214" t="s">
        <v>919</v>
      </c>
      <c r="C167" s="1519"/>
      <c r="D167" s="1520"/>
      <c r="E167" s="1521" t="e">
        <f t="shared" si="68"/>
        <v>#DIV/0!</v>
      </c>
      <c r="F167" s="1522"/>
      <c r="G167" s="1523"/>
      <c r="H167" s="1524"/>
      <c r="I167" s="1525">
        <v>936</v>
      </c>
      <c r="J167" s="1526">
        <v>0</v>
      </c>
      <c r="K167" s="1527">
        <f t="shared" si="69"/>
        <v>0</v>
      </c>
      <c r="L167" s="1528">
        <v>1055</v>
      </c>
      <c r="M167" s="1529">
        <v>0</v>
      </c>
      <c r="N167" s="1530">
        <f t="shared" si="70"/>
        <v>0</v>
      </c>
      <c r="Q167" s="9"/>
      <c r="R167" s="9"/>
      <c r="S167" s="9"/>
      <c r="T167" s="9"/>
      <c r="U167" s="9"/>
    </row>
    <row r="168" spans="2:21" ht="15" x14ac:dyDescent="0.3">
      <c r="B168" s="1214" t="s">
        <v>915</v>
      </c>
      <c r="C168" s="1519">
        <v>20</v>
      </c>
      <c r="D168" s="1519"/>
      <c r="E168" s="1521">
        <f>D168/C168</f>
        <v>0</v>
      </c>
      <c r="F168" s="1522">
        <v>173</v>
      </c>
      <c r="G168" s="1523">
        <v>81</v>
      </c>
      <c r="H168" s="1524">
        <v>0.47</v>
      </c>
      <c r="I168" s="1525">
        <v>619</v>
      </c>
      <c r="J168" s="1526">
        <v>278</v>
      </c>
      <c r="K168" s="1527">
        <f t="shared" si="69"/>
        <v>0.44911147011308561</v>
      </c>
      <c r="L168" s="1528">
        <v>1056</v>
      </c>
      <c r="M168" s="1529">
        <v>538</v>
      </c>
      <c r="N168" s="1530">
        <f t="shared" si="70"/>
        <v>0.50946969696969702</v>
      </c>
      <c r="Q168" s="9"/>
      <c r="R168" s="9"/>
      <c r="S168" s="9"/>
      <c r="T168" s="9"/>
      <c r="U168" s="9"/>
    </row>
    <row r="169" spans="2:21" ht="15" x14ac:dyDescent="0.3">
      <c r="B169" s="1382" t="s">
        <v>1004</v>
      </c>
      <c r="C169" s="1520">
        <v>9491</v>
      </c>
      <c r="D169" s="1520">
        <v>327</v>
      </c>
      <c r="E169" s="1521">
        <f>D169/C169</f>
        <v>3.4453692972289535E-2</v>
      </c>
      <c r="F169" s="1523">
        <v>10156</v>
      </c>
      <c r="G169" s="1523">
        <v>2698</v>
      </c>
      <c r="H169" s="1524">
        <v>0.27</v>
      </c>
      <c r="I169" s="1526">
        <v>11685</v>
      </c>
      <c r="J169" s="1526">
        <v>2864</v>
      </c>
      <c r="K169" s="1527">
        <f t="shared" si="69"/>
        <v>0.24510055626872057</v>
      </c>
      <c r="L169" s="1529">
        <v>12638</v>
      </c>
      <c r="M169" s="1529">
        <f>SUM(M162:M168)</f>
        <v>3144</v>
      </c>
      <c r="N169" s="1530">
        <f t="shared" si="70"/>
        <v>0.24877354011710714</v>
      </c>
      <c r="Q169" s="9"/>
      <c r="R169" s="9"/>
      <c r="S169" s="9"/>
      <c r="T169" s="9"/>
      <c r="U169" s="9"/>
    </row>
    <row r="170" spans="2:21" ht="15" x14ac:dyDescent="0.3">
      <c r="B170" s="617"/>
      <c r="C170" s="617"/>
      <c r="D170" s="617"/>
      <c r="E170" s="617"/>
      <c r="F170" s="617"/>
      <c r="G170" s="617"/>
      <c r="H170" s="617"/>
      <c r="I170" s="617"/>
      <c r="J170" s="617"/>
      <c r="K170" s="617"/>
    </row>
    <row r="171" spans="2:21" ht="15" x14ac:dyDescent="0.3">
      <c r="B171" s="1852" t="s">
        <v>1005</v>
      </c>
      <c r="C171" s="1853" t="s">
        <v>459</v>
      </c>
      <c r="D171" s="1853"/>
      <c r="E171" s="1853"/>
      <c r="F171" s="617"/>
      <c r="G171" s="617"/>
      <c r="H171" s="617"/>
      <c r="I171" s="617"/>
      <c r="J171" s="617"/>
      <c r="K171" s="617"/>
    </row>
    <row r="172" spans="2:21" ht="40.5" x14ac:dyDescent="0.3">
      <c r="B172" s="1852"/>
      <c r="C172" s="1518" t="s">
        <v>923</v>
      </c>
      <c r="D172" s="1378" t="s">
        <v>1003</v>
      </c>
      <c r="E172" s="1378" t="s">
        <v>992</v>
      </c>
      <c r="F172" s="617"/>
      <c r="G172" s="617"/>
      <c r="H172" s="617"/>
      <c r="I172" s="617"/>
      <c r="J172" s="617"/>
      <c r="K172" s="617"/>
    </row>
    <row r="173" spans="2:21" ht="15" x14ac:dyDescent="0.3">
      <c r="B173" s="1214" t="s">
        <v>911</v>
      </c>
      <c r="C173" s="1519">
        <v>3229</v>
      </c>
      <c r="D173" s="1520">
        <v>680</v>
      </c>
      <c r="E173" s="1521">
        <f>D173/C173</f>
        <v>0.21059151440074325</v>
      </c>
      <c r="F173" s="617"/>
      <c r="G173" s="617"/>
      <c r="H173" s="617"/>
      <c r="I173" s="617"/>
      <c r="J173" s="617"/>
      <c r="K173" s="617"/>
    </row>
    <row r="174" spans="2:21" ht="15" x14ac:dyDescent="0.3">
      <c r="B174" s="1214" t="s">
        <v>912</v>
      </c>
      <c r="C174" s="1519">
        <v>2208</v>
      </c>
      <c r="D174" s="1520">
        <v>672</v>
      </c>
      <c r="E174" s="1521">
        <f t="shared" ref="E174:E176" si="71">D174/C174</f>
        <v>0.30434782608695654</v>
      </c>
      <c r="F174" s="617"/>
      <c r="G174" s="617"/>
      <c r="H174" s="617"/>
      <c r="I174" s="617"/>
      <c r="J174" s="617"/>
      <c r="K174" s="617"/>
    </row>
    <row r="175" spans="2:21" ht="15" x14ac:dyDescent="0.3">
      <c r="B175" s="1214" t="s">
        <v>924</v>
      </c>
      <c r="C175" s="1519">
        <v>135</v>
      </c>
      <c r="D175" s="1520">
        <v>72</v>
      </c>
      <c r="E175" s="1521">
        <f>D175/C175</f>
        <v>0.53333333333333333</v>
      </c>
      <c r="F175" s="617"/>
      <c r="G175" s="617"/>
      <c r="H175" s="617"/>
      <c r="I175" s="617"/>
      <c r="J175" s="617"/>
      <c r="K175" s="617"/>
    </row>
    <row r="176" spans="2:21" ht="15" x14ac:dyDescent="0.3">
      <c r="B176" s="1214" t="s">
        <v>913</v>
      </c>
      <c r="C176" s="1519">
        <v>1876</v>
      </c>
      <c r="D176" s="1520">
        <v>436</v>
      </c>
      <c r="E176" s="1521">
        <f t="shared" si="71"/>
        <v>0.23240938166311301</v>
      </c>
      <c r="F176" s="617"/>
      <c r="G176" s="617"/>
      <c r="H176" s="617"/>
      <c r="I176" s="617"/>
      <c r="J176" s="617"/>
      <c r="K176" s="617"/>
    </row>
    <row r="177" spans="1:28" ht="15" x14ac:dyDescent="0.3">
      <c r="B177" s="1214" t="s">
        <v>914</v>
      </c>
      <c r="C177" s="1519">
        <v>2023</v>
      </c>
      <c r="D177" s="1520">
        <v>778</v>
      </c>
      <c r="E177" s="1521">
        <f>D177/C177</f>
        <v>0.38457736035590706</v>
      </c>
      <c r="F177" s="617"/>
      <c r="G177" s="617"/>
      <c r="H177" s="617"/>
      <c r="I177" s="617"/>
      <c r="J177" s="617"/>
      <c r="K177" s="617"/>
    </row>
    <row r="178" spans="1:28" ht="15" x14ac:dyDescent="0.3">
      <c r="B178" s="1214" t="s">
        <v>915</v>
      </c>
      <c r="C178" s="1519">
        <v>20</v>
      </c>
      <c r="D178" s="1520">
        <v>0</v>
      </c>
      <c r="E178" s="1521">
        <v>0</v>
      </c>
      <c r="F178" s="617"/>
      <c r="G178" s="617"/>
      <c r="H178" s="617"/>
      <c r="I178" s="617"/>
      <c r="J178" s="617"/>
      <c r="K178" s="617"/>
    </row>
    <row r="179" spans="1:28" ht="15" x14ac:dyDescent="0.3">
      <c r="B179" s="1382" t="s">
        <v>1004</v>
      </c>
      <c r="C179" s="1520">
        <v>9491</v>
      </c>
      <c r="D179" s="1520">
        <v>2638</v>
      </c>
      <c r="E179" s="1521">
        <f>D179/C179</f>
        <v>0.27794752923822569</v>
      </c>
      <c r="F179" s="617"/>
      <c r="G179" s="617"/>
      <c r="H179" s="617"/>
      <c r="I179" s="617"/>
      <c r="J179" s="617"/>
      <c r="K179" s="617"/>
    </row>
    <row r="180" spans="1:28" ht="15" x14ac:dyDescent="0.3">
      <c r="B180" s="617"/>
      <c r="C180" s="617"/>
      <c r="D180" s="617"/>
      <c r="E180" s="617"/>
      <c r="F180" s="617"/>
      <c r="G180" s="617"/>
      <c r="H180" s="617"/>
      <c r="I180" s="617"/>
      <c r="J180" s="617"/>
      <c r="K180" s="617"/>
    </row>
    <row r="181" spans="1:28" ht="17.5" x14ac:dyDescent="0.25">
      <c r="B181" s="1531" t="s">
        <v>1006</v>
      </c>
      <c r="C181" s="1847" t="s">
        <v>459</v>
      </c>
      <c r="D181" s="1847"/>
      <c r="E181" s="1847"/>
      <c r="F181" s="1847"/>
      <c r="G181" s="1847"/>
      <c r="H181" s="1848" t="s">
        <v>460</v>
      </c>
      <c r="I181" s="1848"/>
      <c r="J181" s="1848"/>
      <c r="K181" s="1848"/>
      <c r="L181" s="1848"/>
      <c r="M181" s="1848" t="s">
        <v>461</v>
      </c>
      <c r="N181" s="1848"/>
      <c r="O181" s="1848"/>
      <c r="P181" s="1848"/>
      <c r="Q181" s="1848" t="s">
        <v>462</v>
      </c>
      <c r="R181" s="1848"/>
      <c r="S181" s="1848"/>
      <c r="T181" s="1848"/>
      <c r="U181" s="9"/>
      <c r="V181" s="9"/>
      <c r="W181" s="9"/>
      <c r="X181" s="9"/>
      <c r="Y181" s="9"/>
      <c r="Z181" s="9"/>
      <c r="AA181" s="9"/>
    </row>
    <row r="182" spans="1:28" ht="60" x14ac:dyDescent="0.25">
      <c r="B182" s="1457" t="s">
        <v>905</v>
      </c>
      <c r="C182" s="1458" t="s">
        <v>906</v>
      </c>
      <c r="D182" s="1458" t="s">
        <v>907</v>
      </c>
      <c r="E182" s="1458" t="s">
        <v>908</v>
      </c>
      <c r="F182" s="1458" t="s">
        <v>757</v>
      </c>
      <c r="G182" s="1458" t="s">
        <v>909</v>
      </c>
      <c r="H182" s="1458" t="s">
        <v>906</v>
      </c>
      <c r="I182" s="1458" t="s">
        <v>907</v>
      </c>
      <c r="J182" s="1458" t="s">
        <v>908</v>
      </c>
      <c r="K182" s="1458" t="s">
        <v>757</v>
      </c>
      <c r="L182" s="1458" t="s">
        <v>909</v>
      </c>
      <c r="M182" s="1497" t="s">
        <v>906</v>
      </c>
      <c r="N182" s="1497" t="s">
        <v>907</v>
      </c>
      <c r="O182" s="1497" t="s">
        <v>757</v>
      </c>
      <c r="P182" s="1458" t="s">
        <v>909</v>
      </c>
      <c r="Q182" s="1497" t="s">
        <v>906</v>
      </c>
      <c r="R182" s="1497" t="s">
        <v>907</v>
      </c>
      <c r="S182" s="1497" t="s">
        <v>757</v>
      </c>
      <c r="T182" s="1458" t="s">
        <v>909</v>
      </c>
      <c r="U182" s="9"/>
      <c r="V182" s="9"/>
      <c r="W182" s="9"/>
      <c r="X182" s="9"/>
      <c r="Y182" s="9"/>
      <c r="Z182" s="9"/>
      <c r="AA182" s="9"/>
      <c r="AB182" s="9"/>
    </row>
    <row r="183" spans="1:28" ht="15" x14ac:dyDescent="0.3">
      <c r="B183" s="1214" t="s">
        <v>911</v>
      </c>
      <c r="C183" s="1499">
        <v>103</v>
      </c>
      <c r="D183" s="1499">
        <v>228</v>
      </c>
      <c r="E183" s="1499"/>
      <c r="F183" s="1499">
        <v>331</v>
      </c>
      <c r="G183" s="1461">
        <f>F183/F33</f>
        <v>0.10250851656859709</v>
      </c>
      <c r="H183" s="1375">
        <v>123</v>
      </c>
      <c r="I183" s="1375">
        <v>290</v>
      </c>
      <c r="J183" s="1375">
        <v>0</v>
      </c>
      <c r="K183" s="1375">
        <v>413</v>
      </c>
      <c r="L183" s="1532">
        <f>K183/K33</f>
        <v>0.11847389558232932</v>
      </c>
      <c r="M183" s="1492">
        <v>135</v>
      </c>
      <c r="N183" s="1492">
        <v>271</v>
      </c>
      <c r="O183" s="1492">
        <f t="shared" ref="O183:O189" si="72">SUM(M183:N183)</f>
        <v>406</v>
      </c>
      <c r="P183" s="1488">
        <f>O183/O33</f>
        <v>0.10466615106986336</v>
      </c>
      <c r="Q183" s="1468">
        <v>215</v>
      </c>
      <c r="R183" s="1468">
        <v>370</v>
      </c>
      <c r="S183" s="1468">
        <v>585</v>
      </c>
      <c r="T183" s="1373">
        <f>S183/S33</f>
        <v>0.14341750429026723</v>
      </c>
      <c r="U183" s="9"/>
      <c r="V183" s="9"/>
      <c r="W183" s="9"/>
      <c r="X183" s="9"/>
      <c r="Y183" s="9"/>
      <c r="Z183" s="9"/>
      <c r="AA183" s="9"/>
      <c r="AB183" s="9"/>
    </row>
    <row r="184" spans="1:28" ht="15" x14ac:dyDescent="0.3">
      <c r="B184" s="1214" t="s">
        <v>912</v>
      </c>
      <c r="C184" s="1499">
        <v>51</v>
      </c>
      <c r="D184" s="1499">
        <v>80</v>
      </c>
      <c r="E184" s="1499">
        <v>1</v>
      </c>
      <c r="F184" s="1499">
        <v>132</v>
      </c>
      <c r="G184" s="1461">
        <f>F184/F34</f>
        <v>5.9782608695652176E-2</v>
      </c>
      <c r="H184" s="1375">
        <v>78</v>
      </c>
      <c r="I184" s="1375">
        <v>111</v>
      </c>
      <c r="J184" s="1375">
        <v>1</v>
      </c>
      <c r="K184" s="1375">
        <v>190</v>
      </c>
      <c r="L184" s="1532">
        <f>K184/K34</f>
        <v>8.085106382978724E-2</v>
      </c>
      <c r="M184" s="1492">
        <v>76</v>
      </c>
      <c r="N184" s="1492">
        <v>113</v>
      </c>
      <c r="O184" s="1492">
        <f t="shared" si="72"/>
        <v>189</v>
      </c>
      <c r="P184" s="1488">
        <f>O184/O34</f>
        <v>6.5716272600834486E-2</v>
      </c>
      <c r="Q184" s="1468">
        <v>83</v>
      </c>
      <c r="R184" s="1468">
        <v>102</v>
      </c>
      <c r="S184" s="1468">
        <v>185</v>
      </c>
      <c r="T184" s="1373">
        <f>S184/S34</f>
        <v>6.4730580825752268E-2</v>
      </c>
      <c r="U184" s="9"/>
      <c r="V184" s="9"/>
      <c r="W184" s="9"/>
      <c r="X184" s="9"/>
      <c r="Y184" s="9"/>
      <c r="Z184" s="9"/>
      <c r="AA184" s="9"/>
      <c r="AB184" s="9"/>
    </row>
    <row r="185" spans="1:28" ht="15" x14ac:dyDescent="0.3">
      <c r="B185" s="1214" t="s">
        <v>913</v>
      </c>
      <c r="C185" s="1499">
        <v>45</v>
      </c>
      <c r="D185" s="1499">
        <v>106</v>
      </c>
      <c r="E185" s="1499">
        <v>3</v>
      </c>
      <c r="F185" s="1499">
        <v>154</v>
      </c>
      <c r="G185" s="1461">
        <f>F185/F35</f>
        <v>8.2089552238805971E-2</v>
      </c>
      <c r="H185" s="1375">
        <v>77</v>
      </c>
      <c r="I185" s="1375">
        <v>129</v>
      </c>
      <c r="J185" s="1375">
        <v>8</v>
      </c>
      <c r="K185" s="1375">
        <v>214</v>
      </c>
      <c r="L185" s="1532">
        <f>K185/K35</f>
        <v>0.10835443037974683</v>
      </c>
      <c r="M185" s="1492">
        <v>77</v>
      </c>
      <c r="N185" s="1492">
        <v>252</v>
      </c>
      <c r="O185" s="1492">
        <f t="shared" si="72"/>
        <v>329</v>
      </c>
      <c r="P185" s="1488">
        <f>O185/O35</f>
        <v>0.16335650446871897</v>
      </c>
      <c r="Q185" s="1468">
        <v>99</v>
      </c>
      <c r="R185" s="1468">
        <v>205</v>
      </c>
      <c r="S185" s="1468">
        <v>304</v>
      </c>
      <c r="T185" s="1373">
        <f>S185/S35</f>
        <v>0.13906678865507777</v>
      </c>
      <c r="U185" s="9"/>
      <c r="V185" s="9"/>
      <c r="W185" s="9"/>
      <c r="X185" s="9"/>
      <c r="Y185" s="9"/>
      <c r="Z185" s="9"/>
      <c r="AA185" s="9"/>
      <c r="AB185" s="9"/>
    </row>
    <row r="186" spans="1:28" ht="15" x14ac:dyDescent="0.3">
      <c r="B186" s="1214" t="s">
        <v>914</v>
      </c>
      <c r="C186" s="1499">
        <v>20</v>
      </c>
      <c r="D186" s="1499">
        <v>111</v>
      </c>
      <c r="E186" s="1499">
        <v>1</v>
      </c>
      <c r="F186" s="1499">
        <v>132</v>
      </c>
      <c r="G186" s="1461">
        <f>F186/F36</f>
        <v>6.5249629263470096E-2</v>
      </c>
      <c r="H186" s="1375">
        <v>27</v>
      </c>
      <c r="I186" s="1375">
        <v>90</v>
      </c>
      <c r="J186" s="1375">
        <v>0</v>
      </c>
      <c r="K186" s="1375">
        <v>117</v>
      </c>
      <c r="L186" s="1532">
        <f>K186/K36</f>
        <v>5.3867403314917128E-2</v>
      </c>
      <c r="M186" s="1492">
        <v>43</v>
      </c>
      <c r="N186" s="1492">
        <v>133</v>
      </c>
      <c r="O186" s="1492">
        <f t="shared" si="72"/>
        <v>176</v>
      </c>
      <c r="P186" s="1488">
        <f>O186/O36</f>
        <v>7.6621680452764476E-2</v>
      </c>
      <c r="Q186" s="1468">
        <v>42</v>
      </c>
      <c r="R186" s="1468">
        <v>111</v>
      </c>
      <c r="S186" s="1468">
        <v>153</v>
      </c>
      <c r="T186" s="1373">
        <f>S186/S36</f>
        <v>6.2220414802765349E-2</v>
      </c>
      <c r="U186" s="9"/>
      <c r="V186" s="9"/>
      <c r="W186" s="9"/>
      <c r="X186" s="9"/>
      <c r="Y186" s="9"/>
      <c r="Z186" s="9"/>
      <c r="AA186" s="9"/>
      <c r="AB186" s="9"/>
    </row>
    <row r="187" spans="1:28" ht="15" x14ac:dyDescent="0.3">
      <c r="B187" s="1214" t="s">
        <v>924</v>
      </c>
      <c r="C187" s="1499">
        <v>2</v>
      </c>
      <c r="D187" s="1499"/>
      <c r="E187" s="1499"/>
      <c r="F187" s="1499">
        <v>2</v>
      </c>
      <c r="G187" s="1461">
        <f>F187/F37</f>
        <v>1.4814814814814815E-2</v>
      </c>
      <c r="H187" s="1388"/>
      <c r="I187" s="1388"/>
      <c r="J187" s="1388"/>
      <c r="K187" s="1388"/>
      <c r="L187" s="1388"/>
      <c r="M187" s="1388"/>
      <c r="N187" s="1388"/>
      <c r="O187" s="1388"/>
      <c r="P187" s="1388"/>
      <c r="Q187" s="1388"/>
      <c r="R187" s="1388"/>
      <c r="S187" s="1388"/>
      <c r="T187" s="1388"/>
      <c r="U187" s="9"/>
      <c r="V187" s="9"/>
      <c r="W187" s="9"/>
      <c r="X187" s="9"/>
      <c r="Y187" s="9"/>
      <c r="Z187" s="9"/>
      <c r="AA187" s="9"/>
      <c r="AB187" s="9"/>
    </row>
    <row r="188" spans="1:28" ht="15" x14ac:dyDescent="0.3">
      <c r="B188" s="1214" t="s">
        <v>915</v>
      </c>
      <c r="C188" s="1387"/>
      <c r="D188" s="1387"/>
      <c r="E188" s="1387"/>
      <c r="F188" s="1387"/>
      <c r="G188" s="1533"/>
      <c r="H188" s="1375">
        <v>2</v>
      </c>
      <c r="I188" s="1375">
        <v>7</v>
      </c>
      <c r="J188" s="1375">
        <v>1</v>
      </c>
      <c r="K188" s="1375">
        <v>10</v>
      </c>
      <c r="L188" s="1532">
        <f>K188/K38</f>
        <v>5.7803468208092484E-2</v>
      </c>
      <c r="M188" s="1492">
        <v>10</v>
      </c>
      <c r="N188" s="1492">
        <v>71</v>
      </c>
      <c r="O188" s="1492">
        <f t="shared" si="72"/>
        <v>81</v>
      </c>
      <c r="P188" s="1488">
        <f>O188/O38</f>
        <v>0.13085621970920841</v>
      </c>
      <c r="Q188" s="1468">
        <v>13</v>
      </c>
      <c r="R188" s="1468">
        <v>38</v>
      </c>
      <c r="S188" s="1468">
        <v>51</v>
      </c>
      <c r="T188" s="1373">
        <f>S188/S38</f>
        <v>4.8295454545454544E-2</v>
      </c>
      <c r="U188" s="9"/>
      <c r="V188" s="9"/>
      <c r="W188" s="9"/>
      <c r="X188" s="9"/>
      <c r="Y188" s="9"/>
      <c r="Z188" s="9"/>
      <c r="AA188" s="9"/>
      <c r="AB188" s="9"/>
    </row>
    <row r="189" spans="1:28" ht="15" x14ac:dyDescent="0.3">
      <c r="B189" s="1382" t="s">
        <v>1004</v>
      </c>
      <c r="C189" s="1534">
        <v>221</v>
      </c>
      <c r="D189" s="1534">
        <v>525</v>
      </c>
      <c r="E189" s="1499">
        <v>5</v>
      </c>
      <c r="F189" s="1534">
        <v>751</v>
      </c>
      <c r="G189" s="1461">
        <f>F189/F39</f>
        <v>7.9127594563270467E-2</v>
      </c>
      <c r="H189" s="1535">
        <v>303</v>
      </c>
      <c r="I189" s="1535">
        <v>626</v>
      </c>
      <c r="J189" s="1375">
        <v>10</v>
      </c>
      <c r="K189" s="1535">
        <v>939</v>
      </c>
      <c r="L189" s="1532">
        <f>K189/K39</f>
        <v>9.2457660496258365E-2</v>
      </c>
      <c r="M189" s="1536">
        <v>341</v>
      </c>
      <c r="N189" s="1536">
        <v>840</v>
      </c>
      <c r="O189" s="1492">
        <f t="shared" si="72"/>
        <v>1181</v>
      </c>
      <c r="P189" s="1488">
        <f>O189/O39</f>
        <v>0.10106974753958066</v>
      </c>
      <c r="Q189" s="1537">
        <f>SUM(Q183:Q188)</f>
        <v>452</v>
      </c>
      <c r="R189" s="1537">
        <f>SUM(R183:R188)</f>
        <v>826</v>
      </c>
      <c r="S189" s="1502">
        <f>SUM(S183:S188)</f>
        <v>1278</v>
      </c>
      <c r="T189" s="1373">
        <f>S189/S39</f>
        <v>0.10112359550561797</v>
      </c>
      <c r="U189" s="9"/>
      <c r="V189" s="9"/>
      <c r="W189" s="9"/>
      <c r="X189" s="9"/>
      <c r="Y189" s="9"/>
      <c r="Z189" s="9"/>
      <c r="AA189" s="9"/>
      <c r="AB189" s="9"/>
    </row>
    <row r="190" spans="1:28" ht="13.5" x14ac:dyDescent="0.25">
      <c r="D190" s="90"/>
    </row>
    <row r="191" spans="1:28" ht="17.5" x14ac:dyDescent="0.25">
      <c r="B191" s="1531" t="s">
        <v>1007</v>
      </c>
      <c r="C191" s="1847" t="s">
        <v>459</v>
      </c>
      <c r="D191" s="1847"/>
      <c r="E191" s="1847"/>
      <c r="F191" s="1847"/>
      <c r="G191" s="1847"/>
      <c r="H191" s="1847" t="s">
        <v>460</v>
      </c>
      <c r="I191" s="1847"/>
      <c r="J191" s="1847"/>
      <c r="K191" s="1847"/>
      <c r="L191" s="1847"/>
      <c r="M191" s="1848" t="s">
        <v>461</v>
      </c>
      <c r="N191" s="1848"/>
      <c r="O191" s="1848"/>
      <c r="P191" s="1848"/>
      <c r="Q191" s="1848" t="s">
        <v>462</v>
      </c>
      <c r="R191" s="1848"/>
      <c r="S191" s="1848"/>
      <c r="T191" s="1848"/>
      <c r="U191" s="9"/>
      <c r="V191" s="9"/>
      <c r="W191" s="9"/>
      <c r="X191" s="9"/>
      <c r="Y191" s="9"/>
      <c r="Z191" s="9"/>
    </row>
    <row r="192" spans="1:28" ht="60" x14ac:dyDescent="0.25">
      <c r="A192" s="9"/>
      <c r="B192" s="1457" t="s">
        <v>905</v>
      </c>
      <c r="C192" s="1458" t="s">
        <v>906</v>
      </c>
      <c r="D192" s="1458" t="s">
        <v>907</v>
      </c>
      <c r="E192" s="1458" t="s">
        <v>908</v>
      </c>
      <c r="F192" s="1458" t="s">
        <v>757</v>
      </c>
      <c r="G192" s="1458" t="s">
        <v>909</v>
      </c>
      <c r="H192" s="1458" t="s">
        <v>906</v>
      </c>
      <c r="I192" s="1458" t="s">
        <v>907</v>
      </c>
      <c r="J192" s="1458" t="s">
        <v>908</v>
      </c>
      <c r="K192" s="1458" t="s">
        <v>757</v>
      </c>
      <c r="L192" s="1458" t="s">
        <v>909</v>
      </c>
      <c r="M192" s="1497" t="s">
        <v>906</v>
      </c>
      <c r="N192" s="1497" t="s">
        <v>907</v>
      </c>
      <c r="O192" s="1497" t="s">
        <v>757</v>
      </c>
      <c r="P192" s="1458" t="s">
        <v>909</v>
      </c>
      <c r="Q192" s="1497" t="s">
        <v>906</v>
      </c>
      <c r="R192" s="1497" t="s">
        <v>907</v>
      </c>
      <c r="S192" s="1497" t="s">
        <v>757</v>
      </c>
      <c r="T192" s="1458" t="s">
        <v>909</v>
      </c>
      <c r="U192" s="9"/>
      <c r="V192" s="9"/>
      <c r="W192" s="9"/>
      <c r="X192" s="9"/>
      <c r="Y192" s="9"/>
      <c r="Z192" s="9"/>
    </row>
    <row r="193" spans="1:36" ht="15" x14ac:dyDescent="0.25">
      <c r="A193" s="1371"/>
      <c r="B193" s="1266" t="s">
        <v>1008</v>
      </c>
      <c r="C193" s="1499">
        <v>114</v>
      </c>
      <c r="D193" s="1499">
        <v>176</v>
      </c>
      <c r="E193" s="1499">
        <v>0</v>
      </c>
      <c r="F193" s="1499">
        <v>290</v>
      </c>
      <c r="G193" s="1500">
        <f>C193/F193</f>
        <v>0.39310344827586208</v>
      </c>
      <c r="H193" s="1375">
        <v>109</v>
      </c>
      <c r="I193" s="1375">
        <v>177</v>
      </c>
      <c r="J193" s="1375">
        <v>0</v>
      </c>
      <c r="K193" s="1375">
        <v>286</v>
      </c>
      <c r="L193" s="1500">
        <f>H193/K193</f>
        <v>0.38111888111888109</v>
      </c>
      <c r="M193" s="1492">
        <v>37</v>
      </c>
      <c r="N193" s="1492">
        <v>118</v>
      </c>
      <c r="O193" s="1492">
        <f>SUM(M193:N193)</f>
        <v>155</v>
      </c>
      <c r="P193" s="1488">
        <f>M193/O193</f>
        <v>0.23870967741935484</v>
      </c>
      <c r="Q193" s="1468">
        <v>14</v>
      </c>
      <c r="R193" s="1468">
        <v>85</v>
      </c>
      <c r="S193" s="1468">
        <f>SUM(Q193:R193)</f>
        <v>99</v>
      </c>
      <c r="T193" s="1488">
        <f>Q193/S193</f>
        <v>0.14141414141414141</v>
      </c>
      <c r="U193" s="9"/>
      <c r="V193" s="9"/>
      <c r="W193" s="9"/>
      <c r="X193" s="9"/>
      <c r="Y193" s="9"/>
      <c r="Z193" s="9"/>
    </row>
    <row r="194" spans="1:36" ht="30" x14ac:dyDescent="0.25">
      <c r="A194" s="1371"/>
      <c r="B194" s="1540" t="s">
        <v>1009</v>
      </c>
      <c r="C194" s="1460">
        <v>41</v>
      </c>
      <c r="D194" s="1499">
        <v>167</v>
      </c>
      <c r="E194" s="1460">
        <v>0</v>
      </c>
      <c r="F194" s="1499">
        <v>208</v>
      </c>
      <c r="G194" s="1500">
        <f>C194/F194</f>
        <v>0.19711538461538461</v>
      </c>
      <c r="H194" s="1375">
        <v>44</v>
      </c>
      <c r="I194" s="1375">
        <v>159</v>
      </c>
      <c r="J194" s="1375">
        <v>0</v>
      </c>
      <c r="K194" s="1375">
        <v>203</v>
      </c>
      <c r="L194" s="1500">
        <f>H194/K194</f>
        <v>0.21674876847290642</v>
      </c>
      <c r="M194" s="1492">
        <v>20</v>
      </c>
      <c r="N194" s="1492">
        <v>114</v>
      </c>
      <c r="O194" s="1492">
        <f>SUM(M194:N194)</f>
        <v>134</v>
      </c>
      <c r="P194" s="1488">
        <f>M194/O194</f>
        <v>0.14925373134328357</v>
      </c>
      <c r="Q194" s="1468">
        <v>14</v>
      </c>
      <c r="R194" s="1468">
        <v>85</v>
      </c>
      <c r="S194" s="1468">
        <f>SUM(Q194:R194)</f>
        <v>99</v>
      </c>
      <c r="T194" s="1488">
        <f>Q194/S194</f>
        <v>0.14141414141414141</v>
      </c>
      <c r="U194" s="9"/>
      <c r="V194" s="9"/>
      <c r="W194" s="9"/>
      <c r="X194" s="9"/>
      <c r="Y194" s="9"/>
      <c r="Z194" s="9"/>
    </row>
    <row r="195" spans="1:36" ht="30" hidden="1" x14ac:dyDescent="0.25">
      <c r="A195" s="1371"/>
      <c r="B195" s="1538" t="s">
        <v>1010</v>
      </c>
      <c r="C195" s="1539"/>
      <c r="D195" s="1539"/>
      <c r="E195" s="1539"/>
      <c r="F195" s="1539"/>
      <c r="G195" s="1539"/>
      <c r="H195" s="1539"/>
      <c r="I195" s="1539"/>
    </row>
    <row r="196" spans="1:36" ht="15" hidden="1" x14ac:dyDescent="0.25">
      <c r="A196" s="1371"/>
      <c r="B196" s="535" t="s">
        <v>1011</v>
      </c>
      <c r="C196" s="983"/>
      <c r="D196" s="983"/>
      <c r="E196" s="983"/>
      <c r="F196" s="982"/>
      <c r="G196" s="983"/>
      <c r="H196" s="983"/>
      <c r="I196" s="982"/>
    </row>
    <row r="197" spans="1:36" ht="15" x14ac:dyDescent="0.25">
      <c r="B197" s="959"/>
      <c r="C197" s="1041"/>
      <c r="D197" s="984"/>
      <c r="E197" s="984"/>
      <c r="F197" s="985"/>
      <c r="G197" s="984"/>
      <c r="H197" s="984"/>
      <c r="I197" s="985"/>
    </row>
    <row r="198" spans="1:36" ht="17.5" x14ac:dyDescent="0.25">
      <c r="B198" s="1531" t="s">
        <v>1012</v>
      </c>
      <c r="C198" s="1847" t="s">
        <v>459</v>
      </c>
      <c r="D198" s="1847"/>
      <c r="E198" s="1847"/>
      <c r="F198" s="1847"/>
      <c r="G198" s="1847" t="s">
        <v>460</v>
      </c>
      <c r="H198" s="1847"/>
      <c r="I198" s="1847"/>
      <c r="J198" s="1847"/>
      <c r="K198" s="1848" t="s">
        <v>461</v>
      </c>
      <c r="L198" s="1848"/>
      <c r="M198" s="1848"/>
      <c r="N198" s="984"/>
      <c r="O198" s="984"/>
      <c r="P198" s="985"/>
      <c r="Q198" s="9"/>
      <c r="R198" s="9"/>
      <c r="S198" s="9"/>
      <c r="T198" s="9"/>
      <c r="U198" s="9"/>
      <c r="V198" s="9"/>
      <c r="W198" s="9"/>
    </row>
    <row r="199" spans="1:36" ht="30" x14ac:dyDescent="0.25">
      <c r="B199" s="1457" t="s">
        <v>905</v>
      </c>
      <c r="C199" s="1458" t="s">
        <v>906</v>
      </c>
      <c r="D199" s="1458" t="s">
        <v>907</v>
      </c>
      <c r="E199" s="1458" t="s">
        <v>908</v>
      </c>
      <c r="F199" s="1458" t="s">
        <v>757</v>
      </c>
      <c r="G199" s="1458" t="s">
        <v>906</v>
      </c>
      <c r="H199" s="1458" t="s">
        <v>907</v>
      </c>
      <c r="I199" s="1458" t="s">
        <v>908</v>
      </c>
      <c r="J199" s="1458" t="s">
        <v>757</v>
      </c>
      <c r="K199" s="1497" t="s">
        <v>906</v>
      </c>
      <c r="L199" s="1497" t="s">
        <v>907</v>
      </c>
      <c r="M199" s="1497" t="s">
        <v>757</v>
      </c>
      <c r="N199" s="984"/>
      <c r="O199" s="984"/>
      <c r="P199" s="985"/>
      <c r="Q199" s="9"/>
      <c r="R199" s="9"/>
      <c r="S199" s="9"/>
      <c r="T199" s="9"/>
      <c r="U199" s="9"/>
      <c r="V199" s="9"/>
      <c r="W199" s="9"/>
    </row>
    <row r="200" spans="1:36" ht="15" x14ac:dyDescent="0.25">
      <c r="B200" s="1266" t="s">
        <v>1013</v>
      </c>
      <c r="C200" s="1541">
        <f>C33/F39</f>
        <v>9.746075229164472E-2</v>
      </c>
      <c r="D200" s="1541">
        <f>D33/F39</f>
        <v>0.24275629543778315</v>
      </c>
      <c r="E200" s="1541">
        <v>0</v>
      </c>
      <c r="F200" s="1541">
        <f>F33/F39</f>
        <v>0.3402170477294279</v>
      </c>
      <c r="G200" s="1508">
        <f>H33/K39</f>
        <v>0.10023631350925562</v>
      </c>
      <c r="H200" s="1508">
        <f>I33/K39</f>
        <v>0.24300905868452147</v>
      </c>
      <c r="I200" s="1508">
        <f>J33/K39</f>
        <v>0</v>
      </c>
      <c r="J200" s="1508">
        <f>K33/K39</f>
        <v>0.3432453721937771</v>
      </c>
      <c r="K200" s="1510">
        <f>M33/O39</f>
        <v>9.9786050492083875E-2</v>
      </c>
      <c r="L200" s="1510">
        <f>N33/O39</f>
        <v>0.23217800599058622</v>
      </c>
      <c r="M200" s="1510">
        <f>O33/O39</f>
        <v>0.33196405648267008</v>
      </c>
      <c r="N200" s="984"/>
      <c r="O200" s="984"/>
      <c r="P200" s="985"/>
      <c r="Q200" s="9"/>
      <c r="R200" s="9"/>
      <c r="S200" s="9"/>
      <c r="T200" s="9"/>
      <c r="U200" s="9"/>
      <c r="V200" s="9"/>
      <c r="W200" s="9"/>
    </row>
    <row r="201" spans="1:36" ht="13.5" x14ac:dyDescent="0.25">
      <c r="Q201" s="9"/>
      <c r="R201" s="9"/>
      <c r="S201" s="9"/>
    </row>
    <row r="202" spans="1:36" ht="17.5" x14ac:dyDescent="0.25">
      <c r="B202" s="1531" t="s">
        <v>1014</v>
      </c>
      <c r="C202" s="1847" t="s">
        <v>459</v>
      </c>
      <c r="D202" s="1847"/>
      <c r="E202" s="1847"/>
      <c r="F202" s="1847"/>
      <c r="G202" s="1847" t="s">
        <v>459</v>
      </c>
      <c r="H202" s="1847"/>
      <c r="I202" s="1847"/>
      <c r="J202" s="1847"/>
      <c r="K202" s="1847" t="s">
        <v>460</v>
      </c>
      <c r="L202" s="1847"/>
      <c r="M202" s="1847"/>
      <c r="N202" s="1847"/>
      <c r="O202" s="1847" t="s">
        <v>460</v>
      </c>
      <c r="P202" s="1847"/>
      <c r="Q202" s="1847"/>
      <c r="R202" s="1847"/>
      <c r="S202" s="1848" t="s">
        <v>461</v>
      </c>
      <c r="T202" s="1848"/>
      <c r="U202" s="1848"/>
      <c r="V202" s="1848" t="s">
        <v>461</v>
      </c>
      <c r="W202" s="1848"/>
      <c r="X202" s="1848"/>
      <c r="Y202" s="1848" t="s">
        <v>462</v>
      </c>
      <c r="Z202" s="1848"/>
      <c r="AA202" s="1848"/>
      <c r="AB202" s="1848" t="s">
        <v>462</v>
      </c>
      <c r="AC202" s="1848"/>
      <c r="AD202" s="1848"/>
      <c r="AE202" s="9"/>
      <c r="AF202" s="9"/>
      <c r="AG202" s="9"/>
      <c r="AH202" s="9"/>
      <c r="AI202" s="9"/>
      <c r="AJ202" s="9"/>
    </row>
    <row r="203" spans="1:36" ht="30" x14ac:dyDescent="0.25">
      <c r="A203" s="1293"/>
      <c r="B203" s="1457" t="s">
        <v>905</v>
      </c>
      <c r="C203" s="1458" t="s">
        <v>906</v>
      </c>
      <c r="D203" s="1458" t="s">
        <v>907</v>
      </c>
      <c r="E203" s="1458" t="s">
        <v>908</v>
      </c>
      <c r="F203" s="1458" t="s">
        <v>757</v>
      </c>
      <c r="G203" s="1458" t="s">
        <v>906</v>
      </c>
      <c r="H203" s="1458" t="s">
        <v>907</v>
      </c>
      <c r="I203" s="1458" t="s">
        <v>908</v>
      </c>
      <c r="J203" s="1458" t="s">
        <v>757</v>
      </c>
      <c r="K203" s="1458" t="s">
        <v>906</v>
      </c>
      <c r="L203" s="1458" t="s">
        <v>907</v>
      </c>
      <c r="M203" s="1458" t="s">
        <v>908</v>
      </c>
      <c r="N203" s="1458" t="s">
        <v>757</v>
      </c>
      <c r="O203" s="1458" t="s">
        <v>906</v>
      </c>
      <c r="P203" s="1458" t="s">
        <v>907</v>
      </c>
      <c r="Q203" s="1458" t="s">
        <v>908</v>
      </c>
      <c r="R203" s="1458" t="s">
        <v>757</v>
      </c>
      <c r="S203" s="1497" t="s">
        <v>906</v>
      </c>
      <c r="T203" s="1497" t="s">
        <v>907</v>
      </c>
      <c r="U203" s="1497" t="s">
        <v>757</v>
      </c>
      <c r="V203" s="1497" t="s">
        <v>906</v>
      </c>
      <c r="W203" s="1497" t="s">
        <v>907</v>
      </c>
      <c r="X203" s="1497" t="s">
        <v>757</v>
      </c>
      <c r="Y203" s="1497" t="s">
        <v>906</v>
      </c>
      <c r="Z203" s="1497" t="s">
        <v>907</v>
      </c>
      <c r="AA203" s="1497" t="s">
        <v>757</v>
      </c>
      <c r="AB203" s="1497" t="s">
        <v>906</v>
      </c>
      <c r="AC203" s="1497" t="s">
        <v>907</v>
      </c>
      <c r="AD203" s="1497" t="s">
        <v>757</v>
      </c>
      <c r="AE203" s="9"/>
      <c r="AF203" s="9"/>
      <c r="AG203" s="9"/>
      <c r="AH203" s="9"/>
      <c r="AI203" s="9"/>
      <c r="AJ203" s="9"/>
    </row>
    <row r="204" spans="1:36" ht="15" x14ac:dyDescent="0.25">
      <c r="A204" s="1293"/>
      <c r="B204" s="1266" t="s">
        <v>1015</v>
      </c>
      <c r="C204" s="1019">
        <v>2308</v>
      </c>
      <c r="D204" s="1019">
        <v>5348</v>
      </c>
      <c r="E204" s="1542">
        <v>26</v>
      </c>
      <c r="F204" s="1542">
        <v>7682</v>
      </c>
      <c r="G204" s="1020">
        <v>0.94</v>
      </c>
      <c r="H204" s="1020">
        <v>0.82</v>
      </c>
      <c r="I204" s="1020">
        <v>0.5</v>
      </c>
      <c r="J204" s="1020">
        <v>0.85</v>
      </c>
      <c r="K204" s="1021">
        <v>2450</v>
      </c>
      <c r="L204" s="1021">
        <v>5680</v>
      </c>
      <c r="M204" s="1543">
        <v>27</v>
      </c>
      <c r="N204" s="1543">
        <v>8140</v>
      </c>
      <c r="O204" s="1022">
        <v>0.92</v>
      </c>
      <c r="P204" s="1022">
        <v>0.81</v>
      </c>
      <c r="Q204" s="1022">
        <v>0.45</v>
      </c>
      <c r="R204" s="1022">
        <v>0.84</v>
      </c>
      <c r="S204" s="1492">
        <v>3181</v>
      </c>
      <c r="T204" s="1492">
        <v>6748</v>
      </c>
      <c r="U204" s="1492">
        <f>SUM(S204:T204)</f>
        <v>9929</v>
      </c>
      <c r="V204" s="1510">
        <v>0.94799999999999995</v>
      </c>
      <c r="W204" s="1510">
        <v>0.92500000000000004</v>
      </c>
      <c r="X204" s="1510">
        <v>0.93300000000000005</v>
      </c>
      <c r="Y204" s="1468">
        <v>3509</v>
      </c>
      <c r="Z204" s="1468">
        <v>7737</v>
      </c>
      <c r="AA204" s="1468">
        <v>11246</v>
      </c>
      <c r="AB204" s="1373">
        <v>0.98199999999999998</v>
      </c>
      <c r="AC204" s="1373">
        <v>0.89900000000000002</v>
      </c>
      <c r="AD204" s="1373">
        <v>0.92300000000000004</v>
      </c>
      <c r="AE204" s="9"/>
      <c r="AF204" s="9"/>
      <c r="AG204" s="9"/>
      <c r="AH204" s="9"/>
      <c r="AI204" s="9"/>
      <c r="AJ204" s="9"/>
    </row>
    <row r="205" spans="1:36" ht="15" x14ac:dyDescent="0.25">
      <c r="A205" s="1293"/>
      <c r="B205" s="1540" t="s">
        <v>1016</v>
      </c>
      <c r="C205" s="1019">
        <v>104</v>
      </c>
      <c r="D205" s="1019">
        <v>164</v>
      </c>
      <c r="E205" s="1544">
        <v>1</v>
      </c>
      <c r="F205" s="1542">
        <v>269</v>
      </c>
      <c r="G205" s="1020">
        <v>0.63</v>
      </c>
      <c r="H205" s="1020">
        <v>0.54</v>
      </c>
      <c r="I205" s="1545">
        <v>0.06</v>
      </c>
      <c r="J205" s="1020">
        <v>0.56000000000000005</v>
      </c>
      <c r="K205" s="1021">
        <v>113</v>
      </c>
      <c r="L205" s="1021">
        <v>122</v>
      </c>
      <c r="M205" s="1375">
        <v>0</v>
      </c>
      <c r="N205" s="1543">
        <v>235</v>
      </c>
      <c r="O205" s="1022">
        <v>0.63</v>
      </c>
      <c r="P205" s="1022">
        <v>0.54</v>
      </c>
      <c r="Q205" s="1375">
        <v>0</v>
      </c>
      <c r="R205" s="1022">
        <v>0.55000000000000004</v>
      </c>
      <c r="S205" s="1492">
        <v>188</v>
      </c>
      <c r="T205" s="1492">
        <v>212</v>
      </c>
      <c r="U205" s="1492">
        <f>SUM(S205:T205)</f>
        <v>400</v>
      </c>
      <c r="V205" s="1510">
        <v>0.70699999999999996</v>
      </c>
      <c r="W205" s="1510">
        <v>0.75900000000000001</v>
      </c>
      <c r="X205" s="1510">
        <v>0.73499999999999999</v>
      </c>
      <c r="Y205" s="1468">
        <v>182</v>
      </c>
      <c r="Z205" s="1468">
        <v>230</v>
      </c>
      <c r="AA205" s="1468">
        <v>412</v>
      </c>
      <c r="AB205" s="1373">
        <v>0.91900000000000004</v>
      </c>
      <c r="AC205" s="1373">
        <v>0.89800000000000002</v>
      </c>
      <c r="AD205" s="1373">
        <v>0.90700000000000003</v>
      </c>
      <c r="AE205" s="9"/>
      <c r="AF205" s="9"/>
      <c r="AG205" s="9"/>
      <c r="AH205" s="9"/>
      <c r="AI205" s="9"/>
      <c r="AJ205" s="9"/>
    </row>
    <row r="206" spans="1:36" ht="15" x14ac:dyDescent="0.25">
      <c r="B206" s="1546" t="s">
        <v>1017</v>
      </c>
      <c r="C206" s="1547">
        <v>2412</v>
      </c>
      <c r="D206" s="1547">
        <v>5512</v>
      </c>
      <c r="E206" s="1548">
        <v>27</v>
      </c>
      <c r="F206" s="1548">
        <v>7951</v>
      </c>
      <c r="G206" s="1549">
        <v>0.92</v>
      </c>
      <c r="H206" s="1549">
        <v>0.81</v>
      </c>
      <c r="I206" s="1549">
        <v>0.4</v>
      </c>
      <c r="J206" s="1549">
        <v>0.84</v>
      </c>
      <c r="K206" s="1550">
        <v>2563</v>
      </c>
      <c r="L206" s="1550">
        <v>2802</v>
      </c>
      <c r="M206" s="1551">
        <v>27</v>
      </c>
      <c r="N206" s="1551">
        <v>2392</v>
      </c>
      <c r="O206" s="1552">
        <v>0.9</v>
      </c>
      <c r="P206" s="1552">
        <v>0.8</v>
      </c>
      <c r="Q206" s="1552">
        <v>0.34</v>
      </c>
      <c r="R206" s="1552">
        <v>0.83</v>
      </c>
      <c r="S206" s="1553">
        <f>SUM(S204:S205)</f>
        <v>3369</v>
      </c>
      <c r="T206" s="1553">
        <f>SUM(T204:T205)</f>
        <v>6960</v>
      </c>
      <c r="U206" s="1553">
        <f>SUM(U204:U205)</f>
        <v>10329</v>
      </c>
      <c r="V206" s="1554">
        <v>0.93500000000000005</v>
      </c>
      <c r="W206" s="1554">
        <v>0.84699999999999998</v>
      </c>
      <c r="X206" s="1554">
        <v>0.92500000000000004</v>
      </c>
      <c r="Y206" s="1555">
        <v>3691</v>
      </c>
      <c r="Z206" s="1555">
        <v>7967</v>
      </c>
      <c r="AA206" s="1555">
        <v>11658</v>
      </c>
      <c r="AB206" s="1556">
        <v>0.97799999999999998</v>
      </c>
      <c r="AC206" s="1556">
        <v>0.89900000000000002</v>
      </c>
      <c r="AD206" s="1556">
        <v>0.92200000000000004</v>
      </c>
      <c r="AE206" s="986"/>
      <c r="AF206" s="9"/>
      <c r="AG206" s="9"/>
      <c r="AH206" s="9"/>
      <c r="AI206" s="9"/>
      <c r="AJ206" s="9"/>
    </row>
    <row r="207" spans="1:36" ht="15" x14ac:dyDescent="0.25">
      <c r="B207" s="1540" t="s">
        <v>929</v>
      </c>
      <c r="C207" s="1019">
        <v>26</v>
      </c>
      <c r="D207" s="1019">
        <v>38</v>
      </c>
      <c r="E207" s="1019">
        <v>0</v>
      </c>
      <c r="F207" s="1557">
        <v>64</v>
      </c>
      <c r="G207" s="1020">
        <v>0.84</v>
      </c>
      <c r="H207" s="1020">
        <v>0.88</v>
      </c>
      <c r="I207" s="1545">
        <v>0</v>
      </c>
      <c r="J207" s="1020">
        <v>0.86</v>
      </c>
      <c r="K207" s="1387"/>
      <c r="L207" s="1387"/>
      <c r="M207" s="1387"/>
      <c r="N207" s="1387"/>
      <c r="O207" s="1387"/>
      <c r="P207" s="1387"/>
      <c r="Q207" s="1387"/>
      <c r="R207" s="1387"/>
      <c r="S207" s="1387"/>
      <c r="T207" s="1387"/>
      <c r="U207" s="1387"/>
      <c r="V207" s="1387"/>
      <c r="W207" s="1387"/>
      <c r="X207" s="1387"/>
      <c r="Y207" s="1387"/>
      <c r="Z207" s="1387"/>
      <c r="AA207" s="1387"/>
      <c r="AB207" s="1387"/>
      <c r="AC207" s="1387"/>
      <c r="AD207" s="1387"/>
      <c r="AE207" s="986"/>
      <c r="AF207" s="9"/>
      <c r="AG207" s="9"/>
      <c r="AH207" s="9"/>
      <c r="AI207" s="9"/>
      <c r="AJ207" s="9"/>
    </row>
    <row r="208" spans="1:36" ht="15" x14ac:dyDescent="0.25">
      <c r="B208" s="1540" t="s">
        <v>1018</v>
      </c>
      <c r="C208" s="1019">
        <v>246</v>
      </c>
      <c r="D208" s="1019">
        <v>594</v>
      </c>
      <c r="E208" s="1019">
        <v>4</v>
      </c>
      <c r="F208" s="1557">
        <v>844</v>
      </c>
      <c r="G208" s="1020">
        <v>0.99</v>
      </c>
      <c r="H208" s="1545">
        <v>0.99</v>
      </c>
      <c r="I208" s="1020">
        <v>1</v>
      </c>
      <c r="J208" s="1545">
        <v>0.99</v>
      </c>
      <c r="K208" s="1387"/>
      <c r="L208" s="1387"/>
      <c r="M208" s="1387"/>
      <c r="N208" s="1387"/>
      <c r="O208" s="1387"/>
      <c r="P208" s="1387"/>
      <c r="Q208" s="1387"/>
      <c r="R208" s="1387"/>
      <c r="S208" s="1387"/>
      <c r="T208" s="1387"/>
      <c r="U208" s="1387"/>
      <c r="V208" s="1387"/>
      <c r="W208" s="1387"/>
      <c r="X208" s="1387"/>
      <c r="Y208" s="1387"/>
      <c r="Z208" s="1387"/>
      <c r="AA208" s="1387"/>
      <c r="AB208" s="1387"/>
      <c r="AC208" s="1387"/>
      <c r="AD208" s="1387"/>
      <c r="AE208" s="986"/>
      <c r="AF208" s="9"/>
      <c r="AG208" s="9"/>
      <c r="AH208" s="9"/>
      <c r="AI208" s="9"/>
      <c r="AJ208" s="9"/>
    </row>
    <row r="209" spans="1:17" ht="13.5" x14ac:dyDescent="0.25">
      <c r="D209" s="90"/>
    </row>
    <row r="210" spans="1:17" ht="17.5" x14ac:dyDescent="0.25">
      <c r="B210" s="1379" t="s">
        <v>1019</v>
      </c>
      <c r="C210" s="1558" t="s">
        <v>459</v>
      </c>
      <c r="D210" s="1381" t="s">
        <v>460</v>
      </c>
      <c r="E210" s="1381" t="s">
        <v>461</v>
      </c>
      <c r="F210" s="1381" t="s">
        <v>462</v>
      </c>
      <c r="Q210" s="9"/>
    </row>
    <row r="211" spans="1:17" ht="15" x14ac:dyDescent="0.25">
      <c r="A211" s="1293"/>
      <c r="B211" s="1018" t="s">
        <v>1020</v>
      </c>
      <c r="C211" s="1559">
        <v>15.5</v>
      </c>
      <c r="D211" s="1560">
        <v>12.7</v>
      </c>
      <c r="E211" s="1560">
        <v>20.5</v>
      </c>
      <c r="F211" s="1867">
        <v>25.52</v>
      </c>
      <c r="P211" s="61"/>
      <c r="Q211" s="61"/>
    </row>
    <row r="212" spans="1:17" ht="15" x14ac:dyDescent="0.25">
      <c r="A212" s="1293"/>
      <c r="B212" s="1018" t="s">
        <v>1021</v>
      </c>
      <c r="C212" s="1559">
        <v>7.59</v>
      </c>
      <c r="D212" s="1560">
        <v>5.1100000000000003</v>
      </c>
      <c r="E212" s="1560">
        <v>6.3</v>
      </c>
      <c r="F212" s="1867"/>
      <c r="P212" s="61"/>
      <c r="Q212" s="61"/>
    </row>
    <row r="213" spans="1:17" ht="15" x14ac:dyDescent="0.3">
      <c r="A213" s="987"/>
      <c r="B213" s="1018" t="s">
        <v>1022</v>
      </c>
      <c r="C213" s="1542">
        <v>26</v>
      </c>
      <c r="D213" s="1481">
        <v>43</v>
      </c>
      <c r="E213" s="1481">
        <v>51</v>
      </c>
      <c r="F213" s="1372">
        <v>52</v>
      </c>
      <c r="P213" s="61"/>
      <c r="Q213" s="61"/>
    </row>
    <row r="214" spans="1:17" ht="15" x14ac:dyDescent="0.3">
      <c r="A214" s="987"/>
      <c r="B214" s="1018" t="s">
        <v>1023</v>
      </c>
      <c r="C214" s="1019">
        <v>419</v>
      </c>
      <c r="D214" s="1481">
        <v>1342</v>
      </c>
      <c r="E214" s="1481">
        <v>5405</v>
      </c>
      <c r="F214" s="1372">
        <v>3059</v>
      </c>
      <c r="P214" s="61"/>
      <c r="Q214" s="61"/>
    </row>
    <row r="215" spans="1:17" ht="15" x14ac:dyDescent="0.3">
      <c r="A215" s="987"/>
      <c r="B215" s="1018" t="s">
        <v>1024</v>
      </c>
      <c r="C215" s="1019">
        <v>7269</v>
      </c>
      <c r="D215" s="1481">
        <v>6000</v>
      </c>
      <c r="E215" s="1481">
        <v>3544</v>
      </c>
      <c r="F215" s="1372">
        <v>134</v>
      </c>
      <c r="P215" s="61"/>
      <c r="Q215" s="61"/>
    </row>
    <row r="216" spans="1:17" ht="15" x14ac:dyDescent="0.3">
      <c r="A216" s="987"/>
      <c r="B216" s="676"/>
      <c r="C216" s="1054"/>
      <c r="D216" s="1055"/>
      <c r="E216" s="1055"/>
      <c r="F216" s="989"/>
      <c r="P216" s="61"/>
      <c r="Q216" s="61"/>
    </row>
    <row r="217" spans="1:17" ht="17.5" x14ac:dyDescent="0.3">
      <c r="A217" s="987"/>
      <c r="B217" s="1531" t="s">
        <v>1025</v>
      </c>
      <c r="C217" s="1847" t="s">
        <v>459</v>
      </c>
      <c r="D217" s="1847"/>
      <c r="E217" s="1847"/>
      <c r="F217" s="1847"/>
      <c r="P217" s="61"/>
      <c r="Q217" s="61"/>
    </row>
    <row r="218" spans="1:17" ht="30" x14ac:dyDescent="0.3">
      <c r="A218" s="987"/>
      <c r="B218" s="1457" t="s">
        <v>905</v>
      </c>
      <c r="C218" s="1458" t="s">
        <v>906</v>
      </c>
      <c r="D218" s="1458" t="s">
        <v>907</v>
      </c>
      <c r="E218" s="1458" t="s">
        <v>908</v>
      </c>
      <c r="F218" s="1458" t="s">
        <v>757</v>
      </c>
      <c r="P218" s="61"/>
      <c r="Q218" s="61"/>
    </row>
    <row r="219" spans="1:17" ht="15" x14ac:dyDescent="0.3">
      <c r="A219" s="987"/>
      <c r="B219" s="1266" t="s">
        <v>1015</v>
      </c>
      <c r="C219" s="1561">
        <v>14.91</v>
      </c>
      <c r="D219" s="1561">
        <v>17.46</v>
      </c>
      <c r="E219" s="1561">
        <v>6.24</v>
      </c>
      <c r="F219" s="1561">
        <v>16.690000000000001</v>
      </c>
      <c r="P219" s="61"/>
      <c r="Q219" s="61"/>
    </row>
    <row r="220" spans="1:17" ht="15" x14ac:dyDescent="0.3">
      <c r="A220" s="987"/>
      <c r="B220" s="1540" t="s">
        <v>1016</v>
      </c>
      <c r="C220" s="1561">
        <v>10.5</v>
      </c>
      <c r="D220" s="1561">
        <v>10.48</v>
      </c>
      <c r="E220" s="1562">
        <v>2.92</v>
      </c>
      <c r="F220" s="1559">
        <v>7.09</v>
      </c>
      <c r="O220" s="61"/>
      <c r="P220" s="61"/>
    </row>
    <row r="221" spans="1:17" ht="15" x14ac:dyDescent="0.3">
      <c r="A221" s="987"/>
      <c r="B221" s="1472" t="s">
        <v>1017</v>
      </c>
      <c r="C221" s="1563">
        <v>14.51</v>
      </c>
      <c r="D221" s="1563">
        <v>17</v>
      </c>
      <c r="E221" s="1563">
        <v>3.17</v>
      </c>
      <c r="F221" s="1563">
        <v>15.5</v>
      </c>
      <c r="O221" s="61"/>
      <c r="P221" s="61"/>
    </row>
    <row r="222" spans="1:17" ht="15" x14ac:dyDescent="0.3">
      <c r="A222" s="987"/>
      <c r="B222" s="1540" t="s">
        <v>929</v>
      </c>
      <c r="C222" s="1564">
        <v>2.94</v>
      </c>
      <c r="D222" s="1564">
        <v>9.3699999999999992</v>
      </c>
      <c r="E222" s="1564">
        <v>1.17</v>
      </c>
      <c r="F222" s="1565">
        <v>6.07</v>
      </c>
      <c r="O222" s="61"/>
      <c r="P222" s="61"/>
    </row>
    <row r="223" spans="1:17" ht="15" x14ac:dyDescent="0.3">
      <c r="A223" s="987"/>
      <c r="B223" s="1540" t="s">
        <v>1018</v>
      </c>
      <c r="C223" s="1561">
        <v>27.15</v>
      </c>
      <c r="D223" s="1561">
        <v>22.4</v>
      </c>
      <c r="E223" s="1561">
        <v>5.55</v>
      </c>
      <c r="F223" s="1566">
        <v>23.67</v>
      </c>
      <c r="O223" s="61"/>
      <c r="P223" s="61"/>
    </row>
    <row r="224" spans="1:17" ht="15" x14ac:dyDescent="0.3">
      <c r="A224" s="987"/>
      <c r="B224" s="676"/>
      <c r="C224" s="1078"/>
      <c r="D224" s="1078"/>
      <c r="E224" s="1079"/>
      <c r="F224" s="1078"/>
      <c r="O224" s="61"/>
      <c r="P224" s="61"/>
    </row>
    <row r="225" spans="1:21" ht="17.5" x14ac:dyDescent="0.3">
      <c r="A225" s="987"/>
      <c r="B225" s="1531" t="s">
        <v>1026</v>
      </c>
      <c r="C225" s="1847" t="s">
        <v>459</v>
      </c>
      <c r="D225" s="1847"/>
      <c r="E225" s="1847"/>
      <c r="F225" s="1847"/>
      <c r="O225" s="61"/>
      <c r="P225" s="61"/>
    </row>
    <row r="226" spans="1:21" ht="30" x14ac:dyDescent="0.3">
      <c r="A226" s="987"/>
      <c r="B226" s="1457" t="s">
        <v>905</v>
      </c>
      <c r="C226" s="1458" t="s">
        <v>906</v>
      </c>
      <c r="D226" s="1458" t="s">
        <v>907</v>
      </c>
      <c r="E226" s="1458" t="s">
        <v>908</v>
      </c>
      <c r="F226" s="1458" t="s">
        <v>757</v>
      </c>
      <c r="O226" s="61"/>
      <c r="P226" s="61"/>
    </row>
    <row r="227" spans="1:21" ht="15" x14ac:dyDescent="0.3">
      <c r="A227" s="987"/>
      <c r="B227" s="1266" t="s">
        <v>1015</v>
      </c>
      <c r="C227" s="1389">
        <v>9</v>
      </c>
      <c r="D227" s="1561">
        <v>8.09</v>
      </c>
      <c r="E227" s="1542">
        <v>3.98</v>
      </c>
      <c r="F227" s="1542">
        <v>8.32</v>
      </c>
      <c r="O227" s="61"/>
      <c r="P227" s="61"/>
    </row>
    <row r="228" spans="1:21" ht="15" x14ac:dyDescent="0.3">
      <c r="A228" s="987"/>
      <c r="B228" s="1540" t="s">
        <v>1016</v>
      </c>
      <c r="C228" s="1561">
        <v>5.62</v>
      </c>
      <c r="D228" s="1561">
        <v>3.39</v>
      </c>
      <c r="E228" s="1566">
        <v>0.3</v>
      </c>
      <c r="F228" s="1542">
        <v>2.44</v>
      </c>
      <c r="O228" s="61"/>
      <c r="P228" s="61"/>
    </row>
    <row r="229" spans="1:21" ht="15" x14ac:dyDescent="0.3">
      <c r="A229" s="987"/>
      <c r="B229" s="1472" t="s">
        <v>1017</v>
      </c>
      <c r="C229" s="1567">
        <v>8.69</v>
      </c>
      <c r="D229" s="1567">
        <v>7.78</v>
      </c>
      <c r="E229" s="1567">
        <v>0.57999999999999996</v>
      </c>
      <c r="F229" s="1548">
        <v>7.59</v>
      </c>
      <c r="O229" s="61"/>
      <c r="P229" s="61"/>
    </row>
    <row r="230" spans="1:21" ht="15" x14ac:dyDescent="0.3">
      <c r="A230" s="987"/>
      <c r="B230" s="1540" t="s">
        <v>929</v>
      </c>
      <c r="C230" s="1561">
        <v>0.31</v>
      </c>
      <c r="D230" s="1561">
        <v>6.59</v>
      </c>
      <c r="E230" s="1019">
        <v>0</v>
      </c>
      <c r="F230" s="1565">
        <v>3.94</v>
      </c>
      <c r="O230" s="61"/>
      <c r="P230" s="61"/>
    </row>
    <row r="231" spans="1:21" ht="15" x14ac:dyDescent="0.3">
      <c r="A231" s="987"/>
      <c r="B231" s="1540" t="s">
        <v>1018</v>
      </c>
      <c r="C231" s="1561">
        <v>20.350000000000001</v>
      </c>
      <c r="D231" s="1561">
        <v>14.46</v>
      </c>
      <c r="E231" s="1561">
        <v>3.17</v>
      </c>
      <c r="F231" s="1566">
        <v>16.07</v>
      </c>
      <c r="O231" s="61"/>
      <c r="P231" s="61"/>
    </row>
    <row r="232" spans="1:21" ht="15" x14ac:dyDescent="0.3">
      <c r="A232" s="987"/>
      <c r="B232" s="676"/>
      <c r="C232" s="676"/>
      <c r="D232" s="988"/>
      <c r="E232" s="989"/>
      <c r="O232" s="61"/>
      <c r="P232" s="61"/>
    </row>
    <row r="233" spans="1:21" ht="14" x14ac:dyDescent="0.3">
      <c r="A233" s="987"/>
      <c r="B233" s="1868" t="s">
        <v>1027</v>
      </c>
      <c r="C233" s="1869" t="s">
        <v>459</v>
      </c>
      <c r="D233" s="1869"/>
      <c r="E233" s="1870" t="s">
        <v>460</v>
      </c>
      <c r="F233" s="1870"/>
      <c r="G233" s="1870" t="s">
        <v>461</v>
      </c>
      <c r="H233" s="1870"/>
      <c r="I233" s="1870" t="s">
        <v>462</v>
      </c>
      <c r="J233" s="1870"/>
      <c r="Q233" s="9"/>
      <c r="R233" s="9"/>
      <c r="S233" s="9"/>
      <c r="T233" s="61"/>
      <c r="U233" s="61"/>
    </row>
    <row r="234" spans="1:21" ht="27" x14ac:dyDescent="0.3">
      <c r="A234" s="987"/>
      <c r="B234" s="1868"/>
      <c r="C234" s="1378" t="s">
        <v>1028</v>
      </c>
      <c r="D234" s="1378" t="s">
        <v>1029</v>
      </c>
      <c r="E234" s="1378" t="s">
        <v>1028</v>
      </c>
      <c r="F234" s="1378" t="s">
        <v>1029</v>
      </c>
      <c r="G234" s="1378" t="s">
        <v>1028</v>
      </c>
      <c r="H234" s="1378" t="s">
        <v>1029</v>
      </c>
      <c r="I234" s="1378" t="s">
        <v>1028</v>
      </c>
      <c r="J234" s="1378" t="s">
        <v>1029</v>
      </c>
      <c r="Q234" s="9"/>
      <c r="R234" s="9"/>
      <c r="S234" s="9"/>
      <c r="T234" s="61"/>
      <c r="U234" s="61"/>
    </row>
    <row r="235" spans="1:21" ht="15" x14ac:dyDescent="0.3">
      <c r="A235" s="1367"/>
      <c r="B235" s="1018" t="s">
        <v>1030</v>
      </c>
      <c r="C235" s="1019">
        <v>9581</v>
      </c>
      <c r="D235" s="1020">
        <v>0.97</v>
      </c>
      <c r="E235" s="1021">
        <v>10388</v>
      </c>
      <c r="F235" s="1022">
        <v>0.95</v>
      </c>
      <c r="G235" s="1023">
        <v>11719</v>
      </c>
      <c r="H235" s="1024">
        <v>0.873</v>
      </c>
      <c r="I235" s="1372">
        <v>11701</v>
      </c>
      <c r="J235" s="1373">
        <v>0.84</v>
      </c>
      <c r="K235" s="990"/>
      <c r="L235" s="991"/>
      <c r="M235" s="991"/>
      <c r="Q235" s="9"/>
      <c r="R235" s="9"/>
      <c r="S235" s="9"/>
      <c r="T235" s="61"/>
      <c r="U235" s="61"/>
    </row>
    <row r="236" spans="1:21" ht="15" x14ac:dyDescent="0.3">
      <c r="A236" s="1367"/>
      <c r="B236" s="1018" t="s">
        <v>1031</v>
      </c>
      <c r="C236" s="1019">
        <v>255</v>
      </c>
      <c r="D236" s="1020">
        <v>0.84</v>
      </c>
      <c r="E236" s="1021">
        <v>380</v>
      </c>
      <c r="F236" s="1022">
        <v>0.96</v>
      </c>
      <c r="G236" s="1023">
        <v>2780</v>
      </c>
      <c r="H236" s="1024">
        <v>0.8</v>
      </c>
      <c r="I236" s="1372">
        <v>6123</v>
      </c>
      <c r="J236" s="1373">
        <v>0.64</v>
      </c>
      <c r="K236" s="990"/>
      <c r="L236" s="991"/>
      <c r="M236" s="991"/>
      <c r="Q236" s="9"/>
      <c r="R236" s="9"/>
      <c r="S236" s="9"/>
      <c r="T236" s="61"/>
      <c r="U236" s="61"/>
    </row>
    <row r="237" spans="1:21" ht="15" x14ac:dyDescent="0.3">
      <c r="A237" s="1367"/>
      <c r="B237" s="1018" t="s">
        <v>1032</v>
      </c>
      <c r="C237" s="1374">
        <v>0</v>
      </c>
      <c r="D237" s="1374">
        <v>0</v>
      </c>
      <c r="E237" s="1375">
        <v>0</v>
      </c>
      <c r="F237" s="1375">
        <v>0</v>
      </c>
      <c r="G237" s="1023">
        <v>611</v>
      </c>
      <c r="H237" s="1024">
        <v>0.9</v>
      </c>
      <c r="I237" s="1372">
        <v>3240</v>
      </c>
      <c r="J237" s="1373">
        <v>0.72</v>
      </c>
      <c r="K237" s="990"/>
      <c r="L237" s="991"/>
      <c r="M237" s="991"/>
      <c r="Q237" s="9"/>
      <c r="R237" s="9"/>
      <c r="S237" s="9"/>
      <c r="T237" s="61"/>
      <c r="U237" s="61"/>
    </row>
    <row r="238" spans="1:21" ht="15" x14ac:dyDescent="0.3">
      <c r="A238" s="1367"/>
      <c r="B238" s="1018" t="s">
        <v>1033</v>
      </c>
      <c r="C238" s="1019">
        <v>459</v>
      </c>
      <c r="D238" s="1020">
        <v>0.95</v>
      </c>
      <c r="E238" s="1021">
        <v>228</v>
      </c>
      <c r="F238" s="1022">
        <v>0.91</v>
      </c>
      <c r="G238" s="1023">
        <v>3122</v>
      </c>
      <c r="H238" s="1024">
        <v>0.35</v>
      </c>
      <c r="I238" s="1025"/>
      <c r="J238" s="1026"/>
      <c r="K238" s="990"/>
      <c r="L238" s="990"/>
      <c r="M238" s="990"/>
      <c r="Q238" s="9"/>
      <c r="R238" s="9"/>
      <c r="S238" s="9"/>
    </row>
    <row r="239" spans="1:21" ht="15" x14ac:dyDescent="0.3">
      <c r="A239" s="1367"/>
      <c r="B239" s="1018" t="s">
        <v>1034</v>
      </c>
      <c r="C239" s="1019">
        <v>965</v>
      </c>
      <c r="D239" s="1020">
        <v>0.79</v>
      </c>
      <c r="E239" s="1021">
        <v>1162</v>
      </c>
      <c r="F239" s="1022">
        <v>0.73</v>
      </c>
      <c r="G239" s="1376"/>
      <c r="H239" s="1377"/>
      <c r="I239" s="1025"/>
      <c r="J239" s="1026"/>
      <c r="K239" s="990"/>
      <c r="L239" s="990"/>
      <c r="M239" s="990"/>
      <c r="Q239" s="9"/>
      <c r="R239" s="9"/>
      <c r="S239" s="9"/>
    </row>
    <row r="240" spans="1:21" ht="15" x14ac:dyDescent="0.3">
      <c r="A240" s="1367"/>
      <c r="B240" s="1018" t="s">
        <v>1035</v>
      </c>
      <c r="C240" s="1019">
        <v>3816</v>
      </c>
      <c r="D240" s="1020">
        <v>0.98</v>
      </c>
      <c r="E240" s="1021">
        <v>5456</v>
      </c>
      <c r="F240" s="1022">
        <v>0.96</v>
      </c>
      <c r="G240" s="1023">
        <v>2258</v>
      </c>
      <c r="H240" s="1024">
        <v>0.83</v>
      </c>
      <c r="I240" s="1025"/>
      <c r="J240" s="1026"/>
      <c r="K240" s="990"/>
      <c r="L240" s="992"/>
      <c r="M240" s="991"/>
      <c r="Q240" s="9"/>
      <c r="R240" s="9"/>
      <c r="S240" s="9"/>
    </row>
    <row r="241" spans="1:19" ht="15" x14ac:dyDescent="0.3">
      <c r="A241" s="1367"/>
      <c r="B241" s="1018" t="s">
        <v>1036</v>
      </c>
      <c r="C241" s="1019">
        <v>6491</v>
      </c>
      <c r="D241" s="1020">
        <v>0.93</v>
      </c>
      <c r="E241" s="1021">
        <v>9586</v>
      </c>
      <c r="F241" s="1022">
        <v>0.81</v>
      </c>
      <c r="G241" s="1023">
        <v>11004</v>
      </c>
      <c r="H241" s="1024">
        <v>0.82</v>
      </c>
      <c r="I241" s="1025"/>
      <c r="J241" s="1026"/>
      <c r="K241" s="990"/>
      <c r="L241" s="991"/>
      <c r="M241" s="991"/>
      <c r="Q241" s="9"/>
      <c r="R241" s="9"/>
      <c r="S241" s="9"/>
    </row>
    <row r="242" spans="1:19" ht="33" customHeight="1" x14ac:dyDescent="0.3">
      <c r="A242" s="1367"/>
      <c r="B242" s="1865" t="s">
        <v>1037</v>
      </c>
      <c r="C242" s="1865"/>
      <c r="D242" s="1865"/>
      <c r="E242" s="1865"/>
      <c r="F242" s="1865"/>
      <c r="G242" s="1865"/>
      <c r="H242" s="990"/>
      <c r="I242" s="991"/>
      <c r="J242" s="991"/>
    </row>
    <row r="243" spans="1:19" ht="8.15" customHeight="1" x14ac:dyDescent="0.3">
      <c r="A243" s="1367"/>
      <c r="B243" s="2"/>
      <c r="C243" s="2"/>
      <c r="D243" s="2"/>
      <c r="E243" s="2"/>
      <c r="F243" s="2"/>
      <c r="G243" s="2"/>
      <c r="H243" s="990"/>
      <c r="I243" s="991"/>
      <c r="J243" s="991"/>
    </row>
    <row r="244" spans="1:19" ht="17.5" x14ac:dyDescent="0.25">
      <c r="B244" s="1379" t="s">
        <v>1038</v>
      </c>
      <c r="C244" s="1380" t="s">
        <v>459</v>
      </c>
      <c r="D244" s="1381" t="s">
        <v>460</v>
      </c>
      <c r="E244" s="1381" t="s">
        <v>461</v>
      </c>
      <c r="F244" s="1381" t="s">
        <v>462</v>
      </c>
      <c r="G244" s="1381" t="s">
        <v>463</v>
      </c>
      <c r="H244" s="1381" t="s">
        <v>464</v>
      </c>
      <c r="I244" s="1381" t="s">
        <v>465</v>
      </c>
      <c r="Q244" s="9"/>
    </row>
    <row r="245" spans="1:19" ht="15" x14ac:dyDescent="0.3">
      <c r="B245" s="1382" t="s">
        <v>1039</v>
      </c>
      <c r="C245" s="1383">
        <v>0.85</v>
      </c>
      <c r="D245" s="1384">
        <v>0.86</v>
      </c>
      <c r="E245" s="1384">
        <v>0.73</v>
      </c>
      <c r="F245" s="1385">
        <v>0.75</v>
      </c>
      <c r="G245" s="1866" t="s">
        <v>1040</v>
      </c>
      <c r="H245" s="1386">
        <v>0.74</v>
      </c>
      <c r="I245" s="1386">
        <v>0.64</v>
      </c>
      <c r="Q245" s="9"/>
    </row>
    <row r="246" spans="1:19" ht="15" x14ac:dyDescent="0.3">
      <c r="B246" s="1214" t="s">
        <v>1041</v>
      </c>
      <c r="C246" s="1387"/>
      <c r="D246" s="1387"/>
      <c r="E246" s="1387"/>
      <c r="F246" s="1388"/>
      <c r="G246" s="1866"/>
      <c r="H246" s="1386">
        <v>0.65</v>
      </c>
      <c r="I246" s="1386">
        <v>0.63</v>
      </c>
      <c r="Q246" s="9"/>
    </row>
    <row r="247" spans="1:19" ht="15" x14ac:dyDescent="0.3">
      <c r="B247" s="1214" t="s">
        <v>1042</v>
      </c>
      <c r="C247" s="1389">
        <v>7.5</v>
      </c>
      <c r="D247" s="1390">
        <v>7.2</v>
      </c>
      <c r="E247" s="1390"/>
      <c r="F247" s="1391">
        <v>6.9</v>
      </c>
      <c r="G247" s="1866"/>
      <c r="H247" s="1388"/>
      <c r="I247" s="1388"/>
      <c r="Q247" s="9"/>
    </row>
    <row r="248" spans="1:19" ht="15" x14ac:dyDescent="0.3">
      <c r="B248" s="1214" t="s">
        <v>1043</v>
      </c>
      <c r="C248" s="1392" t="s">
        <v>1040</v>
      </c>
      <c r="D248" s="1392" t="s">
        <v>1040</v>
      </c>
      <c r="E248" s="1392">
        <v>0.72</v>
      </c>
      <c r="F248" s="1393" t="s">
        <v>1040</v>
      </c>
      <c r="G248" s="1866"/>
      <c r="H248" s="1393" t="s">
        <v>1040</v>
      </c>
      <c r="I248" s="1393" t="s">
        <v>1040</v>
      </c>
      <c r="Q248" s="9"/>
    </row>
    <row r="250" spans="1:19" ht="35" x14ac:dyDescent="0.25">
      <c r="B250" s="1568" t="s">
        <v>1044</v>
      </c>
      <c r="C250" s="1380" t="s">
        <v>459</v>
      </c>
      <c r="D250" s="1381" t="s">
        <v>460</v>
      </c>
      <c r="E250" s="1381" t="s">
        <v>461</v>
      </c>
      <c r="F250" s="1381" t="s">
        <v>462</v>
      </c>
      <c r="G250" s="1381" t="s">
        <v>463</v>
      </c>
      <c r="H250" s="1381" t="s">
        <v>464</v>
      </c>
      <c r="I250" s="1381" t="s">
        <v>465</v>
      </c>
      <c r="Q250" s="9"/>
    </row>
    <row r="251" spans="1:19" ht="15" x14ac:dyDescent="0.3">
      <c r="B251" s="1382" t="s">
        <v>1045</v>
      </c>
      <c r="C251" s="1569">
        <v>2555103</v>
      </c>
      <c r="D251" s="1570">
        <v>3102457</v>
      </c>
      <c r="E251" s="1571" t="s">
        <v>1046</v>
      </c>
      <c r="F251" s="1571" t="s">
        <v>1047</v>
      </c>
      <c r="G251" s="1571" t="s">
        <v>1048</v>
      </c>
      <c r="H251" s="1571" t="s">
        <v>1049</v>
      </c>
      <c r="I251" s="1571" t="s">
        <v>1050</v>
      </c>
      <c r="Q251" s="9"/>
    </row>
    <row r="252" spans="1:19" ht="15" x14ac:dyDescent="0.3">
      <c r="B252" s="1214" t="s">
        <v>1051</v>
      </c>
      <c r="C252" s="1572"/>
      <c r="D252" s="1573" t="s">
        <v>1061</v>
      </c>
      <c r="E252" s="1574" t="s">
        <v>1053</v>
      </c>
      <c r="F252" s="1574" t="s">
        <v>1054</v>
      </c>
      <c r="G252" s="1575" t="s">
        <v>1055</v>
      </c>
      <c r="H252" s="1575" t="s">
        <v>1056</v>
      </c>
      <c r="I252" s="1575" t="s">
        <v>1052</v>
      </c>
      <c r="Q252" s="9"/>
    </row>
    <row r="253" spans="1:19" ht="15" x14ac:dyDescent="0.3">
      <c r="B253" s="1214" t="s">
        <v>1057</v>
      </c>
      <c r="C253" s="1572"/>
      <c r="D253" s="1573" t="s">
        <v>1060</v>
      </c>
      <c r="E253" s="1574" t="s">
        <v>1059</v>
      </c>
      <c r="F253" s="1574" t="s">
        <v>1060</v>
      </c>
      <c r="G253" s="1575" t="s">
        <v>1061</v>
      </c>
      <c r="H253" s="1575" t="s">
        <v>1062</v>
      </c>
      <c r="I253" s="1575" t="s">
        <v>1061</v>
      </c>
      <c r="Q253" s="9"/>
    </row>
    <row r="254" spans="1:19" ht="15" x14ac:dyDescent="0.3">
      <c r="B254" s="1214" t="s">
        <v>1063</v>
      </c>
      <c r="C254" s="1572"/>
      <c r="D254" s="1573" t="s">
        <v>1065</v>
      </c>
      <c r="E254" s="1574" t="s">
        <v>1064</v>
      </c>
      <c r="F254" s="1574" t="s">
        <v>1065</v>
      </c>
      <c r="G254" s="1575" t="s">
        <v>1056</v>
      </c>
      <c r="H254" s="1575" t="s">
        <v>1066</v>
      </c>
      <c r="I254" s="1575" t="s">
        <v>1067</v>
      </c>
      <c r="Q254" s="9"/>
    </row>
    <row r="256" spans="1:19" ht="35" x14ac:dyDescent="0.25">
      <c r="B256" s="1568" t="s">
        <v>1068</v>
      </c>
      <c r="C256" s="1380" t="s">
        <v>459</v>
      </c>
      <c r="D256" s="1381" t="s">
        <v>460</v>
      </c>
      <c r="E256" s="1381" t="s">
        <v>461</v>
      </c>
      <c r="F256" s="1381" t="s">
        <v>462</v>
      </c>
      <c r="G256" s="1381" t="s">
        <v>463</v>
      </c>
      <c r="H256" s="1381" t="s">
        <v>464</v>
      </c>
      <c r="I256" s="1381" t="s">
        <v>465</v>
      </c>
      <c r="Q256" s="9"/>
    </row>
    <row r="257" spans="2:17" ht="15" x14ac:dyDescent="0.3">
      <c r="B257" s="1214" t="s">
        <v>1051</v>
      </c>
      <c r="C257" s="1576" t="s">
        <v>1052</v>
      </c>
      <c r="D257" s="1577" t="s">
        <v>1069</v>
      </c>
      <c r="E257" s="1578" t="s">
        <v>1058</v>
      </c>
      <c r="F257" s="1578" t="s">
        <v>1070</v>
      </c>
      <c r="G257" s="1578" t="s">
        <v>1071</v>
      </c>
      <c r="H257" s="1578" t="s">
        <v>1072</v>
      </c>
      <c r="I257" s="1578" t="s">
        <v>1052</v>
      </c>
      <c r="Q257" s="9"/>
    </row>
    <row r="258" spans="2:17" ht="15" x14ac:dyDescent="0.3">
      <c r="B258" s="1214" t="s">
        <v>1057</v>
      </c>
      <c r="C258" s="1576" t="s">
        <v>1058</v>
      </c>
      <c r="D258" s="1577" t="s">
        <v>1073</v>
      </c>
      <c r="E258" s="1578" t="s">
        <v>1060</v>
      </c>
      <c r="F258" s="1578" t="s">
        <v>1064</v>
      </c>
      <c r="G258" s="1578" t="s">
        <v>1069</v>
      </c>
      <c r="H258" s="1578" t="s">
        <v>1074</v>
      </c>
      <c r="I258" s="1578" t="s">
        <v>1075</v>
      </c>
      <c r="Q258" s="9"/>
    </row>
    <row r="259" spans="2:17" ht="15" x14ac:dyDescent="0.3">
      <c r="B259" s="1214" t="s">
        <v>1063</v>
      </c>
      <c r="C259" s="1576" t="s">
        <v>1060</v>
      </c>
      <c r="D259" s="1577" t="s">
        <v>1076</v>
      </c>
      <c r="E259" s="1579" t="s">
        <v>1065</v>
      </c>
      <c r="F259" s="1579" t="s">
        <v>1077</v>
      </c>
      <c r="G259" s="1579" t="s">
        <v>1078</v>
      </c>
      <c r="H259" s="1578" t="s">
        <v>1079</v>
      </c>
      <c r="I259" s="1578" t="s">
        <v>1070</v>
      </c>
      <c r="Q259" s="9"/>
    </row>
    <row r="261" spans="2:17" ht="17.5" x14ac:dyDescent="0.25">
      <c r="B261" s="1379" t="s">
        <v>1080</v>
      </c>
      <c r="C261" s="1380" t="s">
        <v>459</v>
      </c>
      <c r="D261" s="1381" t="s">
        <v>460</v>
      </c>
      <c r="E261" s="1381" t="s">
        <v>461</v>
      </c>
      <c r="F261" s="1381" t="s">
        <v>462</v>
      </c>
      <c r="G261" s="1381" t="s">
        <v>463</v>
      </c>
      <c r="H261" s="1381" t="s">
        <v>464</v>
      </c>
      <c r="I261" s="1381" t="s">
        <v>465</v>
      </c>
      <c r="Q261" s="9"/>
    </row>
    <row r="262" spans="2:17" ht="15" x14ac:dyDescent="0.3">
      <c r="B262" s="1214" t="s">
        <v>1051</v>
      </c>
      <c r="C262" s="1580">
        <v>77273</v>
      </c>
      <c r="D262" s="1581" t="s">
        <v>1081</v>
      </c>
      <c r="E262" s="1582" t="s">
        <v>1082</v>
      </c>
      <c r="F262" s="1582" t="s">
        <v>1083</v>
      </c>
      <c r="G262" s="1582" t="s">
        <v>1084</v>
      </c>
      <c r="H262" s="1582" t="s">
        <v>1085</v>
      </c>
      <c r="I262" s="1582" t="s">
        <v>1086</v>
      </c>
      <c r="Q262" s="9"/>
    </row>
    <row r="263" spans="2:17" ht="15" x14ac:dyDescent="0.3">
      <c r="B263" s="1214" t="s">
        <v>1057</v>
      </c>
      <c r="C263" s="1580">
        <v>57802</v>
      </c>
      <c r="D263" s="1581" t="s">
        <v>1087</v>
      </c>
      <c r="E263" s="1582" t="s">
        <v>1088</v>
      </c>
      <c r="F263" s="1582" t="s">
        <v>1089</v>
      </c>
      <c r="G263" s="1582" t="s">
        <v>1090</v>
      </c>
      <c r="H263" s="1582" t="s">
        <v>1091</v>
      </c>
      <c r="I263" s="1582" t="s">
        <v>1092</v>
      </c>
      <c r="Q263" s="9"/>
    </row>
    <row r="264" spans="2:17" ht="15" x14ac:dyDescent="0.3">
      <c r="B264" s="1214" t="s">
        <v>1063</v>
      </c>
      <c r="C264" s="1580">
        <v>41273</v>
      </c>
      <c r="D264" s="1581" t="s">
        <v>1093</v>
      </c>
      <c r="E264" s="1583" t="s">
        <v>1094</v>
      </c>
      <c r="F264" s="1583" t="s">
        <v>1095</v>
      </c>
      <c r="G264" s="1583" t="s">
        <v>1096</v>
      </c>
      <c r="H264" s="1582" t="s">
        <v>1097</v>
      </c>
      <c r="I264" s="1582" t="s">
        <v>1098</v>
      </c>
      <c r="Q264" s="9"/>
    </row>
  </sheetData>
  <sheetProtection algorithmName="SHA-512" hashValue="a+jgfY8+AWdbPvYpW6o39igeyDSgpq7612zCIwa4LnWzprwFmrmrkpnOnxN6ez6LHNoWEDkSz6vmjqi/rzDE+g==" saltValue="ojGmMiXAQ6Wl/dBUfyY/RQ==" spinCount="100000" sheet="1" objects="1" scenarios="1"/>
  <mergeCells count="120">
    <mergeCell ref="B242:G242"/>
    <mergeCell ref="C181:G181"/>
    <mergeCell ref="H181:L181"/>
    <mergeCell ref="M181:P181"/>
    <mergeCell ref="G245:G248"/>
    <mergeCell ref="Y202:AA202"/>
    <mergeCell ref="AB202:AD202"/>
    <mergeCell ref="F211:F212"/>
    <mergeCell ref="B233:B234"/>
    <mergeCell ref="C233:D233"/>
    <mergeCell ref="E233:F233"/>
    <mergeCell ref="G233:H233"/>
    <mergeCell ref="I233:J233"/>
    <mergeCell ref="C202:F202"/>
    <mergeCell ref="G202:J202"/>
    <mergeCell ref="K202:N202"/>
    <mergeCell ref="O202:R202"/>
    <mergeCell ref="S202:U202"/>
    <mergeCell ref="V202:X202"/>
    <mergeCell ref="C225:F225"/>
    <mergeCell ref="Y128:AA128"/>
    <mergeCell ref="U129:W129"/>
    <mergeCell ref="Y129:AA129"/>
    <mergeCell ref="B133:B134"/>
    <mergeCell ref="D133:F133"/>
    <mergeCell ref="G133:I133"/>
    <mergeCell ref="C191:G191"/>
    <mergeCell ref="H191:L191"/>
    <mergeCell ref="M191:P191"/>
    <mergeCell ref="Q191:T191"/>
    <mergeCell ref="L160:N160"/>
    <mergeCell ref="Y33:Y34"/>
    <mergeCell ref="Z33:Z34"/>
    <mergeCell ref="AA33:AA34"/>
    <mergeCell ref="M118:P118"/>
    <mergeCell ref="Q118:T118"/>
    <mergeCell ref="U118:X118"/>
    <mergeCell ref="Y118:AB118"/>
    <mergeCell ref="U127:W127"/>
    <mergeCell ref="Y127:AA127"/>
    <mergeCell ref="AA65:AA66"/>
    <mergeCell ref="Q65:Q66"/>
    <mergeCell ref="R65:R66"/>
    <mergeCell ref="S65:S66"/>
    <mergeCell ref="U65:U66"/>
    <mergeCell ref="V65:V66"/>
    <mergeCell ref="W65:W66"/>
    <mergeCell ref="Y65:Y66"/>
    <mergeCell ref="Z65:Z66"/>
    <mergeCell ref="AD19:AD20"/>
    <mergeCell ref="K26:K27"/>
    <mergeCell ref="Q26:Q27"/>
    <mergeCell ref="R26:R27"/>
    <mergeCell ref="S26:S27"/>
    <mergeCell ref="U26:U27"/>
    <mergeCell ref="V26:V27"/>
    <mergeCell ref="W26:W27"/>
    <mergeCell ref="Y26:Y27"/>
    <mergeCell ref="Z26:Z27"/>
    <mergeCell ref="AA26:AA27"/>
    <mergeCell ref="U128:W128"/>
    <mergeCell ref="B171:B172"/>
    <mergeCell ref="C171:E171"/>
    <mergeCell ref="Y16:AB16"/>
    <mergeCell ref="AC16:AC17"/>
    <mergeCell ref="K19:K20"/>
    <mergeCell ref="Q19:Q20"/>
    <mergeCell ref="R19:R20"/>
    <mergeCell ref="S19:S20"/>
    <mergeCell ref="U19:U20"/>
    <mergeCell ref="V19:V20"/>
    <mergeCell ref="W19:W20"/>
    <mergeCell ref="Y19:Y20"/>
    <mergeCell ref="Z19:Z20"/>
    <mergeCell ref="AA19:AA20"/>
    <mergeCell ref="AC19:AC20"/>
    <mergeCell ref="AB33:AB34"/>
    <mergeCell ref="C49:F49"/>
    <mergeCell ref="H49:L49"/>
    <mergeCell ref="M49:P49"/>
    <mergeCell ref="Q49:T49"/>
    <mergeCell ref="U49:X49"/>
    <mergeCell ref="Y49:AB49"/>
    <mergeCell ref="V33:V34"/>
    <mergeCell ref="U16:X16"/>
    <mergeCell ref="Q33:Q34"/>
    <mergeCell ref="R33:R34"/>
    <mergeCell ref="S33:S34"/>
    <mergeCell ref="T33:T34"/>
    <mergeCell ref="U33:U34"/>
    <mergeCell ref="C90:D90"/>
    <mergeCell ref="E90:F90"/>
    <mergeCell ref="G90:H90"/>
    <mergeCell ref="I90:J90"/>
    <mergeCell ref="K90:L90"/>
    <mergeCell ref="W33:W34"/>
    <mergeCell ref="X33:X34"/>
    <mergeCell ref="C70:D70"/>
    <mergeCell ref="C80:D80"/>
    <mergeCell ref="E80:F80"/>
    <mergeCell ref="B4:M4"/>
    <mergeCell ref="B5:M5"/>
    <mergeCell ref="C7:E7"/>
    <mergeCell ref="C16:G16"/>
    <mergeCell ref="H16:L16"/>
    <mergeCell ref="M16:P16"/>
    <mergeCell ref="Q16:T16"/>
    <mergeCell ref="C141:I141"/>
    <mergeCell ref="C217:F217"/>
    <mergeCell ref="C118:G118"/>
    <mergeCell ref="H118:L118"/>
    <mergeCell ref="C151:G151"/>
    <mergeCell ref="B160:B161"/>
    <mergeCell ref="C160:E160"/>
    <mergeCell ref="F160:H160"/>
    <mergeCell ref="I160:K160"/>
    <mergeCell ref="Q181:T181"/>
    <mergeCell ref="C198:F198"/>
    <mergeCell ref="G198:J198"/>
    <mergeCell ref="K198:M198"/>
  </mergeCells>
  <conditionalFormatting sqref="C252:C254">
    <cfRule type="dataBar" priority="1">
      <dataBar>
        <cfvo type="num" val="-0.2"/>
        <cfvo type="num" val="1"/>
        <color theme="3"/>
      </dataBar>
      <extLst>
        <ext xmlns:x14="http://schemas.microsoft.com/office/spreadsheetml/2009/9/main" uri="{B025F937-C7B1-47D3-B67F-A62EFF666E3E}">
          <x14:id>{037C03F3-E4A6-4EDD-BFAA-1D80EA1CC4AF}</x14:id>
        </ext>
      </extLst>
    </cfRule>
  </conditionalFormatting>
  <conditionalFormatting sqref="C13:D14 C64:F67 C246:F246 C55:G58 G64:G68 H46:AB47 H45:AA45 H37:AB37 AB44:AB45 H51:AB53 U68:AB68 H59:AB62">
    <cfRule type="dataBar" priority="7">
      <dataBar>
        <cfvo type="num" val="-0.2"/>
        <cfvo type="num" val="1"/>
        <color theme="3"/>
      </dataBar>
      <extLst>
        <ext xmlns:x14="http://schemas.microsoft.com/office/spreadsheetml/2009/9/main" uri="{B025F937-C7B1-47D3-B67F-A62EFF666E3E}">
          <x14:id>{CF3864C0-8E6D-4334-880F-B5E62B3D5277}</x14:id>
        </ext>
      </extLst>
    </cfRule>
  </conditionalFormatting>
  <conditionalFormatting sqref="C68:F68">
    <cfRule type="dataBar" priority="5">
      <dataBar>
        <cfvo type="num" val="-0.2"/>
        <cfvo type="num" val="1"/>
        <color theme="3"/>
      </dataBar>
      <extLst>
        <ext xmlns:x14="http://schemas.microsoft.com/office/spreadsheetml/2009/9/main" uri="{B025F937-C7B1-47D3-B67F-A62EFF666E3E}">
          <x14:id>{788C14DD-7DBE-475C-9770-2028A86B8651}</x14:id>
        </ext>
      </extLst>
    </cfRule>
  </conditionalFormatting>
  <conditionalFormatting sqref="C188:G188">
    <cfRule type="dataBar" priority="3">
      <dataBar>
        <cfvo type="num" val="-0.2"/>
        <cfvo type="num" val="1"/>
        <color theme="3"/>
      </dataBar>
      <extLst>
        <ext xmlns:x14="http://schemas.microsoft.com/office/spreadsheetml/2009/9/main" uri="{B025F937-C7B1-47D3-B67F-A62EFF666E3E}">
          <x14:id>{AD413032-172E-4215-A70F-53EDA5A28B3E}</x14:id>
        </ext>
      </extLst>
    </cfRule>
  </conditionalFormatting>
  <conditionalFormatting sqref="H247:I247">
    <cfRule type="dataBar" priority="9">
      <dataBar>
        <cfvo type="num" val="-0.2"/>
        <cfvo type="num" val="1"/>
        <color theme="3"/>
      </dataBar>
      <extLst>
        <ext xmlns:x14="http://schemas.microsoft.com/office/spreadsheetml/2009/9/main" uri="{B025F937-C7B1-47D3-B67F-A62EFF666E3E}">
          <x14:id>{39B3918F-38FD-4BAD-90F0-A328206568FB}</x14:id>
        </ext>
      </extLst>
    </cfRule>
  </conditionalFormatting>
  <conditionalFormatting sqref="H187:T187">
    <cfRule type="dataBar" priority="6">
      <dataBar>
        <cfvo type="num" val="-0.2"/>
        <cfvo type="num" val="1"/>
        <color theme="3"/>
      </dataBar>
      <extLst>
        <ext xmlns:x14="http://schemas.microsoft.com/office/spreadsheetml/2009/9/main" uri="{B025F937-C7B1-47D3-B67F-A62EFF666E3E}">
          <x14:id>{FA1E3487-D1A4-4593-93F8-31A955E2E10A}</x14:id>
        </ext>
      </extLst>
    </cfRule>
  </conditionalFormatting>
  <conditionalFormatting sqref="I11:J13">
    <cfRule type="dataBar" priority="12">
      <dataBar>
        <cfvo type="num" val="-0.2"/>
        <cfvo type="num" val="1"/>
        <color theme="3"/>
      </dataBar>
      <extLst>
        <ext xmlns:x14="http://schemas.microsoft.com/office/spreadsheetml/2009/9/main" uri="{B025F937-C7B1-47D3-B67F-A62EFF666E3E}">
          <x14:id>{54A170D4-6F12-445D-A6E1-5FED53FE5C87}</x14:id>
        </ext>
      </extLst>
    </cfRule>
  </conditionalFormatting>
  <conditionalFormatting sqref="K109:L115">
    <cfRule type="dataBar" priority="10">
      <dataBar>
        <cfvo type="num" val="-0.2"/>
        <cfvo type="num" val="1"/>
        <color theme="3"/>
      </dataBar>
      <extLst>
        <ext xmlns:x14="http://schemas.microsoft.com/office/spreadsheetml/2009/9/main" uri="{B025F937-C7B1-47D3-B67F-A62EFF666E3E}">
          <x14:id>{C96DC5AE-DCFE-4824-8473-7829097DAC83}</x14:id>
        </ext>
      </extLst>
    </cfRule>
  </conditionalFormatting>
  <conditionalFormatting sqref="K207:AD208">
    <cfRule type="dataBar" priority="2">
      <dataBar>
        <cfvo type="num" val="-0.2"/>
        <cfvo type="num" val="1"/>
        <color theme="3"/>
      </dataBar>
      <extLst>
        <ext xmlns:x14="http://schemas.microsoft.com/office/spreadsheetml/2009/9/main" uri="{B025F937-C7B1-47D3-B67F-A62EFF666E3E}">
          <x14:id>{E86CAB58-A01C-47B3-B609-46D53E8707E1}</x14:id>
        </ext>
      </extLst>
    </cfRule>
  </conditionalFormatting>
  <conditionalFormatting sqref="Y44:AA45">
    <cfRule type="dataBar" priority="11">
      <dataBar>
        <cfvo type="num" val="-0.2"/>
        <cfvo type="num" val="1"/>
        <color theme="3"/>
      </dataBar>
      <extLst>
        <ext xmlns:x14="http://schemas.microsoft.com/office/spreadsheetml/2009/9/main" uri="{B025F937-C7B1-47D3-B67F-A62EFF666E3E}">
          <x14:id>{3B5FCD8B-15BE-4B8B-B06F-89B6D9A7F239}</x14:id>
        </ext>
      </extLst>
    </cfRule>
  </conditionalFormatting>
  <pageMargins left="0.70866141732283472" right="0.70866141732283472" top="0.74803149606299213" bottom="0.74803149606299213" header="0.31496062992125984" footer="0.31496062992125984"/>
  <pageSetup paperSize="9" scale="24" fitToHeight="3" orientation="landscape" r:id="rId1"/>
  <rowBreaks count="2" manualBreakCount="2">
    <brk id="89" max="29" man="1"/>
    <brk id="200" max="29" man="1"/>
  </rowBreaks>
  <drawing r:id="rId2"/>
  <legacyDrawing r:id="rId3"/>
  <extLst>
    <ext xmlns:x14="http://schemas.microsoft.com/office/spreadsheetml/2009/9/main" uri="{78C0D931-6437-407d-A8EE-F0AAD7539E65}">
      <x14:conditionalFormattings>
        <x14:conditionalFormatting xmlns:xm="http://schemas.microsoft.com/office/excel/2006/main">
          <x14:cfRule type="dataBar" id="{037C03F3-E4A6-4EDD-BFAA-1D80EA1CC4AF}">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C252:C254</xm:sqref>
        </x14:conditionalFormatting>
        <x14:conditionalFormatting xmlns:xm="http://schemas.microsoft.com/office/excel/2006/main">
          <x14:cfRule type="dataBar" id="{CF3864C0-8E6D-4334-880F-B5E62B3D5277}">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C13:D14 C64:F67 C246:F246 C55:G58 G64:G68 H46:AB47 H45:AA45 H37:AB37 AB44:AB45 H51:AB53 U68:AB68 H59:AB62</xm:sqref>
        </x14:conditionalFormatting>
        <x14:conditionalFormatting xmlns:xm="http://schemas.microsoft.com/office/excel/2006/main">
          <x14:cfRule type="dataBar" id="{788C14DD-7DBE-475C-9770-2028A86B8651}">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C68:F68</xm:sqref>
        </x14:conditionalFormatting>
        <x14:conditionalFormatting xmlns:xm="http://schemas.microsoft.com/office/excel/2006/main">
          <x14:cfRule type="dataBar" id="{AD413032-172E-4215-A70F-53EDA5A28B3E}">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C188:G188</xm:sqref>
        </x14:conditionalFormatting>
        <x14:conditionalFormatting xmlns:xm="http://schemas.microsoft.com/office/excel/2006/main">
          <x14:cfRule type="dataBar" id="{39B3918F-38FD-4BAD-90F0-A328206568FB}">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H247:I247</xm:sqref>
        </x14:conditionalFormatting>
        <x14:conditionalFormatting xmlns:xm="http://schemas.microsoft.com/office/excel/2006/main">
          <x14:cfRule type="dataBar" id="{FA1E3487-D1A4-4593-93F8-31A955E2E10A}">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H187:T187</xm:sqref>
        </x14:conditionalFormatting>
        <x14:conditionalFormatting xmlns:xm="http://schemas.microsoft.com/office/excel/2006/main">
          <x14:cfRule type="dataBar" id="{54A170D4-6F12-445D-A6E1-5FED53FE5C87}">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I11:J13</xm:sqref>
        </x14:conditionalFormatting>
        <x14:conditionalFormatting xmlns:xm="http://schemas.microsoft.com/office/excel/2006/main">
          <x14:cfRule type="dataBar" id="{C96DC5AE-DCFE-4824-8473-7829097DAC83}">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K109:L115</xm:sqref>
        </x14:conditionalFormatting>
        <x14:conditionalFormatting xmlns:xm="http://schemas.microsoft.com/office/excel/2006/main">
          <x14:cfRule type="dataBar" id="{E86CAB58-A01C-47B3-B609-46D53E8707E1}">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K207:AD208</xm:sqref>
        </x14:conditionalFormatting>
        <x14:conditionalFormatting xmlns:xm="http://schemas.microsoft.com/office/excel/2006/main">
          <x14:cfRule type="dataBar" id="{3B5FCD8B-15BE-4B8B-B06F-89B6D9A7F239}">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Y44:AA45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26BF-61C3-4740-836A-46B4BBA11D05}">
  <sheetPr codeName="Sheet7">
    <tabColor theme="3"/>
    <pageSetUpPr fitToPage="1"/>
  </sheetPr>
  <dimension ref="B2:S27"/>
  <sheetViews>
    <sheetView zoomScale="90" zoomScaleNormal="90" workbookViewId="0"/>
  </sheetViews>
  <sheetFormatPr defaultColWidth="8.54296875" defaultRowHeight="13.5" x14ac:dyDescent="0.25"/>
  <cols>
    <col min="1" max="1" width="2.54296875" style="2" customWidth="1"/>
    <col min="2" max="2" width="40.54296875" style="2" customWidth="1"/>
    <col min="3" max="12" width="17.1796875" style="2" customWidth="1"/>
    <col min="13" max="13" width="16.453125" style="2" customWidth="1"/>
    <col min="14" max="14" width="26.54296875" style="2" customWidth="1"/>
    <col min="15" max="15" width="35.54296875" style="2" customWidth="1"/>
    <col min="16" max="19" width="31.453125" style="2" customWidth="1"/>
    <col min="20" max="16384" width="8.54296875" style="2"/>
  </cols>
  <sheetData>
    <row r="2" spans="2:12" s="1364" customFormat="1" ht="24.5" x14ac:dyDescent="0.45">
      <c r="B2" s="1839" t="s">
        <v>29</v>
      </c>
      <c r="C2" s="1839"/>
      <c r="D2" s="1839"/>
      <c r="E2" s="1839"/>
      <c r="F2" s="1839"/>
      <c r="G2" s="1839"/>
      <c r="H2" s="1839"/>
      <c r="I2" s="1839"/>
    </row>
    <row r="3" spans="2:12" x14ac:dyDescent="0.25">
      <c r="B3" s="1317"/>
    </row>
    <row r="4" spans="2:12" x14ac:dyDescent="0.25">
      <c r="B4" s="1872" t="s">
        <v>1171</v>
      </c>
      <c r="C4" s="1872"/>
      <c r="D4" s="1872"/>
      <c r="E4" s="1872"/>
      <c r="F4" s="1872"/>
      <c r="G4" s="1872"/>
      <c r="H4" s="1872"/>
      <c r="I4" s="1872"/>
      <c r="J4" s="1872"/>
      <c r="K4" s="531"/>
    </row>
    <row r="5" spans="2:12" x14ac:dyDescent="0.25">
      <c r="B5" s="530"/>
      <c r="C5" s="530"/>
      <c r="D5" s="530"/>
      <c r="E5" s="530"/>
      <c r="F5" s="530"/>
      <c r="G5" s="530"/>
      <c r="H5" s="530"/>
      <c r="I5" s="530"/>
      <c r="J5" s="530"/>
      <c r="K5" s="530"/>
    </row>
    <row r="6" spans="2:12" s="58" customFormat="1" ht="40.5" x14ac:dyDescent="0.35">
      <c r="B6" s="571" t="s">
        <v>1172</v>
      </c>
      <c r="C6" s="571" t="s">
        <v>556</v>
      </c>
      <c r="D6" s="600" t="s">
        <v>459</v>
      </c>
      <c r="E6" s="600" t="s">
        <v>460</v>
      </c>
      <c r="F6" s="600" t="s">
        <v>461</v>
      </c>
      <c r="G6" s="600" t="s">
        <v>462</v>
      </c>
      <c r="H6" s="600" t="s">
        <v>463</v>
      </c>
      <c r="I6" s="600" t="s">
        <v>464</v>
      </c>
      <c r="J6" s="600" t="s">
        <v>465</v>
      </c>
      <c r="K6" s="1318" t="s">
        <v>580</v>
      </c>
    </row>
    <row r="7" spans="2:12" x14ac:dyDescent="0.25">
      <c r="B7" s="1319" t="s">
        <v>1173</v>
      </c>
      <c r="C7" s="1320" t="s">
        <v>1174</v>
      </c>
      <c r="D7" s="1321">
        <v>510</v>
      </c>
      <c r="E7" s="1322">
        <v>530</v>
      </c>
      <c r="F7" s="1322">
        <v>440</v>
      </c>
      <c r="G7" s="1322">
        <v>594</v>
      </c>
      <c r="H7" s="1323">
        <v>168</v>
      </c>
      <c r="I7" s="1324">
        <v>1374</v>
      </c>
      <c r="J7" s="1325">
        <v>940</v>
      </c>
      <c r="K7" s="1326">
        <f>(D7-E7)/E7</f>
        <v>-3.7735849056603772E-2</v>
      </c>
    </row>
    <row r="8" spans="2:12" x14ac:dyDescent="0.25">
      <c r="B8" s="1319" t="s">
        <v>1175</v>
      </c>
      <c r="C8" s="1320" t="s">
        <v>1174</v>
      </c>
      <c r="D8" s="1327">
        <v>427</v>
      </c>
      <c r="E8" s="1328">
        <v>671</v>
      </c>
      <c r="F8" s="1328">
        <v>573</v>
      </c>
      <c r="G8" s="1328">
        <v>479</v>
      </c>
      <c r="H8" s="1329">
        <v>283</v>
      </c>
      <c r="I8" s="1329">
        <v>98</v>
      </c>
      <c r="J8" s="1329">
        <v>573</v>
      </c>
      <c r="K8" s="1326">
        <f>(D8-E8)/E8</f>
        <v>-0.36363636363636365</v>
      </c>
    </row>
    <row r="9" spans="2:12" x14ac:dyDescent="0.25">
      <c r="B9" s="1330" t="s">
        <v>757</v>
      </c>
      <c r="C9" s="1331" t="s">
        <v>1174</v>
      </c>
      <c r="D9" s="1332">
        <f>D7+D8</f>
        <v>937</v>
      </c>
      <c r="E9" s="1333">
        <v>1201</v>
      </c>
      <c r="F9" s="1333">
        <v>1013</v>
      </c>
      <c r="G9" s="1333">
        <f>SUM(G7:G8)</f>
        <v>1073</v>
      </c>
      <c r="H9" s="1333">
        <f>SUM(H7:H8)</f>
        <v>451</v>
      </c>
      <c r="I9" s="1333">
        <f>SUM(I7:I8)</f>
        <v>1472</v>
      </c>
      <c r="J9" s="1333">
        <f>SUM(J7:J8)</f>
        <v>1513</v>
      </c>
      <c r="K9" s="1326">
        <f>(D9-E9)/E9</f>
        <v>-0.21981681931723562</v>
      </c>
    </row>
    <row r="10" spans="2:12" ht="15" x14ac:dyDescent="0.3">
      <c r="B10" s="1334"/>
      <c r="C10" s="1335"/>
      <c r="D10" s="1336"/>
      <c r="E10" s="1337"/>
      <c r="F10" s="1338"/>
      <c r="G10" s="1338"/>
      <c r="H10" s="1338"/>
      <c r="I10" s="1338"/>
      <c r="J10" s="1338"/>
      <c r="K10" s="52"/>
      <c r="L10" s="544"/>
    </row>
    <row r="11" spans="2:12" x14ac:dyDescent="0.25">
      <c r="B11" s="1339" t="s">
        <v>1176</v>
      </c>
      <c r="C11" s="1873" t="s">
        <v>1177</v>
      </c>
      <c r="D11" s="1332">
        <v>1647</v>
      </c>
      <c r="E11" s="1340">
        <v>2717</v>
      </c>
      <c r="F11" s="1341">
        <v>2245.5</v>
      </c>
      <c r="G11" s="1341">
        <v>2063</v>
      </c>
      <c r="H11" s="1341">
        <v>1322</v>
      </c>
      <c r="I11" s="1342">
        <v>431</v>
      </c>
      <c r="J11" s="1343">
        <v>2682</v>
      </c>
      <c r="K11" s="1344">
        <f t="shared" ref="K11:K16" si="0">(D11-E11)/E11</f>
        <v>-0.39381670960618331</v>
      </c>
    </row>
    <row r="12" spans="2:12" x14ac:dyDescent="0.25">
      <c r="B12" s="1345" t="s">
        <v>911</v>
      </c>
      <c r="C12" s="1873"/>
      <c r="D12" s="1346">
        <v>551.5</v>
      </c>
      <c r="E12" s="1347">
        <v>581.5</v>
      </c>
      <c r="F12" s="1348">
        <v>503</v>
      </c>
      <c r="G12" s="1349"/>
      <c r="H12" s="1349"/>
      <c r="I12" s="1349"/>
      <c r="J12" s="1349"/>
      <c r="K12" s="1344">
        <f t="shared" si="0"/>
        <v>-5.1590713671539126E-2</v>
      </c>
    </row>
    <row r="13" spans="2:12" x14ac:dyDescent="0.25">
      <c r="B13" s="1345" t="s">
        <v>912</v>
      </c>
      <c r="C13" s="1873"/>
      <c r="D13" s="1346">
        <v>396.5</v>
      </c>
      <c r="E13" s="1347">
        <v>1181</v>
      </c>
      <c r="F13" s="1347">
        <v>197</v>
      </c>
      <c r="G13" s="1349"/>
      <c r="H13" s="1349"/>
      <c r="I13" s="1349"/>
      <c r="J13" s="1349"/>
      <c r="K13" s="1344">
        <f t="shared" si="0"/>
        <v>-0.66426756985605417</v>
      </c>
    </row>
    <row r="14" spans="2:12" x14ac:dyDescent="0.25">
      <c r="B14" s="1345" t="s">
        <v>913</v>
      </c>
      <c r="C14" s="1873"/>
      <c r="D14" s="1346">
        <v>319.5</v>
      </c>
      <c r="E14" s="1347">
        <v>412</v>
      </c>
      <c r="F14" s="1347">
        <v>419</v>
      </c>
      <c r="G14" s="1349"/>
      <c r="H14" s="1349"/>
      <c r="I14" s="1349"/>
      <c r="J14" s="1349"/>
      <c r="K14" s="1344">
        <f t="shared" si="0"/>
        <v>-0.22451456310679613</v>
      </c>
    </row>
    <row r="15" spans="2:12" x14ac:dyDescent="0.25">
      <c r="B15" s="1345" t="s">
        <v>914</v>
      </c>
      <c r="C15" s="1873"/>
      <c r="D15" s="1346">
        <v>351.5</v>
      </c>
      <c r="E15" s="1347">
        <v>509</v>
      </c>
      <c r="F15" s="1347">
        <v>639.5</v>
      </c>
      <c r="G15" s="1349"/>
      <c r="H15" s="1349"/>
      <c r="I15" s="1349"/>
      <c r="J15" s="1349"/>
      <c r="K15" s="1344">
        <f t="shared" si="0"/>
        <v>-0.30943025540275049</v>
      </c>
    </row>
    <row r="16" spans="2:12" x14ac:dyDescent="0.25">
      <c r="B16" s="1350" t="s">
        <v>924</v>
      </c>
      <c r="C16" s="1873"/>
      <c r="D16" s="1351">
        <v>28</v>
      </c>
      <c r="E16" s="1352">
        <v>33</v>
      </c>
      <c r="F16" s="1352">
        <v>487</v>
      </c>
      <c r="G16" s="1349"/>
      <c r="H16" s="1349"/>
      <c r="I16" s="1349"/>
      <c r="J16" s="1349"/>
      <c r="K16" s="1344">
        <f t="shared" si="0"/>
        <v>-0.15151515151515152</v>
      </c>
    </row>
    <row r="17" spans="2:19" x14ac:dyDescent="0.25">
      <c r="B17" s="1345" t="s">
        <v>915</v>
      </c>
      <c r="C17" s="1873"/>
      <c r="D17" s="1353">
        <v>0</v>
      </c>
      <c r="E17" s="1341">
        <v>0</v>
      </c>
      <c r="F17" s="1341">
        <v>0</v>
      </c>
      <c r="G17" s="1349"/>
      <c r="H17" s="1349"/>
      <c r="I17" s="1349"/>
      <c r="J17" s="1349"/>
      <c r="K17" s="1363" t="s">
        <v>719</v>
      </c>
    </row>
    <row r="18" spans="2:19" ht="15" x14ac:dyDescent="0.3">
      <c r="L18" s="544"/>
    </row>
    <row r="19" spans="2:19" ht="15" x14ac:dyDescent="0.3">
      <c r="B19" s="1874" t="s">
        <v>994</v>
      </c>
      <c r="C19" s="1871" t="s">
        <v>459</v>
      </c>
      <c r="D19" s="1871"/>
      <c r="E19" s="1871" t="s">
        <v>460</v>
      </c>
      <c r="F19" s="1871"/>
      <c r="G19" s="1871" t="s">
        <v>461</v>
      </c>
      <c r="H19" s="1871"/>
      <c r="L19" s="544"/>
    </row>
    <row r="20" spans="2:19" ht="84.5" customHeight="1" x14ac:dyDescent="0.3">
      <c r="B20" s="1875"/>
      <c r="C20" s="1354" t="s">
        <v>1178</v>
      </c>
      <c r="D20" s="1354" t="s">
        <v>1179</v>
      </c>
      <c r="E20" s="1354" t="s">
        <v>1178</v>
      </c>
      <c r="F20" s="1354" t="s">
        <v>1179</v>
      </c>
      <c r="G20" s="1354" t="s">
        <v>1178</v>
      </c>
      <c r="H20" s="1354" t="s">
        <v>1179</v>
      </c>
      <c r="L20" s="544"/>
    </row>
    <row r="21" spans="2:19" ht="15" x14ac:dyDescent="0.3">
      <c r="B21" s="1355" t="s">
        <v>911</v>
      </c>
      <c r="C21" s="1356">
        <v>3229</v>
      </c>
      <c r="D21" s="1357">
        <f t="shared" ref="D21:D26" si="1">D12/C21</f>
        <v>0.17079591204707339</v>
      </c>
      <c r="E21" s="1356">
        <v>3486</v>
      </c>
      <c r="F21" s="1357">
        <f>E12/E21</f>
        <v>0.16681009753298909</v>
      </c>
      <c r="G21" s="1356">
        <v>3879</v>
      </c>
      <c r="H21" s="1357">
        <f>F12/G21</f>
        <v>0.12967259602990461</v>
      </c>
      <c r="L21" s="544"/>
      <c r="O21" s="470"/>
      <c r="P21" s="470"/>
      <c r="Q21" s="470"/>
      <c r="R21" s="470"/>
      <c r="S21" s="470"/>
    </row>
    <row r="22" spans="2:19" ht="15" x14ac:dyDescent="0.3">
      <c r="B22" s="1355" t="s">
        <v>912</v>
      </c>
      <c r="C22" s="1356">
        <v>2208</v>
      </c>
      <c r="D22" s="1357">
        <f t="shared" si="1"/>
        <v>0.17957427536231885</v>
      </c>
      <c r="E22" s="1356">
        <v>2350</v>
      </c>
      <c r="F22" s="1357">
        <f>E13/E22</f>
        <v>0.50255319148936173</v>
      </c>
      <c r="G22" s="1356">
        <v>2876</v>
      </c>
      <c r="H22" s="1357">
        <f>F13/G22</f>
        <v>6.8497913769123786E-2</v>
      </c>
      <c r="L22" s="544"/>
    </row>
    <row r="23" spans="2:19" ht="15" x14ac:dyDescent="0.3">
      <c r="B23" s="1355" t="s">
        <v>913</v>
      </c>
      <c r="C23" s="1356">
        <v>1876</v>
      </c>
      <c r="D23" s="1357">
        <f t="shared" si="1"/>
        <v>0.17030916844349681</v>
      </c>
      <c r="E23" s="1356">
        <v>1975</v>
      </c>
      <c r="F23" s="1357">
        <f>E14/E23</f>
        <v>0.20860759493670886</v>
      </c>
      <c r="G23" s="1356">
        <v>2014</v>
      </c>
      <c r="H23" s="1357">
        <f>F14/G23</f>
        <v>0.2080436941410129</v>
      </c>
      <c r="I23" s="1358"/>
      <c r="L23" s="544"/>
    </row>
    <row r="24" spans="2:19" ht="15" x14ac:dyDescent="0.3">
      <c r="B24" s="1355" t="s">
        <v>914</v>
      </c>
      <c r="C24" s="1356">
        <v>2023</v>
      </c>
      <c r="D24" s="1357">
        <f t="shared" si="1"/>
        <v>0.17375185368264953</v>
      </c>
      <c r="E24" s="1356">
        <v>2172</v>
      </c>
      <c r="F24" s="1357">
        <f>E15/E24</f>
        <v>0.2343462246777164</v>
      </c>
      <c r="G24" s="1356">
        <v>2297</v>
      </c>
      <c r="H24" s="1357">
        <f>F15/G24</f>
        <v>0.27840661732694821</v>
      </c>
      <c r="L24" s="544"/>
    </row>
    <row r="25" spans="2:19" ht="15" x14ac:dyDescent="0.3">
      <c r="B25" s="1359" t="s">
        <v>924</v>
      </c>
      <c r="C25" s="1356">
        <v>135</v>
      </c>
      <c r="D25" s="1357">
        <f t="shared" si="1"/>
        <v>0.2074074074074074</v>
      </c>
      <c r="E25" s="1360"/>
      <c r="F25" s="1349"/>
      <c r="G25" s="1360"/>
      <c r="H25" s="1349"/>
      <c r="L25" s="544"/>
    </row>
    <row r="26" spans="2:19" ht="15" x14ac:dyDescent="0.3">
      <c r="B26" s="1355" t="s">
        <v>915</v>
      </c>
      <c r="C26" s="1356">
        <v>20</v>
      </c>
      <c r="D26" s="1357">
        <f t="shared" si="1"/>
        <v>0</v>
      </c>
      <c r="E26" s="1356">
        <v>173</v>
      </c>
      <c r="F26" s="1357">
        <f>(E17+E16)/E26</f>
        <v>0.19075144508670519</v>
      </c>
      <c r="G26" s="1356">
        <v>619</v>
      </c>
      <c r="H26" s="1357">
        <f>(F17+F16)/G26</f>
        <v>0.78675282714054928</v>
      </c>
      <c r="L26" s="544"/>
    </row>
    <row r="27" spans="2:19" ht="15" x14ac:dyDescent="0.3">
      <c r="B27" s="1361" t="s">
        <v>757</v>
      </c>
      <c r="C27" s="1356">
        <v>9491</v>
      </c>
      <c r="D27" s="1362"/>
      <c r="E27" s="1356">
        <v>10156</v>
      </c>
      <c r="F27" s="1362"/>
      <c r="G27" s="1356">
        <v>11685</v>
      </c>
      <c r="H27" s="1362"/>
      <c r="L27" s="544"/>
    </row>
  </sheetData>
  <sheetProtection algorithmName="SHA-512" hashValue="JuzctR61ELNGJjVhcUYnyLAcn5TPHsxju587WIks4HaCXTLEhn2+U8MYCz61eb53WLiG7ZWqa1Ha183hm4akGw==" saltValue="aHs8jHhuT4qKZ1NajOa5Pg==" spinCount="100000" sheet="1" objects="1" scenarios="1"/>
  <mergeCells count="7">
    <mergeCell ref="E19:F19"/>
    <mergeCell ref="G19:H19"/>
    <mergeCell ref="B2:I2"/>
    <mergeCell ref="B4:J4"/>
    <mergeCell ref="C11:C17"/>
    <mergeCell ref="C19:D19"/>
    <mergeCell ref="B19:B20"/>
  </mergeCells>
  <phoneticPr fontId="3" type="noConversion"/>
  <conditionalFormatting sqref="E25:H25">
    <cfRule type="dataBar" priority="2">
      <dataBar>
        <cfvo type="num" val="-0.2"/>
        <cfvo type="num" val="1"/>
        <color theme="3"/>
      </dataBar>
      <extLst>
        <ext xmlns:x14="http://schemas.microsoft.com/office/spreadsheetml/2009/9/main" uri="{B025F937-C7B1-47D3-B67F-A62EFF666E3E}">
          <x14:id>{F092F2FD-8640-4025-8A53-91585C31E59B}</x14:id>
        </ext>
      </extLst>
    </cfRule>
  </conditionalFormatting>
  <conditionalFormatting sqref="G12:J17">
    <cfRule type="dataBar" priority="1">
      <dataBar>
        <cfvo type="num" val="-0.2"/>
        <cfvo type="num" val="1"/>
        <color theme="3"/>
      </dataBar>
      <extLst>
        <ext xmlns:x14="http://schemas.microsoft.com/office/spreadsheetml/2009/9/main" uri="{B025F937-C7B1-47D3-B67F-A62EFF666E3E}">
          <x14:id>{61D2514B-6C98-43FB-8A65-BE24EC8641FD}</x14:id>
        </ext>
      </extLst>
    </cfRule>
  </conditionalFormatting>
  <pageMargins left="0.70866141732283472" right="0.70866141732283472" top="0.74803149606299213" bottom="0.74803149606299213" header="0.31496062992125984" footer="0.31496062992125984"/>
  <pageSetup paperSize="9" scale="67" orientation="landscape" r:id="rId1"/>
  <rowBreaks count="1" manualBreakCount="1">
    <brk id="23" max="16383" man="1"/>
  </rowBreaks>
  <colBreaks count="1" manualBreakCount="1">
    <brk id="10"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dataBar" id="{F092F2FD-8640-4025-8A53-91585C31E59B}">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E25:H25</xm:sqref>
        </x14:conditionalFormatting>
        <x14:conditionalFormatting xmlns:xm="http://schemas.microsoft.com/office/excel/2006/main">
          <x14:cfRule type="dataBar" id="{61D2514B-6C98-43FB-8A65-BE24EC8641FD}">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G12:J17</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56F39-E8CC-4794-95EE-27F9F1063461}">
  <sheetPr codeName="Sheet21">
    <tabColor theme="3"/>
    <pageSetUpPr fitToPage="1"/>
  </sheetPr>
  <dimension ref="B2:P27"/>
  <sheetViews>
    <sheetView zoomScale="90" zoomScaleNormal="90" workbookViewId="0"/>
  </sheetViews>
  <sheetFormatPr defaultColWidth="8.54296875" defaultRowHeight="13.5" x14ac:dyDescent="0.25"/>
  <cols>
    <col min="1" max="1" width="2.453125" style="2" customWidth="1"/>
    <col min="2" max="2" width="76.54296875" style="2" customWidth="1"/>
    <col min="3" max="3" width="15.453125" style="2" customWidth="1"/>
    <col min="4" max="4" width="13.54296875" style="2" customWidth="1"/>
    <col min="5" max="6" width="12.453125" style="2" bestFit="1" customWidth="1"/>
    <col min="7" max="7" width="12.1796875" style="2" customWidth="1"/>
    <col min="8" max="8" width="10.81640625" style="2" bestFit="1" customWidth="1"/>
    <col min="9" max="12" width="2.453125" style="2" customWidth="1"/>
    <col min="13" max="13" width="8.54296875" style="2"/>
    <col min="14" max="14" width="8.54296875" style="2" customWidth="1"/>
    <col min="15" max="16384" width="8.54296875" style="2"/>
  </cols>
  <sheetData>
    <row r="2" spans="2:14" ht="34.5" customHeight="1" x14ac:dyDescent="0.25">
      <c r="B2" s="1839" t="s">
        <v>31</v>
      </c>
      <c r="C2" s="1839"/>
      <c r="D2" s="1839"/>
      <c r="E2" s="1839"/>
      <c r="F2" s="1839"/>
      <c r="G2" s="1839"/>
      <c r="H2" s="1839"/>
      <c r="I2" s="1839"/>
      <c r="J2" s="1839"/>
    </row>
    <row r="3" spans="2:14" ht="10" customHeight="1" x14ac:dyDescent="0.25"/>
    <row r="4" spans="2:14" ht="137" customHeight="1" x14ac:dyDescent="0.25">
      <c r="B4" s="1872" t="s">
        <v>1180</v>
      </c>
      <c r="C4" s="1872"/>
      <c r="D4" s="1872"/>
      <c r="E4" s="1872"/>
      <c r="F4" s="1872"/>
      <c r="G4" s="1872"/>
      <c r="H4" s="1872"/>
      <c r="I4" s="1872"/>
      <c r="J4" s="1872"/>
      <c r="K4" s="1872"/>
      <c r="L4" s="1872"/>
      <c r="M4" s="1872"/>
      <c r="N4" s="1872"/>
    </row>
    <row r="7" spans="2:14" ht="36" customHeight="1" x14ac:dyDescent="0.25">
      <c r="B7" s="1312" t="s">
        <v>1181</v>
      </c>
      <c r="C7" s="1301" t="s">
        <v>458</v>
      </c>
      <c r="D7" s="1301" t="s">
        <v>1182</v>
      </c>
      <c r="E7" s="1302" t="s">
        <v>460</v>
      </c>
    </row>
    <row r="8" spans="2:14" ht="33" customHeight="1" x14ac:dyDescent="0.3">
      <c r="B8" s="1313" t="s">
        <v>1183</v>
      </c>
      <c r="C8" s="1314" t="s">
        <v>494</v>
      </c>
      <c r="D8" s="1315">
        <v>90</v>
      </c>
      <c r="E8" s="1316">
        <v>90</v>
      </c>
    </row>
    <row r="9" spans="2:14" ht="28.5" customHeight="1" x14ac:dyDescent="0.25">
      <c r="B9" s="1876" t="s">
        <v>1184</v>
      </c>
      <c r="C9" s="1876"/>
      <c r="D9" s="1876"/>
      <c r="E9" s="1876"/>
      <c r="F9" s="1293"/>
    </row>
    <row r="12" spans="2:14" ht="36" customHeight="1" x14ac:dyDescent="0.25">
      <c r="B12" s="570" t="s">
        <v>1185</v>
      </c>
      <c r="C12" s="571" t="s">
        <v>458</v>
      </c>
      <c r="D12" s="571" t="s">
        <v>1182</v>
      </c>
      <c r="E12" s="600" t="s">
        <v>460</v>
      </c>
      <c r="F12" s="644" t="s">
        <v>461</v>
      </c>
      <c r="G12" s="644" t="s">
        <v>462</v>
      </c>
    </row>
    <row r="13" spans="2:14" ht="30" x14ac:dyDescent="0.3">
      <c r="B13" s="545" t="s">
        <v>1186</v>
      </c>
      <c r="C13" s="534" t="s">
        <v>663</v>
      </c>
      <c r="D13" s="656">
        <v>0</v>
      </c>
      <c r="E13" s="1068">
        <v>0</v>
      </c>
      <c r="F13" s="657">
        <v>0</v>
      </c>
      <c r="G13" s="657">
        <v>0</v>
      </c>
    </row>
    <row r="14" spans="2:14" ht="27.75" customHeight="1" x14ac:dyDescent="0.25">
      <c r="B14" s="1877" t="s">
        <v>1187</v>
      </c>
      <c r="C14" s="1878"/>
      <c r="D14" s="1878"/>
      <c r="E14" s="1878"/>
      <c r="F14" s="1878"/>
      <c r="G14" s="1879"/>
    </row>
    <row r="16" spans="2:14" ht="27" x14ac:dyDescent="0.25">
      <c r="B16" s="570" t="s">
        <v>1188</v>
      </c>
      <c r="C16" s="571" t="s">
        <v>458</v>
      </c>
      <c r="D16" s="571" t="s">
        <v>1182</v>
      </c>
      <c r="E16" s="600" t="s">
        <v>460</v>
      </c>
    </row>
    <row r="17" spans="2:16" ht="46.4" customHeight="1" x14ac:dyDescent="0.3">
      <c r="B17" s="545" t="s">
        <v>1189</v>
      </c>
      <c r="C17" s="534" t="s">
        <v>494</v>
      </c>
      <c r="D17" s="656">
        <v>100</v>
      </c>
      <c r="E17" s="1068">
        <v>100</v>
      </c>
    </row>
    <row r="18" spans="2:16" s="658" customFormat="1" x14ac:dyDescent="0.25">
      <c r="B18" s="2"/>
      <c r="C18" s="2"/>
      <c r="D18" s="2"/>
      <c r="E18" s="2"/>
      <c r="F18" s="2"/>
      <c r="G18" s="2"/>
      <c r="H18" s="2"/>
      <c r="I18" s="2"/>
      <c r="J18" s="2"/>
      <c r="K18" s="2"/>
      <c r="L18" s="2"/>
      <c r="M18" s="2"/>
      <c r="N18" s="2"/>
      <c r="O18" s="2"/>
      <c r="P18" s="2"/>
    </row>
    <row r="19" spans="2:16" s="658" customFormat="1" ht="14.25" customHeight="1" x14ac:dyDescent="0.25">
      <c r="B19" s="2"/>
      <c r="C19" s="2"/>
      <c r="D19" s="2"/>
      <c r="E19" s="2"/>
      <c r="F19" s="2"/>
      <c r="G19" s="2"/>
      <c r="H19" s="2"/>
      <c r="I19" s="2"/>
      <c r="J19" s="2"/>
      <c r="K19" s="2"/>
      <c r="L19" s="2"/>
      <c r="M19" s="2"/>
      <c r="N19" s="2"/>
      <c r="O19" s="2"/>
      <c r="P19" s="2"/>
    </row>
    <row r="20" spans="2:16" s="658" customFormat="1" ht="36" customHeight="1" x14ac:dyDescent="0.25">
      <c r="B20" s="570" t="s">
        <v>1190</v>
      </c>
      <c r="C20" s="571" t="s">
        <v>458</v>
      </c>
      <c r="D20" s="571" t="s">
        <v>1182</v>
      </c>
      <c r="E20" s="600" t="s">
        <v>460</v>
      </c>
      <c r="F20" s="644" t="s">
        <v>461</v>
      </c>
      <c r="G20" s="644" t="s">
        <v>462</v>
      </c>
      <c r="H20" s="2"/>
      <c r="I20" s="2"/>
      <c r="J20" s="2"/>
      <c r="K20" s="2"/>
      <c r="L20" s="2"/>
      <c r="M20" s="2"/>
      <c r="N20" s="2"/>
      <c r="O20" s="2"/>
    </row>
    <row r="21" spans="2:16" ht="30" x14ac:dyDescent="0.3">
      <c r="B21" s="545" t="s">
        <v>1191</v>
      </c>
      <c r="C21" s="534" t="s">
        <v>663</v>
      </c>
      <c r="D21" s="656">
        <v>0</v>
      </c>
      <c r="E21" s="1068">
        <v>0</v>
      </c>
      <c r="F21" s="657">
        <v>0</v>
      </c>
      <c r="G21" s="657">
        <v>0</v>
      </c>
    </row>
    <row r="22" spans="2:16" ht="45" customHeight="1" x14ac:dyDescent="0.25">
      <c r="B22" s="1883" t="s">
        <v>1192</v>
      </c>
      <c r="C22" s="1884"/>
      <c r="D22" s="1884"/>
      <c r="E22" s="1884"/>
      <c r="F22" s="1884"/>
      <c r="G22" s="1884"/>
      <c r="H22" s="1293"/>
    </row>
    <row r="25" spans="2:16" ht="36" customHeight="1" x14ac:dyDescent="0.25">
      <c r="B25" s="570" t="s">
        <v>1193</v>
      </c>
      <c r="C25" s="571" t="s">
        <v>458</v>
      </c>
      <c r="D25" s="571" t="s">
        <v>1182</v>
      </c>
      <c r="E25" s="600" t="s">
        <v>460</v>
      </c>
      <c r="F25" s="644" t="s">
        <v>461</v>
      </c>
      <c r="G25" s="644" t="s">
        <v>462</v>
      </c>
    </row>
    <row r="26" spans="2:16" ht="15" x14ac:dyDescent="0.3">
      <c r="B26" s="545" t="s">
        <v>1194</v>
      </c>
      <c r="C26" s="545" t="s">
        <v>1195</v>
      </c>
      <c r="D26" s="1068" t="s">
        <v>1196</v>
      </c>
      <c r="E26" s="1068" t="s">
        <v>1196</v>
      </c>
      <c r="F26" s="655" t="s">
        <v>1196</v>
      </c>
      <c r="G26" s="655" t="s">
        <v>1196</v>
      </c>
    </row>
    <row r="27" spans="2:16" ht="60" customHeight="1" x14ac:dyDescent="0.25">
      <c r="B27" s="1880" t="s">
        <v>1197</v>
      </c>
      <c r="C27" s="1881"/>
      <c r="D27" s="1881"/>
      <c r="E27" s="1881"/>
      <c r="F27" s="1881"/>
      <c r="G27" s="1882"/>
    </row>
  </sheetData>
  <sheetProtection algorithmName="SHA-512" hashValue="n1GM9pGPWk3uMsJ4Zacsugf9m0ohuKsPf5fDrA/5pwEkTzQEIgm1kLqBuO5UQBlCr+LcnXuFmO2LDrM498/QNA==" saltValue="4vUtYXR41arUUgCdV4h8EQ==" spinCount="100000" sheet="1" objects="1" scenarios="1"/>
  <mergeCells count="6">
    <mergeCell ref="B2:J2"/>
    <mergeCell ref="B4:N4"/>
    <mergeCell ref="B9:E9"/>
    <mergeCell ref="B14:G14"/>
    <mergeCell ref="B27:G27"/>
    <mergeCell ref="B22:G22"/>
  </mergeCells>
  <pageMargins left="0.70866141732283472" right="0.70866141732283472" top="0.74803149606299213" bottom="0.74803149606299213" header="0.31496062992125984" footer="0.31496062992125984"/>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3C60-39F1-4774-8057-E92E60310DDA}">
  <sheetPr codeName="Sheet3">
    <tabColor theme="3"/>
    <pageSetUpPr fitToPage="1"/>
  </sheetPr>
  <dimension ref="A1:K23"/>
  <sheetViews>
    <sheetView zoomScale="90" zoomScaleNormal="90" workbookViewId="0"/>
  </sheetViews>
  <sheetFormatPr defaultColWidth="8.54296875" defaultRowHeight="13.5" x14ac:dyDescent="0.25"/>
  <cols>
    <col min="1" max="1" width="5.54296875" style="2" customWidth="1"/>
    <col min="2" max="9" width="13.54296875" style="2" customWidth="1"/>
    <col min="10" max="10" width="74.54296875" style="2" customWidth="1"/>
    <col min="11" max="11" width="9.54296875" style="2" customWidth="1"/>
    <col min="12" max="13" width="8.54296875" style="2"/>
    <col min="14" max="14" width="37.54296875" style="2" customWidth="1"/>
    <col min="15" max="16384" width="8.54296875" style="2"/>
  </cols>
  <sheetData>
    <row r="1" spans="1:11" ht="3" customHeight="1" x14ac:dyDescent="0.25">
      <c r="A1" s="734"/>
      <c r="B1" s="734"/>
      <c r="C1" s="734"/>
      <c r="D1" s="734"/>
      <c r="E1" s="734"/>
      <c r="F1" s="734"/>
      <c r="G1" s="734"/>
      <c r="H1" s="734"/>
      <c r="I1" s="734"/>
      <c r="J1" s="734"/>
      <c r="K1" s="734"/>
    </row>
    <row r="2" spans="1:11" ht="41.9" customHeight="1" x14ac:dyDescent="0.3">
      <c r="A2" s="735"/>
      <c r="B2" s="1631" t="s">
        <v>1</v>
      </c>
      <c r="C2" s="1631"/>
      <c r="D2" s="1631"/>
      <c r="E2" s="1631"/>
      <c r="F2" s="1631"/>
      <c r="G2" s="1631"/>
      <c r="H2" s="1631"/>
      <c r="I2" s="1631"/>
      <c r="J2" s="1631"/>
      <c r="K2" s="735"/>
    </row>
    <row r="3" spans="1:11" ht="82.5" customHeight="1" x14ac:dyDescent="0.3">
      <c r="A3" s="735"/>
      <c r="B3" s="1632" t="s">
        <v>2</v>
      </c>
      <c r="C3" s="1632"/>
      <c r="D3" s="1632"/>
      <c r="E3" s="1632"/>
      <c r="F3" s="1632"/>
      <c r="G3" s="1632"/>
      <c r="H3" s="1632"/>
      <c r="I3" s="1632"/>
      <c r="J3" s="1632"/>
      <c r="K3" s="735"/>
    </row>
    <row r="4" spans="1:11" ht="14" x14ac:dyDescent="0.3">
      <c r="A4" s="735"/>
      <c r="B4" s="736"/>
      <c r="C4" s="736"/>
      <c r="D4" s="736"/>
      <c r="E4" s="736"/>
      <c r="F4" s="736"/>
      <c r="G4" s="736"/>
      <c r="H4" s="736"/>
      <c r="I4" s="736"/>
      <c r="J4" s="736"/>
      <c r="K4" s="735"/>
    </row>
    <row r="5" spans="1:11" s="740" customFormat="1" ht="14" x14ac:dyDescent="0.3">
      <c r="A5" s="737"/>
      <c r="B5" s="738" t="s">
        <v>3</v>
      </c>
      <c r="C5" s="739"/>
      <c r="D5" s="739"/>
      <c r="E5" s="739"/>
      <c r="F5" s="739"/>
      <c r="G5" s="739"/>
      <c r="H5" s="739"/>
      <c r="I5" s="739"/>
      <c r="J5" s="739"/>
      <c r="K5" s="737"/>
    </row>
    <row r="6" spans="1:11" ht="29.15" customHeight="1" x14ac:dyDescent="0.3">
      <c r="A6" s="735"/>
      <c r="B6" s="1629" t="s">
        <v>4</v>
      </c>
      <c r="C6" s="1629"/>
      <c r="D6" s="1629"/>
      <c r="E6" s="1629"/>
      <c r="F6" s="1629"/>
      <c r="G6" s="1629"/>
      <c r="H6" s="1629"/>
      <c r="I6" s="1629"/>
      <c r="J6" s="1629"/>
      <c r="K6" s="735"/>
    </row>
    <row r="7" spans="1:11" ht="14" x14ac:dyDescent="0.3">
      <c r="A7" s="735"/>
      <c r="B7" s="741"/>
      <c r="C7" s="741"/>
      <c r="D7" s="741"/>
      <c r="E7" s="741"/>
      <c r="F7" s="741"/>
      <c r="G7" s="741"/>
      <c r="H7" s="741"/>
      <c r="I7" s="741"/>
      <c r="J7" s="741"/>
      <c r="K7" s="735"/>
    </row>
    <row r="8" spans="1:11" ht="14" x14ac:dyDescent="0.3">
      <c r="A8" s="735"/>
      <c r="B8" s="738" t="s">
        <v>5</v>
      </c>
      <c r="C8" s="742"/>
      <c r="D8" s="742"/>
      <c r="E8" s="742"/>
      <c r="F8" s="742"/>
      <c r="G8" s="742"/>
      <c r="H8" s="742"/>
      <c r="I8" s="742"/>
      <c r="J8" s="742"/>
      <c r="K8" s="735"/>
    </row>
    <row r="9" spans="1:11" ht="17.899999999999999" customHeight="1" x14ac:dyDescent="0.3">
      <c r="A9" s="735"/>
      <c r="B9" s="1629" t="s">
        <v>6</v>
      </c>
      <c r="C9" s="1629"/>
      <c r="D9" s="1629"/>
      <c r="E9" s="1629"/>
      <c r="F9" s="1629"/>
      <c r="G9" s="1629"/>
      <c r="H9" s="1629"/>
      <c r="I9" s="1629"/>
      <c r="J9" s="1629"/>
      <c r="K9" s="735"/>
    </row>
    <row r="10" spans="1:11" ht="14" x14ac:dyDescent="0.3">
      <c r="A10" s="735"/>
      <c r="B10" s="743" t="s">
        <v>7</v>
      </c>
      <c r="C10" s="742"/>
      <c r="D10" s="742"/>
      <c r="E10" s="742"/>
      <c r="F10" s="742"/>
      <c r="G10" s="742"/>
      <c r="H10" s="742"/>
      <c r="I10" s="742"/>
      <c r="J10" s="742"/>
      <c r="K10" s="735"/>
    </row>
    <row r="11" spans="1:11" ht="14" x14ac:dyDescent="0.3">
      <c r="A11" s="735"/>
      <c r="B11" s="744"/>
      <c r="C11" s="742"/>
      <c r="D11" s="742"/>
      <c r="E11" s="742"/>
      <c r="F11" s="742"/>
      <c r="G11" s="742"/>
      <c r="H11" s="742"/>
      <c r="I11" s="742"/>
      <c r="J11" s="742"/>
      <c r="K11" s="735"/>
    </row>
    <row r="12" spans="1:11" ht="60.65" customHeight="1" x14ac:dyDescent="0.3">
      <c r="A12" s="735"/>
      <c r="B12" s="1629" t="s">
        <v>8</v>
      </c>
      <c r="C12" s="1629"/>
      <c r="D12" s="1629"/>
      <c r="E12" s="1629"/>
      <c r="F12" s="1629"/>
      <c r="G12" s="1629"/>
      <c r="H12" s="1629"/>
      <c r="I12" s="1629"/>
      <c r="J12" s="1629"/>
      <c r="K12" s="735"/>
    </row>
    <row r="13" spans="1:11" ht="14.9" customHeight="1" x14ac:dyDescent="0.3">
      <c r="A13" s="735"/>
      <c r="B13" s="741"/>
      <c r="C13" s="741"/>
      <c r="D13" s="741"/>
      <c r="E13" s="741"/>
      <c r="F13" s="741"/>
      <c r="G13" s="741"/>
      <c r="H13" s="741"/>
      <c r="I13" s="741"/>
      <c r="J13" s="741"/>
      <c r="K13" s="735"/>
    </row>
    <row r="14" spans="1:11" ht="43.4" customHeight="1" x14ac:dyDescent="0.3">
      <c r="A14" s="735"/>
      <c r="B14" s="1629" t="s">
        <v>9</v>
      </c>
      <c r="C14" s="1629"/>
      <c r="D14" s="1629"/>
      <c r="E14" s="1629"/>
      <c r="F14" s="1629"/>
      <c r="G14" s="1629"/>
      <c r="H14" s="1629"/>
      <c r="I14" s="1629"/>
      <c r="J14" s="1629"/>
      <c r="K14" s="735"/>
    </row>
    <row r="15" spans="1:11" ht="100" customHeight="1" x14ac:dyDescent="0.3">
      <c r="A15" s="735"/>
      <c r="B15" s="1634" t="s">
        <v>10</v>
      </c>
      <c r="C15" s="1634"/>
      <c r="D15" s="1634"/>
      <c r="E15" s="1634"/>
      <c r="F15" s="1634"/>
      <c r="G15" s="1634"/>
      <c r="H15" s="1634"/>
      <c r="I15" s="1634"/>
      <c r="J15" s="1634"/>
      <c r="K15" s="735"/>
    </row>
    <row r="16" spans="1:11" ht="14" x14ac:dyDescent="0.3">
      <c r="A16" s="735"/>
      <c r="B16" s="1633"/>
      <c r="C16" s="1633"/>
      <c r="D16" s="1633"/>
      <c r="E16" s="1633"/>
      <c r="F16" s="1633"/>
      <c r="G16" s="1633"/>
      <c r="H16" s="1633"/>
      <c r="I16" s="1633"/>
      <c r="J16" s="1633"/>
      <c r="K16" s="735"/>
    </row>
    <row r="17" spans="1:11" ht="14" x14ac:dyDescent="0.3">
      <c r="A17" s="735"/>
      <c r="B17" s="738" t="s">
        <v>11</v>
      </c>
      <c r="C17" s="741"/>
      <c r="D17" s="741"/>
      <c r="E17" s="741"/>
      <c r="F17" s="741"/>
      <c r="G17" s="741"/>
      <c r="H17" s="741"/>
      <c r="I17" s="741"/>
      <c r="J17" s="741"/>
      <c r="K17" s="735"/>
    </row>
    <row r="18" spans="1:11" ht="57" customHeight="1" x14ac:dyDescent="0.3">
      <c r="A18" s="735"/>
      <c r="B18" s="1629" t="s">
        <v>12</v>
      </c>
      <c r="C18" s="1629"/>
      <c r="D18" s="1629"/>
      <c r="E18" s="1629"/>
      <c r="F18" s="1629"/>
      <c r="G18" s="1629"/>
      <c r="H18" s="1629"/>
      <c r="I18" s="1629"/>
      <c r="J18" s="1629"/>
      <c r="K18" s="735"/>
    </row>
    <row r="19" spans="1:11" ht="19.5" customHeight="1" x14ac:dyDescent="0.3">
      <c r="A19" s="735"/>
      <c r="B19" s="1629" t="s">
        <v>1508</v>
      </c>
      <c r="C19" s="1629"/>
      <c r="D19" s="1629"/>
      <c r="E19" s="1629"/>
      <c r="F19" s="1629"/>
      <c r="G19" s="1629"/>
      <c r="H19" s="1629"/>
      <c r="I19" s="1629"/>
      <c r="J19" s="1629"/>
      <c r="K19" s="735"/>
    </row>
    <row r="20" spans="1:11" ht="18" customHeight="1" x14ac:dyDescent="0.3">
      <c r="A20" s="735"/>
      <c r="B20" s="741"/>
      <c r="C20" s="741"/>
      <c r="D20" s="741"/>
      <c r="E20" s="741"/>
      <c r="F20" s="741"/>
      <c r="G20" s="741"/>
      <c r="H20" s="741"/>
      <c r="I20" s="741"/>
      <c r="J20" s="741"/>
      <c r="K20" s="735"/>
    </row>
    <row r="21" spans="1:11" ht="14" x14ac:dyDescent="0.3">
      <c r="A21" s="735"/>
      <c r="B21" s="1628" t="s">
        <v>13</v>
      </c>
      <c r="C21" s="1628"/>
      <c r="D21" s="1628"/>
      <c r="E21" s="1628"/>
      <c r="F21" s="1628"/>
      <c r="G21" s="1628"/>
      <c r="H21" s="1628"/>
      <c r="I21" s="1628"/>
      <c r="J21" s="1628"/>
      <c r="K21" s="735"/>
    </row>
    <row r="22" spans="1:11" ht="59.15" customHeight="1" x14ac:dyDescent="0.3">
      <c r="A22" s="745"/>
      <c r="B22" s="1629" t="s">
        <v>14</v>
      </c>
      <c r="C22" s="1629"/>
      <c r="D22" s="1629"/>
      <c r="E22" s="1629"/>
      <c r="F22" s="1629"/>
      <c r="G22" s="1629"/>
      <c r="H22" s="1629"/>
      <c r="I22" s="1629"/>
      <c r="J22" s="1629"/>
      <c r="K22" s="745"/>
    </row>
    <row r="23" spans="1:11" ht="38.9" customHeight="1" x14ac:dyDescent="0.25">
      <c r="A23" s="746"/>
      <c r="B23" s="1630"/>
      <c r="C23" s="1630"/>
      <c r="D23" s="1630"/>
      <c r="E23" s="1630"/>
      <c r="F23" s="1630"/>
      <c r="G23" s="1630"/>
      <c r="H23" s="1630"/>
      <c r="I23" s="1630"/>
      <c r="J23" s="1630"/>
      <c r="K23" s="746"/>
    </row>
  </sheetData>
  <sheetProtection algorithmName="SHA-512" hashValue="2vKhzDSNeBk5fVi992u0NIo28v2o9Tad8iPLTtPo64brdSqulouI0ptsBj0+q/R8uZ0U1S7slrXYXMZFNIfUnQ==" saltValue="vSzQH4s6S6YlZuqq0vHoFA==" spinCount="100000" sheet="1" selectLockedCells="1" selectUnlockedCells="1"/>
  <mergeCells count="13">
    <mergeCell ref="B21:J21"/>
    <mergeCell ref="B22:J22"/>
    <mergeCell ref="B23:J23"/>
    <mergeCell ref="B2:J2"/>
    <mergeCell ref="B3:J3"/>
    <mergeCell ref="B6:J6"/>
    <mergeCell ref="B9:J9"/>
    <mergeCell ref="B12:J12"/>
    <mergeCell ref="B16:J16"/>
    <mergeCell ref="B18:J18"/>
    <mergeCell ref="B19:J19"/>
    <mergeCell ref="B14:J14"/>
    <mergeCell ref="B15:J15"/>
  </mergeCells>
  <pageMargins left="0.70866141732283472" right="0.70866141732283472" top="0.74803149606299213" bottom="0.74803149606299213" header="0.31496062992125984" footer="0.31496062992125984"/>
  <pageSetup paperSize="9" scale="66" fitToHeight="0" orientation="landscape"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E4A38-7AA2-40C9-98C2-472AF4F23C3F}">
  <sheetPr codeName="Sheet20">
    <tabColor theme="3"/>
    <pageSetUpPr fitToPage="1"/>
  </sheetPr>
  <dimension ref="B2:T40"/>
  <sheetViews>
    <sheetView zoomScale="90" zoomScaleNormal="90" workbookViewId="0"/>
  </sheetViews>
  <sheetFormatPr defaultColWidth="8.54296875" defaultRowHeight="13.5" x14ac:dyDescent="0.25"/>
  <cols>
    <col min="1" max="1" width="2.453125" style="2" customWidth="1"/>
    <col min="2" max="2" width="98.54296875" style="2" customWidth="1"/>
    <col min="3" max="10" width="18.453125" style="2" customWidth="1"/>
    <col min="11" max="11" width="8.54296875" style="1293" bestFit="1"/>
    <col min="12" max="12" width="8.54296875" style="1293"/>
    <col min="13" max="15" width="8.54296875" style="1293" bestFit="1"/>
    <col min="16" max="19" width="8.54296875" style="2"/>
    <col min="20" max="20" width="10.54296875" style="2" customWidth="1"/>
    <col min="21" max="16384" width="8.54296875" style="2"/>
  </cols>
  <sheetData>
    <row r="2" spans="2:20" ht="48.65" customHeight="1" x14ac:dyDescent="0.25">
      <c r="B2" s="1835" t="s">
        <v>30</v>
      </c>
      <c r="C2" s="1835"/>
      <c r="D2" s="1835"/>
      <c r="E2" s="1835"/>
      <c r="F2" s="1835"/>
      <c r="G2" s="1835"/>
      <c r="H2" s="1835"/>
      <c r="I2" s="1835"/>
      <c r="J2" s="1835"/>
      <c r="K2" s="1885"/>
    </row>
    <row r="3" spans="2:20" ht="13.4" customHeight="1" x14ac:dyDescent="0.25"/>
    <row r="4" spans="2:20" ht="95.5" customHeight="1" x14ac:dyDescent="0.25">
      <c r="B4" s="1886" t="s">
        <v>1536</v>
      </c>
      <c r="C4" s="1886"/>
      <c r="D4" s="1886"/>
      <c r="E4" s="1886"/>
      <c r="F4" s="1886"/>
      <c r="G4" s="1886"/>
      <c r="H4" s="1886"/>
      <c r="I4" s="1886"/>
      <c r="J4" s="1311"/>
      <c r="K4" s="1311"/>
      <c r="L4" s="1311"/>
      <c r="M4" s="1311"/>
      <c r="N4" s="1311"/>
      <c r="O4" s="1311"/>
      <c r="T4" s="993"/>
    </row>
    <row r="5" spans="2:20" x14ac:dyDescent="0.25">
      <c r="B5" s="1045"/>
      <c r="C5" s="1045"/>
      <c r="D5" s="1045"/>
      <c r="E5" s="1045"/>
      <c r="F5" s="1045"/>
      <c r="G5" s="1045"/>
      <c r="H5" s="1045"/>
      <c r="I5" s="1045"/>
      <c r="J5" s="1045"/>
      <c r="K5" s="1297"/>
      <c r="L5" s="1297"/>
      <c r="M5" s="1297"/>
      <c r="N5" s="1297"/>
      <c r="O5" s="1297"/>
      <c r="T5" s="993"/>
    </row>
    <row r="6" spans="2:20" ht="14.5" x14ac:dyDescent="0.35">
      <c r="B6" s="1296" t="s">
        <v>1198</v>
      </c>
      <c r="C6" s="1295"/>
      <c r="D6" s="6"/>
      <c r="E6" s="6"/>
      <c r="F6" s="6"/>
      <c r="G6" s="6"/>
      <c r="H6" s="6"/>
      <c r="I6" s="6"/>
      <c r="J6" s="6"/>
      <c r="K6" s="1294"/>
    </row>
    <row r="7" spans="2:20" x14ac:dyDescent="0.25">
      <c r="B7" s="6"/>
      <c r="C7" s="6"/>
      <c r="D7" s="6"/>
      <c r="E7" s="6"/>
      <c r="F7" s="6"/>
      <c r="G7" s="6"/>
      <c r="H7" s="6"/>
      <c r="I7" s="6"/>
      <c r="J7" s="6"/>
    </row>
    <row r="8" spans="2:20" ht="27" x14ac:dyDescent="0.25">
      <c r="B8" s="571" t="s">
        <v>1199</v>
      </c>
      <c r="C8" s="600" t="s">
        <v>1200</v>
      </c>
      <c r="D8" s="600" t="s">
        <v>1201</v>
      </c>
      <c r="E8" s="600" t="s">
        <v>1202</v>
      </c>
    </row>
    <row r="9" spans="2:20" ht="15" x14ac:dyDescent="0.3">
      <c r="B9" s="534" t="s">
        <v>1203</v>
      </c>
      <c r="C9" s="994" t="s">
        <v>1204</v>
      </c>
      <c r="D9" s="995">
        <v>7420</v>
      </c>
      <c r="E9" s="995">
        <v>500</v>
      </c>
    </row>
    <row r="10" spans="2:20" ht="15" x14ac:dyDescent="0.3">
      <c r="B10" s="534" t="s">
        <v>1205</v>
      </c>
      <c r="C10" s="996">
        <v>0.79</v>
      </c>
      <c r="D10" s="997">
        <v>0.82899999999999996</v>
      </c>
      <c r="E10" s="995" t="s">
        <v>1204</v>
      </c>
    </row>
    <row r="11" spans="2:20" ht="15" x14ac:dyDescent="0.3">
      <c r="B11" s="1010" t="s">
        <v>1206</v>
      </c>
      <c r="C11" s="994">
        <v>432</v>
      </c>
      <c r="D11" s="995">
        <v>778</v>
      </c>
      <c r="E11" s="995">
        <v>28</v>
      </c>
    </row>
    <row r="12" spans="2:20" ht="15" x14ac:dyDescent="0.3">
      <c r="B12" s="837" t="s">
        <v>1207</v>
      </c>
      <c r="C12" s="1017">
        <v>6.0000000000000001E-3</v>
      </c>
      <c r="D12" s="1011">
        <v>2.8000000000000001E-2</v>
      </c>
      <c r="E12" s="995" t="s">
        <v>1204</v>
      </c>
    </row>
    <row r="13" spans="2:20" ht="15" x14ac:dyDescent="0.3">
      <c r="B13" s="545" t="s">
        <v>1208</v>
      </c>
      <c r="C13" s="994">
        <v>139</v>
      </c>
      <c r="D13" s="995">
        <v>28</v>
      </c>
      <c r="E13" s="995" t="s">
        <v>1204</v>
      </c>
    </row>
    <row r="14" spans="2:20" ht="15" x14ac:dyDescent="0.3">
      <c r="B14" s="545" t="s">
        <v>1209</v>
      </c>
      <c r="C14" s="994">
        <v>207</v>
      </c>
      <c r="D14" s="995">
        <v>28</v>
      </c>
      <c r="E14" s="995" t="s">
        <v>1204</v>
      </c>
    </row>
    <row r="16" spans="2:20" ht="54" x14ac:dyDescent="0.25">
      <c r="B16" s="570" t="s">
        <v>1210</v>
      </c>
      <c r="C16" s="600" t="s">
        <v>1211</v>
      </c>
      <c r="D16" s="600" t="s">
        <v>1212</v>
      </c>
      <c r="E16" s="600" t="s">
        <v>1213</v>
      </c>
      <c r="F16" s="600" t="s">
        <v>1214</v>
      </c>
      <c r="G16" s="600" t="s">
        <v>1215</v>
      </c>
    </row>
    <row r="17" spans="2:7" ht="15" x14ac:dyDescent="0.3">
      <c r="B17" s="534" t="s">
        <v>1216</v>
      </c>
      <c r="C17" s="996">
        <v>0.46</v>
      </c>
      <c r="D17" s="997">
        <v>0.44</v>
      </c>
      <c r="E17" s="997">
        <v>0.39</v>
      </c>
      <c r="F17" s="997">
        <v>0.38</v>
      </c>
      <c r="G17" s="997">
        <v>0.25</v>
      </c>
    </row>
    <row r="18" spans="2:7" ht="15" x14ac:dyDescent="0.3">
      <c r="B18" s="545" t="s">
        <v>1217</v>
      </c>
      <c r="C18" s="996">
        <v>0.16</v>
      </c>
      <c r="D18" s="997">
        <v>0.02</v>
      </c>
      <c r="E18" s="997">
        <v>0.02</v>
      </c>
      <c r="F18" s="998">
        <v>7.0000000000000007E-2</v>
      </c>
      <c r="G18" s="998">
        <v>2E-3</v>
      </c>
    </row>
    <row r="19" spans="2:7" ht="30" x14ac:dyDescent="0.3">
      <c r="B19" s="545" t="s">
        <v>1218</v>
      </c>
      <c r="C19" s="996">
        <v>0.37</v>
      </c>
      <c r="D19" s="997">
        <v>0.54</v>
      </c>
      <c r="E19" s="997">
        <v>0.56999999999999995</v>
      </c>
      <c r="F19" s="997">
        <v>0.52</v>
      </c>
      <c r="G19" s="997">
        <v>0.73</v>
      </c>
    </row>
    <row r="21" spans="2:7" ht="40.4" customHeight="1" x14ac:dyDescent="0.25">
      <c r="B21" s="1301" t="s">
        <v>1219</v>
      </c>
      <c r="C21" s="1302" t="s">
        <v>1200</v>
      </c>
      <c r="D21" s="1302" t="s">
        <v>1201</v>
      </c>
      <c r="E21" s="1302" t="s">
        <v>1202</v>
      </c>
    </row>
    <row r="22" spans="2:7" ht="15" x14ac:dyDescent="0.3">
      <c r="B22" s="1303" t="s">
        <v>1220</v>
      </c>
      <c r="C22" s="1304">
        <v>32</v>
      </c>
      <c r="D22" s="1305">
        <v>26</v>
      </c>
      <c r="E22" s="1306">
        <v>71</v>
      </c>
    </row>
    <row r="23" spans="2:7" ht="15" x14ac:dyDescent="0.3">
      <c r="B23" s="1303" t="s">
        <v>1221</v>
      </c>
      <c r="C23" s="1304">
        <v>25</v>
      </c>
      <c r="D23" s="1305">
        <v>21</v>
      </c>
      <c r="E23" s="1306">
        <v>67</v>
      </c>
    </row>
    <row r="24" spans="2:7" ht="15" x14ac:dyDescent="0.3">
      <c r="B24" s="1303" t="s">
        <v>1222</v>
      </c>
      <c r="C24" s="1304">
        <v>3</v>
      </c>
      <c r="D24" s="1305">
        <v>4</v>
      </c>
      <c r="E24" s="1306">
        <v>4</v>
      </c>
    </row>
    <row r="25" spans="2:7" ht="15" x14ac:dyDescent="0.3">
      <c r="B25" s="1303" t="s">
        <v>1223</v>
      </c>
      <c r="C25" s="1307">
        <v>1</v>
      </c>
      <c r="D25" s="1305" t="s">
        <v>1224</v>
      </c>
      <c r="E25" s="1306" t="s">
        <v>1204</v>
      </c>
    </row>
    <row r="26" spans="2:7" ht="36" customHeight="1" x14ac:dyDescent="0.25">
      <c r="B26" s="1303" t="s">
        <v>1225</v>
      </c>
      <c r="C26" s="1308">
        <v>33</v>
      </c>
      <c r="D26" s="1309">
        <v>3</v>
      </c>
      <c r="E26" s="1310">
        <v>35</v>
      </c>
    </row>
    <row r="27" spans="2:7" ht="15" x14ac:dyDescent="0.3">
      <c r="B27" s="1303" t="s">
        <v>1226</v>
      </c>
      <c r="C27" s="1304">
        <v>25</v>
      </c>
      <c r="D27" s="1305">
        <v>3</v>
      </c>
      <c r="E27" s="1306">
        <v>29</v>
      </c>
    </row>
    <row r="28" spans="2:7" ht="15" x14ac:dyDescent="0.3">
      <c r="B28" s="1303" t="s">
        <v>1227</v>
      </c>
      <c r="C28" s="1304">
        <v>3</v>
      </c>
      <c r="D28" s="1305">
        <v>0</v>
      </c>
      <c r="E28" s="1306">
        <v>6</v>
      </c>
    </row>
    <row r="29" spans="2:7" ht="15" x14ac:dyDescent="0.3">
      <c r="B29" s="1303" t="s">
        <v>1228</v>
      </c>
      <c r="C29" s="1307">
        <v>1</v>
      </c>
      <c r="D29" s="1304" t="s">
        <v>1224</v>
      </c>
      <c r="E29" s="1306" t="s">
        <v>1204</v>
      </c>
    </row>
    <row r="30" spans="2:7" ht="15" x14ac:dyDescent="0.3">
      <c r="B30" s="1300" t="s">
        <v>1229</v>
      </c>
      <c r="C30" s="1298"/>
      <c r="D30" s="1298"/>
      <c r="E30" s="1299"/>
    </row>
    <row r="32" spans="2:7" ht="27" x14ac:dyDescent="0.25">
      <c r="B32" s="1070" t="s">
        <v>1230</v>
      </c>
      <c r="C32" s="1071" t="s">
        <v>1200</v>
      </c>
      <c r="D32" s="1071" t="s">
        <v>1201</v>
      </c>
    </row>
    <row r="33" spans="2:9" ht="15" x14ac:dyDescent="0.3">
      <c r="B33" s="999" t="s">
        <v>1231</v>
      </c>
      <c r="C33" s="1000">
        <v>0.45</v>
      </c>
      <c r="D33" s="1014">
        <v>0.62</v>
      </c>
    </row>
    <row r="35" spans="2:9" ht="51.75" customHeight="1" x14ac:dyDescent="0.25">
      <c r="B35" s="571" t="s">
        <v>1232</v>
      </c>
      <c r="C35" s="1044" t="s">
        <v>1233</v>
      </c>
      <c r="D35" s="1236" t="s">
        <v>1234</v>
      </c>
      <c r="E35" s="1236" t="s">
        <v>1235</v>
      </c>
      <c r="F35" s="1236" t="s">
        <v>1236</v>
      </c>
      <c r="G35" s="1236" t="s">
        <v>1237</v>
      </c>
      <c r="H35" s="1236" t="s">
        <v>1238</v>
      </c>
      <c r="I35" s="1236" t="s">
        <v>1239</v>
      </c>
    </row>
    <row r="36" spans="2:9" ht="15" x14ac:dyDescent="0.3">
      <c r="B36" s="999" t="s">
        <v>1240</v>
      </c>
      <c r="C36" s="1220">
        <v>0.13</v>
      </c>
      <c r="D36" s="1221">
        <v>0.152</v>
      </c>
      <c r="E36" s="1221">
        <v>0.124</v>
      </c>
      <c r="F36" s="1221">
        <v>0.154</v>
      </c>
      <c r="G36" s="1221">
        <v>0.14000000000000001</v>
      </c>
      <c r="H36" s="1221">
        <v>0.128</v>
      </c>
      <c r="I36" s="1221">
        <v>3.3000000000000002E-2</v>
      </c>
    </row>
    <row r="37" spans="2:9" ht="14.5" x14ac:dyDescent="0.25">
      <c r="B37" s="1196"/>
    </row>
    <row r="38" spans="2:9" x14ac:dyDescent="0.25">
      <c r="C38" s="1191" t="s">
        <v>459</v>
      </c>
    </row>
    <row r="39" spans="2:9" ht="28.5" customHeight="1" x14ac:dyDescent="0.25">
      <c r="B39" s="571" t="s">
        <v>1241</v>
      </c>
      <c r="C39" s="981" t="s">
        <v>1029</v>
      </c>
    </row>
    <row r="40" spans="2:9" ht="20.149999999999999" customHeight="1" x14ac:dyDescent="0.25">
      <c r="B40" s="999" t="s">
        <v>1242</v>
      </c>
      <c r="C40" s="1198">
        <v>0.92</v>
      </c>
    </row>
  </sheetData>
  <sheetProtection algorithmName="SHA-512" hashValue="0N387GuExCsuWNUWZR793FbBalYtQL/tY8eDoJCwFg9Mh8cRDdqOfAK+fbQhBHbRjjq7tGXbsjfXxBvVvc/rRg==" saltValue="3Is25LTQsRGxaom5DhzIDw==" spinCount="100000" sheet="1" objects="1" scenarios="1"/>
  <mergeCells count="2">
    <mergeCell ref="B2:K2"/>
    <mergeCell ref="B4:I4"/>
  </mergeCells>
  <phoneticPr fontId="3" type="noConversion"/>
  <hyperlinks>
    <hyperlink ref="B6" r:id="rId1" display="Supplier code of conduct | Johnson Matthey" xr:uid="{83969072-E206-4881-B79A-8C2A4C3ED546}"/>
  </hyperlinks>
  <pageMargins left="0.70866141732283472" right="0.70866141732283472" top="0.74803149606299213" bottom="0.74803149606299213" header="0.31496062992125984" footer="0.31496062992125984"/>
  <pageSetup paperSize="9" scale="51" orientation="landscape" r:id="rId2"/>
  <drawing r:id="rId3"/>
  <legacy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0B7EA-EBFA-47F2-89E1-47C839E6EA94}">
  <sheetPr codeName="Sheet22">
    <tabColor theme="6" tint="-0.249977111117893"/>
    <pageSetUpPr fitToPage="1"/>
  </sheetPr>
  <dimension ref="B2:O118"/>
  <sheetViews>
    <sheetView zoomScale="90" zoomScaleNormal="90" workbookViewId="0"/>
  </sheetViews>
  <sheetFormatPr defaultColWidth="8.54296875" defaultRowHeight="13.5" x14ac:dyDescent="0.35"/>
  <cols>
    <col min="1" max="1" width="2.453125" style="58" customWidth="1"/>
    <col min="2" max="2" width="72.1796875" style="90" customWidth="1"/>
    <col min="3" max="3" width="30.54296875" style="470" customWidth="1"/>
    <col min="4" max="4" width="146.54296875" style="58" bestFit="1" customWidth="1"/>
    <col min="5" max="5" width="22.453125" style="58" customWidth="1"/>
    <col min="6" max="15" width="7.26953125" style="58" customWidth="1"/>
    <col min="16" max="16384" width="8.54296875" style="58"/>
  </cols>
  <sheetData>
    <row r="2" spans="2:15" ht="35.25" customHeight="1" x14ac:dyDescent="0.35">
      <c r="B2" s="936" t="s">
        <v>1243</v>
      </c>
      <c r="C2" s="936"/>
      <c r="D2" s="1048"/>
      <c r="E2" s="1048"/>
      <c r="F2" s="1048"/>
      <c r="G2" s="1048"/>
      <c r="H2" s="1048"/>
      <c r="I2" s="1048"/>
      <c r="J2" s="1048"/>
      <c r="K2" s="1048"/>
    </row>
    <row r="3" spans="2:15" ht="80.900000000000006" customHeight="1" x14ac:dyDescent="0.35">
      <c r="B3" s="1893" t="s">
        <v>1244</v>
      </c>
      <c r="C3" s="1893"/>
      <c r="D3" s="1893"/>
    </row>
    <row r="4" spans="2:15" ht="15" customHeight="1" x14ac:dyDescent="0.35">
      <c r="B4" s="141"/>
      <c r="C4" s="141"/>
      <c r="D4" s="141"/>
      <c r="E4" s="141"/>
      <c r="F4" s="141"/>
      <c r="G4" s="141"/>
      <c r="H4" s="141"/>
      <c r="I4" s="141"/>
      <c r="J4" s="141"/>
      <c r="K4" s="141"/>
      <c r="L4" s="141"/>
      <c r="M4" s="141"/>
      <c r="N4" s="141"/>
      <c r="O4" s="141"/>
    </row>
    <row r="5" spans="2:15" x14ac:dyDescent="0.35">
      <c r="B5" s="1061" t="s">
        <v>486</v>
      </c>
      <c r="C5" s="644" t="s">
        <v>458</v>
      </c>
      <c r="D5" s="1061" t="s">
        <v>1569</v>
      </c>
    </row>
    <row r="6" spans="2:15" ht="100.5" x14ac:dyDescent="0.35">
      <c r="B6" s="1062" t="s">
        <v>395</v>
      </c>
      <c r="C6" s="1983" t="s">
        <v>470</v>
      </c>
      <c r="D6" s="1062" t="s">
        <v>1245</v>
      </c>
    </row>
    <row r="7" spans="2:15" ht="54" x14ac:dyDescent="0.35">
      <c r="B7" s="1062" t="s">
        <v>397</v>
      </c>
      <c r="C7" s="1983" t="s">
        <v>470</v>
      </c>
      <c r="D7" s="1062" t="s">
        <v>1246</v>
      </c>
    </row>
    <row r="8" spans="2:15" ht="54" x14ac:dyDescent="0.35">
      <c r="B8" s="1062" t="s">
        <v>471</v>
      </c>
      <c r="C8" s="1983" t="s">
        <v>470</v>
      </c>
      <c r="D8" s="1062" t="s">
        <v>1247</v>
      </c>
    </row>
    <row r="9" spans="2:15" ht="17" x14ac:dyDescent="0.35">
      <c r="B9" s="1062" t="s">
        <v>491</v>
      </c>
      <c r="C9" s="1983" t="s">
        <v>470</v>
      </c>
      <c r="D9" s="1062" t="s">
        <v>1248</v>
      </c>
    </row>
    <row r="10" spans="2:15" ht="17" x14ac:dyDescent="0.35">
      <c r="B10" s="1062" t="s">
        <v>583</v>
      </c>
      <c r="C10" s="1983" t="s">
        <v>470</v>
      </c>
      <c r="D10" s="1062" t="s">
        <v>1559</v>
      </c>
    </row>
    <row r="11" spans="2:15" ht="17" x14ac:dyDescent="0.35">
      <c r="B11" s="1062" t="s">
        <v>475</v>
      </c>
      <c r="C11" s="1983" t="s">
        <v>483</v>
      </c>
      <c r="D11" s="1062" t="s">
        <v>1249</v>
      </c>
    </row>
    <row r="12" spans="2:15" ht="27" x14ac:dyDescent="0.35">
      <c r="B12" s="1062" t="s">
        <v>493</v>
      </c>
      <c r="C12" s="1984" t="s">
        <v>494</v>
      </c>
      <c r="D12" s="1062" t="s">
        <v>1250</v>
      </c>
    </row>
    <row r="13" spans="2:15" ht="54" x14ac:dyDescent="0.35">
      <c r="B13" s="1062" t="s">
        <v>478</v>
      </c>
      <c r="C13" s="1985" t="s">
        <v>479</v>
      </c>
      <c r="D13" s="1062" t="s">
        <v>1251</v>
      </c>
    </row>
    <row r="14" spans="2:15" ht="15" x14ac:dyDescent="0.35">
      <c r="B14" s="1062" t="s">
        <v>480</v>
      </c>
      <c r="C14" s="1985" t="s">
        <v>481</v>
      </c>
      <c r="D14" s="1062" t="s">
        <v>830</v>
      </c>
    </row>
    <row r="15" spans="2:15" ht="81" x14ac:dyDescent="0.35">
      <c r="B15" s="1063" t="s">
        <v>495</v>
      </c>
      <c r="C15" s="1986" t="s">
        <v>496</v>
      </c>
      <c r="D15" s="1062" t="s">
        <v>1252</v>
      </c>
    </row>
    <row r="16" spans="2:15" ht="27" x14ac:dyDescent="0.35">
      <c r="B16" s="1063" t="s">
        <v>497</v>
      </c>
      <c r="C16" s="1986" t="s">
        <v>496</v>
      </c>
      <c r="D16" s="1062" t="s">
        <v>1253</v>
      </c>
    </row>
    <row r="17" spans="2:4" ht="40.5" x14ac:dyDescent="0.35">
      <c r="B17" s="1062" t="s">
        <v>498</v>
      </c>
      <c r="C17" s="1984" t="s">
        <v>494</v>
      </c>
      <c r="D17" s="1062" t="s">
        <v>1254</v>
      </c>
    </row>
    <row r="18" spans="2:4" ht="40.5" x14ac:dyDescent="0.35">
      <c r="B18" s="1288" t="s">
        <v>620</v>
      </c>
      <c r="C18" s="1993" t="s">
        <v>494</v>
      </c>
      <c r="D18" s="1288" t="s">
        <v>1319</v>
      </c>
    </row>
    <row r="19" spans="2:4" ht="81" x14ac:dyDescent="0.35">
      <c r="B19" s="1616" t="s">
        <v>633</v>
      </c>
      <c r="C19" s="1987" t="s">
        <v>496</v>
      </c>
      <c r="D19" s="1062" t="s">
        <v>846</v>
      </c>
    </row>
    <row r="20" spans="2:4" ht="40.5" x14ac:dyDescent="0.35">
      <c r="B20" s="1616" t="s">
        <v>634</v>
      </c>
      <c r="C20" s="1987" t="s">
        <v>496</v>
      </c>
      <c r="D20" s="1062" t="s">
        <v>847</v>
      </c>
    </row>
    <row r="21" spans="2:4" ht="40.5" x14ac:dyDescent="0.35">
      <c r="B21" s="1616" t="s">
        <v>635</v>
      </c>
      <c r="C21" s="1987" t="s">
        <v>496</v>
      </c>
      <c r="D21" s="1062" t="s">
        <v>1560</v>
      </c>
    </row>
    <row r="22" spans="2:4" ht="27" x14ac:dyDescent="0.35">
      <c r="B22" s="1616" t="s">
        <v>636</v>
      </c>
      <c r="C22" s="1987" t="s">
        <v>496</v>
      </c>
      <c r="D22" s="1062" t="s">
        <v>849</v>
      </c>
    </row>
    <row r="23" spans="2:4" ht="40.5" x14ac:dyDescent="0.35">
      <c r="B23" s="1616" t="s">
        <v>637</v>
      </c>
      <c r="C23" s="1987" t="s">
        <v>496</v>
      </c>
      <c r="D23" s="1062" t="s">
        <v>850</v>
      </c>
    </row>
    <row r="24" spans="2:4" ht="27" x14ac:dyDescent="0.35">
      <c r="B24" s="1616" t="s">
        <v>638</v>
      </c>
      <c r="C24" s="1987" t="s">
        <v>496</v>
      </c>
      <c r="D24" s="1062" t="s">
        <v>843</v>
      </c>
    </row>
    <row r="25" spans="2:4" ht="27" x14ac:dyDescent="0.35">
      <c r="B25" s="1616" t="s">
        <v>497</v>
      </c>
      <c r="C25" s="1987" t="s">
        <v>496</v>
      </c>
      <c r="D25" s="1062" t="s">
        <v>1561</v>
      </c>
    </row>
    <row r="26" spans="2:4" ht="31.5" customHeight="1" x14ac:dyDescent="0.35">
      <c r="B26" s="1616" t="s">
        <v>1563</v>
      </c>
      <c r="C26" s="1987" t="s">
        <v>496</v>
      </c>
      <c r="D26" s="1062" t="s">
        <v>1562</v>
      </c>
    </row>
    <row r="27" spans="2:4" ht="63" customHeight="1" x14ac:dyDescent="0.35">
      <c r="B27" s="1064" t="s">
        <v>499</v>
      </c>
      <c r="C27" s="1988" t="s">
        <v>586</v>
      </c>
      <c r="D27" s="1062" t="s">
        <v>1573</v>
      </c>
    </row>
    <row r="28" spans="2:4" ht="31.5" customHeight="1" x14ac:dyDescent="0.35">
      <c r="B28" s="1064" t="s">
        <v>587</v>
      </c>
      <c r="C28" s="1988" t="s">
        <v>586</v>
      </c>
      <c r="D28" s="1064" t="s">
        <v>1571</v>
      </c>
    </row>
    <row r="29" spans="2:4" ht="42.75" customHeight="1" x14ac:dyDescent="0.35">
      <c r="B29" s="1064" t="s">
        <v>500</v>
      </c>
      <c r="C29" s="1988" t="s">
        <v>586</v>
      </c>
      <c r="D29" s="1062" t="s">
        <v>1530</v>
      </c>
    </row>
    <row r="30" spans="2:4" ht="27" x14ac:dyDescent="0.35">
      <c r="B30" s="1064" t="s">
        <v>589</v>
      </c>
      <c r="C30" s="1988" t="s">
        <v>586</v>
      </c>
      <c r="D30" s="1062" t="s">
        <v>1574</v>
      </c>
    </row>
    <row r="31" spans="2:4" ht="27" x14ac:dyDescent="0.35">
      <c r="B31" s="1064" t="s">
        <v>590</v>
      </c>
      <c r="C31" s="1988" t="s">
        <v>586</v>
      </c>
      <c r="D31" s="1062" t="s">
        <v>1531</v>
      </c>
    </row>
    <row r="32" spans="2:4" ht="40.5" x14ac:dyDescent="0.35">
      <c r="B32" s="1064" t="s">
        <v>591</v>
      </c>
      <c r="C32" s="1988" t="s">
        <v>586</v>
      </c>
      <c r="D32" s="1062" t="s">
        <v>1575</v>
      </c>
    </row>
    <row r="33" spans="2:4" ht="27" x14ac:dyDescent="0.35">
      <c r="B33" s="1064" t="s">
        <v>592</v>
      </c>
      <c r="C33" s="1988" t="s">
        <v>586</v>
      </c>
      <c r="D33" s="1062" t="s">
        <v>1532</v>
      </c>
    </row>
    <row r="34" spans="2:4" ht="40.5" x14ac:dyDescent="0.35">
      <c r="B34" s="1064" t="s">
        <v>593</v>
      </c>
      <c r="C34" s="1988" t="s">
        <v>586</v>
      </c>
      <c r="D34" s="1062" t="s">
        <v>1572</v>
      </c>
    </row>
    <row r="35" spans="2:4" ht="27" x14ac:dyDescent="0.35">
      <c r="B35" s="1064" t="s">
        <v>594</v>
      </c>
      <c r="C35" s="1988" t="s">
        <v>586</v>
      </c>
      <c r="D35" s="1062" t="s">
        <v>1574</v>
      </c>
    </row>
    <row r="36" spans="2:4" ht="40.5" x14ac:dyDescent="0.35">
      <c r="B36" s="1064" t="s">
        <v>595</v>
      </c>
      <c r="C36" s="1988" t="s">
        <v>586</v>
      </c>
      <c r="D36" s="1062" t="s">
        <v>1256</v>
      </c>
    </row>
    <row r="37" spans="2:4" ht="27" x14ac:dyDescent="0.35">
      <c r="B37" s="1064" t="s">
        <v>596</v>
      </c>
      <c r="C37" s="1988" t="s">
        <v>586</v>
      </c>
      <c r="D37" s="1062" t="s">
        <v>1533</v>
      </c>
    </row>
    <row r="38" spans="2:4" ht="40.5" x14ac:dyDescent="0.35">
      <c r="B38" s="1064" t="s">
        <v>747</v>
      </c>
      <c r="C38" s="1988" t="s">
        <v>586</v>
      </c>
      <c r="D38" s="1062" t="s">
        <v>1534</v>
      </c>
    </row>
    <row r="39" spans="2:4" ht="27" x14ac:dyDescent="0.35">
      <c r="B39" s="1064" t="s">
        <v>600</v>
      </c>
      <c r="C39" s="1988" t="s">
        <v>586</v>
      </c>
      <c r="D39" s="1062" t="s">
        <v>1255</v>
      </c>
    </row>
    <row r="40" spans="2:4" ht="17" x14ac:dyDescent="0.35">
      <c r="B40" s="1064" t="s">
        <v>601</v>
      </c>
      <c r="C40" s="1988" t="s">
        <v>586</v>
      </c>
      <c r="D40" s="1062" t="s">
        <v>1257</v>
      </c>
    </row>
    <row r="41" spans="2:4" ht="27" x14ac:dyDescent="0.35">
      <c r="B41" s="1064" t="s">
        <v>602</v>
      </c>
      <c r="C41" s="1988" t="s">
        <v>586</v>
      </c>
      <c r="D41" s="1062" t="s">
        <v>1535</v>
      </c>
    </row>
    <row r="42" spans="2:4" ht="17" x14ac:dyDescent="0.35">
      <c r="B42" s="1064" t="s">
        <v>501</v>
      </c>
      <c r="C42" s="1988" t="s">
        <v>586</v>
      </c>
      <c r="D42" s="813" t="s">
        <v>1258</v>
      </c>
    </row>
    <row r="43" spans="2:4" ht="16.5" x14ac:dyDescent="0.35">
      <c r="B43" s="816" t="s">
        <v>645</v>
      </c>
      <c r="C43" s="1989" t="s">
        <v>503</v>
      </c>
      <c r="D43" s="813" t="s">
        <v>758</v>
      </c>
    </row>
    <row r="44" spans="2:4" ht="16.5" x14ac:dyDescent="0.35">
      <c r="B44" s="813" t="s">
        <v>646</v>
      </c>
      <c r="C44" s="1989" t="s">
        <v>503</v>
      </c>
      <c r="D44" s="813" t="s">
        <v>760</v>
      </c>
    </row>
    <row r="45" spans="2:4" ht="27" x14ac:dyDescent="0.35">
      <c r="B45" s="813" t="s">
        <v>647</v>
      </c>
      <c r="C45" s="1989" t="s">
        <v>503</v>
      </c>
      <c r="D45" s="1067" t="s">
        <v>761</v>
      </c>
    </row>
    <row r="46" spans="2:4" ht="16.5" x14ac:dyDescent="0.35">
      <c r="B46" s="1065" t="s">
        <v>502</v>
      </c>
      <c r="C46" s="1989" t="s">
        <v>503</v>
      </c>
      <c r="D46" s="1062" t="s">
        <v>763</v>
      </c>
    </row>
    <row r="47" spans="2:4" ht="27" x14ac:dyDescent="0.35">
      <c r="B47" s="1062" t="s">
        <v>504</v>
      </c>
      <c r="C47" s="1989" t="s">
        <v>503</v>
      </c>
      <c r="D47" s="1062" t="s">
        <v>1259</v>
      </c>
    </row>
    <row r="48" spans="2:4" ht="40.5" x14ac:dyDescent="0.35">
      <c r="B48" s="855" t="s">
        <v>652</v>
      </c>
      <c r="C48" s="1989" t="s">
        <v>503</v>
      </c>
      <c r="D48" s="1062" t="s">
        <v>1332</v>
      </c>
    </row>
    <row r="49" spans="2:4" ht="40.5" x14ac:dyDescent="0.35">
      <c r="B49" s="1065" t="s">
        <v>508</v>
      </c>
      <c r="C49" s="1996" t="s">
        <v>509</v>
      </c>
      <c r="D49" s="1062" t="s">
        <v>1262</v>
      </c>
    </row>
    <row r="50" spans="2:4" x14ac:dyDescent="0.35">
      <c r="B50" s="1064" t="s">
        <v>510</v>
      </c>
      <c r="C50" s="1987" t="s">
        <v>494</v>
      </c>
      <c r="D50" s="1062" t="s">
        <v>778</v>
      </c>
    </row>
    <row r="51" spans="2:4" ht="54" x14ac:dyDescent="0.35">
      <c r="B51" s="1062" t="s">
        <v>505</v>
      </c>
      <c r="C51" s="1996" t="s">
        <v>506</v>
      </c>
      <c r="D51" s="1062" t="s">
        <v>1260</v>
      </c>
    </row>
    <row r="52" spans="2:4" ht="135" x14ac:dyDescent="0.35">
      <c r="B52" s="1064" t="s">
        <v>507</v>
      </c>
      <c r="C52" s="1996" t="s">
        <v>506</v>
      </c>
      <c r="D52" s="1062" t="s">
        <v>1261</v>
      </c>
    </row>
    <row r="53" spans="2:4" ht="27" x14ac:dyDescent="0.35">
      <c r="B53" s="1067" t="s">
        <v>667</v>
      </c>
      <c r="C53" s="1990" t="s">
        <v>512</v>
      </c>
      <c r="D53" s="1062" t="s">
        <v>781</v>
      </c>
    </row>
    <row r="54" spans="2:4" ht="27" x14ac:dyDescent="0.35">
      <c r="B54" s="1620" t="s">
        <v>668</v>
      </c>
      <c r="C54" s="1990" t="s">
        <v>512</v>
      </c>
      <c r="D54" s="1062" t="s">
        <v>780</v>
      </c>
    </row>
    <row r="55" spans="2:4" ht="27" x14ac:dyDescent="0.35">
      <c r="B55" s="813" t="s">
        <v>567</v>
      </c>
      <c r="C55" s="1990" t="s">
        <v>512</v>
      </c>
      <c r="D55" s="1062" t="s">
        <v>1333</v>
      </c>
    </row>
    <row r="56" spans="2:4" ht="27" x14ac:dyDescent="0.35">
      <c r="B56" s="1620" t="s">
        <v>669</v>
      </c>
      <c r="C56" s="1990" t="s">
        <v>512</v>
      </c>
      <c r="D56" s="1062" t="s">
        <v>783</v>
      </c>
    </row>
    <row r="57" spans="2:4" ht="27" x14ac:dyDescent="0.35">
      <c r="B57" s="1620" t="s">
        <v>670</v>
      </c>
      <c r="C57" s="1990" t="s">
        <v>512</v>
      </c>
      <c r="D57" s="1062" t="s">
        <v>782</v>
      </c>
    </row>
    <row r="58" spans="2:4" ht="27" x14ac:dyDescent="0.35">
      <c r="B58" s="1620" t="s">
        <v>671</v>
      </c>
      <c r="C58" s="1990" t="s">
        <v>512</v>
      </c>
      <c r="D58" s="1062" t="s">
        <v>1564</v>
      </c>
    </row>
    <row r="59" spans="2:4" ht="27" x14ac:dyDescent="0.35">
      <c r="B59" s="1063" t="s">
        <v>673</v>
      </c>
      <c r="C59" s="1990" t="s">
        <v>512</v>
      </c>
      <c r="D59" s="1062" t="s">
        <v>1565</v>
      </c>
    </row>
    <row r="60" spans="2:4" ht="67.5" x14ac:dyDescent="0.35">
      <c r="B60" s="1063" t="s">
        <v>674</v>
      </c>
      <c r="C60" s="1990" t="s">
        <v>512</v>
      </c>
      <c r="D60" s="1062" t="s">
        <v>1566</v>
      </c>
    </row>
    <row r="61" spans="2:4" ht="67.5" x14ac:dyDescent="0.35">
      <c r="B61" s="1064" t="s">
        <v>514</v>
      </c>
      <c r="C61" s="1990" t="s">
        <v>512</v>
      </c>
      <c r="D61" s="1062" t="s">
        <v>1264</v>
      </c>
    </row>
    <row r="62" spans="2:4" ht="94.5" x14ac:dyDescent="0.35">
      <c r="B62" s="1064" t="s">
        <v>515</v>
      </c>
      <c r="C62" s="1990" t="s">
        <v>512</v>
      </c>
      <c r="D62" s="1062" t="s">
        <v>1265</v>
      </c>
    </row>
    <row r="63" spans="2:4" ht="54" x14ac:dyDescent="0.35">
      <c r="B63" s="1064" t="s">
        <v>513</v>
      </c>
      <c r="C63" s="1990" t="s">
        <v>512</v>
      </c>
      <c r="D63" s="1062" t="s">
        <v>1263</v>
      </c>
    </row>
    <row r="64" spans="2:4" ht="54" x14ac:dyDescent="0.35">
      <c r="B64" s="1063" t="s">
        <v>516</v>
      </c>
      <c r="C64" s="1990" t="s">
        <v>512</v>
      </c>
      <c r="D64" s="1062" t="s">
        <v>1266</v>
      </c>
    </row>
    <row r="65" spans="2:4" ht="94.5" x14ac:dyDescent="0.35">
      <c r="B65" s="1064" t="s">
        <v>1267</v>
      </c>
      <c r="C65" s="1990" t="s">
        <v>512</v>
      </c>
      <c r="D65" s="1062" t="s">
        <v>1268</v>
      </c>
    </row>
    <row r="66" spans="2:4" ht="54" x14ac:dyDescent="0.35">
      <c r="B66" s="1063" t="s">
        <v>518</v>
      </c>
      <c r="C66" s="1990" t="s">
        <v>512</v>
      </c>
      <c r="D66" s="1062" t="s">
        <v>1269</v>
      </c>
    </row>
    <row r="67" spans="2:4" ht="81" x14ac:dyDescent="0.35">
      <c r="B67" s="1063" t="s">
        <v>519</v>
      </c>
      <c r="C67" s="1990" t="s">
        <v>512</v>
      </c>
      <c r="D67" s="1062" t="s">
        <v>1270</v>
      </c>
    </row>
    <row r="68" spans="2:4" ht="108" x14ac:dyDescent="0.35">
      <c r="B68" s="1063" t="s">
        <v>520</v>
      </c>
      <c r="C68" s="1990" t="s">
        <v>512</v>
      </c>
      <c r="D68" s="1062" t="s">
        <v>1271</v>
      </c>
    </row>
    <row r="69" spans="2:4" ht="67.5" x14ac:dyDescent="0.35">
      <c r="B69" s="1064" t="s">
        <v>567</v>
      </c>
      <c r="C69" s="1990" t="s">
        <v>512</v>
      </c>
      <c r="D69" s="1062" t="s">
        <v>1272</v>
      </c>
    </row>
    <row r="70" spans="2:4" ht="27" x14ac:dyDescent="0.35">
      <c r="B70" s="213" t="s">
        <v>696</v>
      </c>
      <c r="C70" s="1990" t="s">
        <v>512</v>
      </c>
      <c r="D70" s="1062" t="s">
        <v>1567</v>
      </c>
    </row>
    <row r="71" spans="2:4" ht="27" x14ac:dyDescent="0.35">
      <c r="B71" s="213" t="s">
        <v>697</v>
      </c>
      <c r="C71" s="1990" t="s">
        <v>512</v>
      </c>
      <c r="D71" s="1062" t="s">
        <v>1568</v>
      </c>
    </row>
    <row r="72" spans="2:4" ht="40.5" x14ac:dyDescent="0.35">
      <c r="B72" s="1064" t="s">
        <v>522</v>
      </c>
      <c r="C72" s="1990" t="s">
        <v>512</v>
      </c>
      <c r="D72" s="1062" t="s">
        <v>1273</v>
      </c>
    </row>
    <row r="73" spans="2:4" ht="27" x14ac:dyDescent="0.35">
      <c r="B73" s="1064" t="s">
        <v>523</v>
      </c>
      <c r="C73" s="1990" t="s">
        <v>512</v>
      </c>
      <c r="D73" s="1062" t="s">
        <v>1274</v>
      </c>
    </row>
    <row r="74" spans="2:4" ht="27" x14ac:dyDescent="0.35">
      <c r="B74" s="1064" t="s">
        <v>526</v>
      </c>
      <c r="C74" s="1990" t="s">
        <v>512</v>
      </c>
      <c r="D74" s="1062" t="s">
        <v>1275</v>
      </c>
    </row>
    <row r="75" spans="2:4" ht="40.5" x14ac:dyDescent="0.35">
      <c r="B75" s="1064" t="s">
        <v>527</v>
      </c>
      <c r="C75" s="1990" t="s">
        <v>512</v>
      </c>
      <c r="D75" s="1062" t="s">
        <v>1276</v>
      </c>
    </row>
    <row r="76" spans="2:4" ht="40.5" x14ac:dyDescent="0.35">
      <c r="B76" s="1064" t="s">
        <v>528</v>
      </c>
      <c r="C76" s="1990" t="s">
        <v>512</v>
      </c>
      <c r="D76" s="1062" t="s">
        <v>823</v>
      </c>
    </row>
    <row r="77" spans="2:4" x14ac:dyDescent="0.35">
      <c r="B77" s="1064" t="s">
        <v>529</v>
      </c>
      <c r="C77" s="1987" t="s">
        <v>494</v>
      </c>
      <c r="D77" s="1062" t="s">
        <v>1277</v>
      </c>
    </row>
    <row r="78" spans="2:4" x14ac:dyDescent="0.35">
      <c r="B78" s="1064" t="s">
        <v>530</v>
      </c>
      <c r="C78" s="1987" t="s">
        <v>494</v>
      </c>
      <c r="D78" s="1062" t="s">
        <v>1278</v>
      </c>
    </row>
    <row r="79" spans="2:4" x14ac:dyDescent="0.35">
      <c r="B79" s="1064" t="s">
        <v>531</v>
      </c>
      <c r="C79" s="1987" t="s">
        <v>494</v>
      </c>
      <c r="D79" s="1062" t="s">
        <v>1279</v>
      </c>
    </row>
    <row r="80" spans="2:4" ht="121.5" x14ac:dyDescent="0.35">
      <c r="B80" s="1064" t="s">
        <v>532</v>
      </c>
      <c r="C80" s="1988" t="s">
        <v>586</v>
      </c>
      <c r="D80" s="1062" t="s">
        <v>1280</v>
      </c>
    </row>
    <row r="81" spans="2:4" ht="148.5" x14ac:dyDescent="0.35">
      <c r="B81" s="1064" t="s">
        <v>533</v>
      </c>
      <c r="C81" s="1987" t="s">
        <v>494</v>
      </c>
      <c r="D81" s="1062" t="s">
        <v>1281</v>
      </c>
    </row>
    <row r="82" spans="2:4" ht="54" x14ac:dyDescent="0.35">
      <c r="B82" s="1616" t="s">
        <v>858</v>
      </c>
      <c r="C82" s="608" t="s">
        <v>859</v>
      </c>
      <c r="D82" s="1062" t="s">
        <v>1282</v>
      </c>
    </row>
    <row r="83" spans="2:4" ht="27" x14ac:dyDescent="0.35">
      <c r="B83" s="1064" t="s">
        <v>1283</v>
      </c>
      <c r="C83" s="1987" t="s">
        <v>719</v>
      </c>
      <c r="D83" s="1062" t="s">
        <v>1284</v>
      </c>
    </row>
    <row r="84" spans="2:4" ht="70" customHeight="1" x14ac:dyDescent="0.35">
      <c r="B84" s="1063" t="s">
        <v>534</v>
      </c>
      <c r="C84" s="1975" t="s">
        <v>535</v>
      </c>
      <c r="D84" s="1062" t="e" vm="1">
        <v>#VALUE!</v>
      </c>
    </row>
    <row r="85" spans="2:4" ht="70.5" customHeight="1" x14ac:dyDescent="0.35">
      <c r="B85" s="1063" t="s">
        <v>537</v>
      </c>
      <c r="C85" s="1975" t="s">
        <v>535</v>
      </c>
      <c r="D85" s="1062" t="e" vm="2">
        <v>#VALUE!</v>
      </c>
    </row>
    <row r="86" spans="2:4" ht="85.5" customHeight="1" x14ac:dyDescent="0.35">
      <c r="B86" s="1065" t="s">
        <v>538</v>
      </c>
      <c r="C86" s="1975" t="s">
        <v>535</v>
      </c>
      <c r="D86" s="1062" t="e" vm="3">
        <v>#VALUE!</v>
      </c>
    </row>
    <row r="87" spans="2:4" ht="54" customHeight="1" x14ac:dyDescent="0.35">
      <c r="B87" s="1891" t="s">
        <v>539</v>
      </c>
      <c r="C87" s="1973" t="s">
        <v>888</v>
      </c>
      <c r="D87" s="1062" t="s">
        <v>1285</v>
      </c>
    </row>
    <row r="88" spans="2:4" ht="72" customHeight="1" x14ac:dyDescent="0.35">
      <c r="B88" s="1892"/>
      <c r="C88" s="1974"/>
      <c r="D88" s="1062" t="e" vm="4">
        <v>#VALUE!</v>
      </c>
    </row>
    <row r="89" spans="2:4" ht="69.5" customHeight="1" x14ac:dyDescent="0.35">
      <c r="B89" s="1891" t="s">
        <v>1286</v>
      </c>
      <c r="C89" s="1976" t="s">
        <v>542</v>
      </c>
      <c r="D89" s="1062" t="s">
        <v>1287</v>
      </c>
    </row>
    <row r="90" spans="2:4" ht="81" customHeight="1" x14ac:dyDescent="0.35">
      <c r="B90" s="1892"/>
      <c r="C90" s="1977"/>
      <c r="D90" s="1062" t="e" vm="5">
        <v>#VALUE!</v>
      </c>
    </row>
    <row r="91" spans="2:4" ht="40.5" x14ac:dyDescent="0.35">
      <c r="B91" s="1616" t="s">
        <v>863</v>
      </c>
      <c r="C91" s="1987" t="s">
        <v>663</v>
      </c>
      <c r="D91" s="1062" t="s">
        <v>1288</v>
      </c>
    </row>
    <row r="92" spans="2:4" ht="27" x14ac:dyDescent="0.35">
      <c r="B92" s="1616" t="s">
        <v>865</v>
      </c>
      <c r="C92" s="1975" t="s">
        <v>535</v>
      </c>
      <c r="D92" s="1062" t="s">
        <v>1289</v>
      </c>
    </row>
    <row r="93" spans="2:4" ht="27" x14ac:dyDescent="0.35">
      <c r="B93" s="1616" t="s">
        <v>866</v>
      </c>
      <c r="C93" s="1987" t="s">
        <v>542</v>
      </c>
      <c r="D93" s="1062" t="s">
        <v>1290</v>
      </c>
    </row>
    <row r="94" spans="2:4" ht="115" customHeight="1" x14ac:dyDescent="0.35">
      <c r="B94" s="1891" t="s">
        <v>543</v>
      </c>
      <c r="C94" s="1978" t="s">
        <v>544</v>
      </c>
      <c r="D94" s="1062" t="s">
        <v>1291</v>
      </c>
    </row>
    <row r="95" spans="2:4" ht="74.5" customHeight="1" x14ac:dyDescent="0.35">
      <c r="B95" s="1892"/>
      <c r="C95" s="1979"/>
      <c r="D95" s="1062" t="e" vm="6">
        <v>#VALUE!</v>
      </c>
    </row>
    <row r="96" spans="2:4" ht="40.5" x14ac:dyDescent="0.35">
      <c r="B96" s="1064" t="s">
        <v>1292</v>
      </c>
      <c r="C96" s="1987" t="s">
        <v>719</v>
      </c>
      <c r="D96" s="1062" t="s">
        <v>1293</v>
      </c>
    </row>
    <row r="97" spans="2:4" ht="94.5" x14ac:dyDescent="0.35">
      <c r="B97" s="1066" t="s">
        <v>1294</v>
      </c>
      <c r="C97" s="1972" t="s">
        <v>719</v>
      </c>
      <c r="D97" s="1062" t="s">
        <v>1295</v>
      </c>
    </row>
    <row r="98" spans="2:4" ht="67.5" x14ac:dyDescent="0.35">
      <c r="B98" s="1066" t="s">
        <v>1296</v>
      </c>
      <c r="C98" s="1972" t="s">
        <v>719</v>
      </c>
      <c r="D98" s="1062" t="s">
        <v>1297</v>
      </c>
    </row>
    <row r="99" spans="2:4" ht="67.5" x14ac:dyDescent="0.35">
      <c r="B99" s="1066" t="s">
        <v>903</v>
      </c>
      <c r="C99" s="1972" t="s">
        <v>719</v>
      </c>
      <c r="D99" s="1062" t="s">
        <v>1298</v>
      </c>
    </row>
    <row r="100" spans="2:4" ht="18" customHeight="1" x14ac:dyDescent="0.35">
      <c r="B100" s="1064" t="s">
        <v>905</v>
      </c>
      <c r="C100" s="1987" t="s">
        <v>719</v>
      </c>
      <c r="D100" s="1062" t="s">
        <v>1299</v>
      </c>
    </row>
    <row r="101" spans="2:4" x14ac:dyDescent="0.35">
      <c r="B101" s="1064" t="s">
        <v>929</v>
      </c>
      <c r="C101" s="1987" t="s">
        <v>719</v>
      </c>
      <c r="D101" s="1062" t="s">
        <v>1300</v>
      </c>
    </row>
    <row r="102" spans="2:4" ht="67.5" x14ac:dyDescent="0.35">
      <c r="B102" s="1064" t="s">
        <v>545</v>
      </c>
      <c r="C102" s="1987" t="s">
        <v>494</v>
      </c>
      <c r="D102" s="1062" t="s">
        <v>1301</v>
      </c>
    </row>
    <row r="103" spans="2:4" x14ac:dyDescent="0.35">
      <c r="B103" s="1064" t="s">
        <v>931</v>
      </c>
      <c r="C103" s="1987" t="s">
        <v>663</v>
      </c>
      <c r="D103" s="1062" t="s">
        <v>1302</v>
      </c>
    </row>
    <row r="104" spans="2:4" ht="54" x14ac:dyDescent="0.35">
      <c r="B104" s="1064" t="s">
        <v>932</v>
      </c>
      <c r="C104" s="1987" t="s">
        <v>663</v>
      </c>
      <c r="D104" s="1062" t="s">
        <v>1303</v>
      </c>
    </row>
    <row r="105" spans="2:4" ht="27" x14ac:dyDescent="0.35">
      <c r="B105" s="1064" t="s">
        <v>933</v>
      </c>
      <c r="C105" s="1987" t="s">
        <v>663</v>
      </c>
      <c r="D105" s="1062" t="s">
        <v>1304</v>
      </c>
    </row>
    <row r="106" spans="2:4" x14ac:dyDescent="0.35">
      <c r="B106" s="1064" t="s">
        <v>1002</v>
      </c>
      <c r="C106" s="1987" t="s">
        <v>663</v>
      </c>
      <c r="D106" s="1062" t="s">
        <v>1305</v>
      </c>
    </row>
    <row r="107" spans="2:4" x14ac:dyDescent="0.35">
      <c r="B107" s="1067" t="s">
        <v>979</v>
      </c>
      <c r="C107" s="1991" t="s">
        <v>663</v>
      </c>
      <c r="D107" s="1062" t="s">
        <v>1306</v>
      </c>
    </row>
    <row r="108" spans="2:4" x14ac:dyDescent="0.35">
      <c r="B108" s="1067" t="s">
        <v>981</v>
      </c>
      <c r="C108" s="1991" t="s">
        <v>663</v>
      </c>
      <c r="D108" s="1062" t="s">
        <v>1307</v>
      </c>
    </row>
    <row r="109" spans="2:4" ht="27" x14ac:dyDescent="0.35">
      <c r="B109" s="1067" t="s">
        <v>984</v>
      </c>
      <c r="C109" s="1991" t="s">
        <v>663</v>
      </c>
      <c r="D109" s="1062" t="s">
        <v>1308</v>
      </c>
    </row>
    <row r="110" spans="2:4" ht="67.5" x14ac:dyDescent="0.35">
      <c r="B110" s="1067" t="s">
        <v>1099</v>
      </c>
      <c r="C110" s="1991" t="s">
        <v>663</v>
      </c>
      <c r="D110" s="1062" t="s">
        <v>1309</v>
      </c>
    </row>
    <row r="111" spans="2:4" ht="27" x14ac:dyDescent="0.35">
      <c r="B111" s="1067" t="s">
        <v>1310</v>
      </c>
      <c r="C111" s="1991" t="s">
        <v>663</v>
      </c>
      <c r="D111" s="1062" t="s">
        <v>1311</v>
      </c>
    </row>
    <row r="112" spans="2:4" x14ac:dyDescent="0.35">
      <c r="B112" s="1064" t="s">
        <v>1312</v>
      </c>
      <c r="C112" s="1987" t="s">
        <v>1570</v>
      </c>
      <c r="D112" s="1062" t="s">
        <v>1313</v>
      </c>
    </row>
    <row r="113" spans="2:4" ht="133.5" customHeight="1" x14ac:dyDescent="0.35">
      <c r="B113" s="1064" t="s">
        <v>1314</v>
      </c>
      <c r="C113" s="1992" t="s">
        <v>1174</v>
      </c>
      <c r="D113" s="1062" t="e" vm="7">
        <v>#VALUE!</v>
      </c>
    </row>
    <row r="114" spans="2:4" ht="166.5" customHeight="1" x14ac:dyDescent="0.35">
      <c r="B114" s="1887" t="s">
        <v>1315</v>
      </c>
      <c r="C114" s="1981" t="s">
        <v>494</v>
      </c>
      <c r="D114" s="1873" t="s">
        <v>1316</v>
      </c>
    </row>
    <row r="115" spans="2:4" ht="402" customHeight="1" x14ac:dyDescent="0.35">
      <c r="B115" s="1888"/>
      <c r="C115" s="1982"/>
      <c r="D115" s="1889"/>
    </row>
    <row r="116" spans="2:4" ht="108" x14ac:dyDescent="0.35">
      <c r="B116" s="1285" t="s">
        <v>1317</v>
      </c>
      <c r="C116" s="1980" t="s">
        <v>494</v>
      </c>
      <c r="D116" s="1286" t="s">
        <v>1318</v>
      </c>
    </row>
    <row r="117" spans="2:4" ht="67.5" x14ac:dyDescent="0.35">
      <c r="B117" s="1617" t="s">
        <v>895</v>
      </c>
      <c r="C117" s="1994" t="s">
        <v>494</v>
      </c>
      <c r="D117" s="1289" t="s">
        <v>1320</v>
      </c>
    </row>
    <row r="118" spans="2:4" x14ac:dyDescent="0.35">
      <c r="B118" s="1618"/>
      <c r="C118" s="1995"/>
      <c r="D118" s="1287"/>
    </row>
  </sheetData>
  <sheetProtection selectLockedCells="1" selectUnlockedCells="1"/>
  <mergeCells count="10">
    <mergeCell ref="B114:B115"/>
    <mergeCell ref="D114:D115"/>
    <mergeCell ref="B94:B95"/>
    <mergeCell ref="B87:B88"/>
    <mergeCell ref="B89:B90"/>
    <mergeCell ref="B3:D3"/>
    <mergeCell ref="C87:C88"/>
    <mergeCell ref="C89:C90"/>
    <mergeCell ref="C94:C95"/>
    <mergeCell ref="C114:C115"/>
  </mergeCells>
  <pageMargins left="0.70866141732283472" right="0.70866141732283472" top="0.74803149606299213" bottom="0.74803149606299213" header="0.31496062992125984" footer="0.31496062992125984"/>
  <pageSetup paperSize="9" scale="35" fitToHeight="3" orientation="portrait"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B229-B1F2-4BB1-82DB-D4595D3174BB}">
  <sheetPr codeName="Sheet10">
    <pageSetUpPr fitToPage="1"/>
  </sheetPr>
  <dimension ref="A2:Y148"/>
  <sheetViews>
    <sheetView workbookViewId="0"/>
  </sheetViews>
  <sheetFormatPr defaultColWidth="8.54296875" defaultRowHeight="13.5" outlineLevelCol="1" x14ac:dyDescent="0.35"/>
  <cols>
    <col min="1" max="1" width="21.453125" style="58" customWidth="1"/>
    <col min="2" max="2" width="89.453125" style="58" customWidth="1"/>
    <col min="3" max="3" width="124.453125" style="90" hidden="1" customWidth="1" outlineLevel="1"/>
    <col min="4" max="4" width="30.453125" style="58" customWidth="1" collapsed="1"/>
    <col min="5" max="5" width="18" style="58" customWidth="1"/>
    <col min="6" max="18" width="18.54296875" style="58" customWidth="1"/>
    <col min="19" max="16384" width="8.54296875" style="58"/>
  </cols>
  <sheetData>
    <row r="2" spans="1:24" ht="35.15" customHeight="1" x14ac:dyDescent="0.35">
      <c r="A2" s="353"/>
      <c r="B2" s="1894" t="s">
        <v>35</v>
      </c>
      <c r="C2" s="1894"/>
      <c r="D2" s="1894"/>
      <c r="E2" s="1894"/>
      <c r="F2" s="1894"/>
      <c r="G2" s="1894"/>
      <c r="H2" s="1894"/>
      <c r="I2" s="1894"/>
      <c r="J2" s="1894"/>
      <c r="K2" s="1894"/>
      <c r="L2" s="1894"/>
      <c r="M2" s="1894"/>
      <c r="N2" s="1894"/>
      <c r="O2" s="4"/>
      <c r="P2" s="98"/>
      <c r="Q2" s="98"/>
      <c r="R2" s="98"/>
      <c r="S2" s="98"/>
      <c r="T2" s="98"/>
      <c r="U2" s="99"/>
      <c r="V2" s="99"/>
      <c r="W2" s="99"/>
      <c r="X2" s="99"/>
    </row>
    <row r="3" spans="1:24" ht="19.5" x14ac:dyDescent="0.35">
      <c r="B3" s="100"/>
      <c r="C3" s="101"/>
      <c r="D3" s="100"/>
      <c r="E3" s="100"/>
      <c r="F3" s="100"/>
      <c r="G3" s="102"/>
      <c r="H3" s="102"/>
      <c r="I3" s="102"/>
      <c r="J3" s="102"/>
      <c r="K3" s="102"/>
      <c r="L3" s="102"/>
      <c r="M3" s="102"/>
      <c r="N3" s="102"/>
      <c r="O3" s="102"/>
      <c r="P3" s="102"/>
      <c r="Q3" s="102"/>
      <c r="R3" s="102"/>
      <c r="S3" s="102"/>
      <c r="T3" s="102"/>
      <c r="U3" s="99"/>
      <c r="V3" s="99"/>
      <c r="W3" s="99"/>
      <c r="X3" s="99"/>
    </row>
    <row r="4" spans="1:24" ht="73.5" customHeight="1" x14ac:dyDescent="0.35">
      <c r="B4" s="1895" t="s">
        <v>1321</v>
      </c>
      <c r="C4" s="1896"/>
      <c r="D4" s="1896"/>
      <c r="E4" s="1896"/>
      <c r="F4" s="1896"/>
      <c r="G4" s="1896"/>
      <c r="H4" s="1896"/>
      <c r="I4" s="1896"/>
      <c r="J4" s="1896"/>
      <c r="K4" s="1896"/>
      <c r="L4" s="1896"/>
      <c r="M4" s="99"/>
      <c r="N4" s="352"/>
      <c r="O4" s="99"/>
      <c r="P4" s="99"/>
      <c r="Q4" s="99"/>
      <c r="R4" s="99"/>
      <c r="S4" s="99"/>
      <c r="T4" s="99"/>
      <c r="U4" s="99"/>
      <c r="V4" s="99"/>
      <c r="W4" s="99"/>
      <c r="X4" s="99"/>
    </row>
    <row r="5" spans="1:24" x14ac:dyDescent="0.35">
      <c r="B5" s="17"/>
      <c r="C5" s="96"/>
      <c r="D5" s="17"/>
      <c r="E5" s="17"/>
      <c r="F5" s="17"/>
      <c r="G5" s="18"/>
      <c r="H5" s="18"/>
      <c r="I5" s="18"/>
      <c r="J5" s="99"/>
      <c r="K5" s="99"/>
      <c r="L5" s="99"/>
      <c r="M5" s="99"/>
      <c r="N5" s="99"/>
      <c r="O5" s="99"/>
      <c r="P5" s="103"/>
      <c r="Q5" s="99"/>
      <c r="R5" s="99"/>
      <c r="S5" s="99"/>
      <c r="T5" s="99"/>
      <c r="U5" s="99"/>
      <c r="V5" s="99"/>
      <c r="W5" s="99"/>
      <c r="X5" s="99"/>
    </row>
    <row r="6" spans="1:24" ht="24.5" x14ac:dyDescent="0.35">
      <c r="B6" s="104" t="s">
        <v>579</v>
      </c>
      <c r="C6" s="105"/>
      <c r="D6" s="106"/>
      <c r="E6" s="106"/>
      <c r="F6" s="106"/>
      <c r="G6" s="1821"/>
      <c r="H6" s="1821"/>
      <c r="I6" s="1821"/>
      <c r="J6" s="107"/>
      <c r="K6" s="107"/>
      <c r="L6" s="107"/>
      <c r="M6" s="107"/>
      <c r="N6" s="107"/>
      <c r="O6" s="107"/>
      <c r="P6" s="107"/>
      <c r="Q6" s="107"/>
      <c r="R6" s="99"/>
      <c r="S6" s="99"/>
      <c r="T6" s="99"/>
      <c r="U6" s="99"/>
      <c r="V6" s="99"/>
      <c r="W6" s="99"/>
      <c r="X6" s="99"/>
    </row>
    <row r="7" spans="1:24" x14ac:dyDescent="0.35">
      <c r="C7" s="108"/>
      <c r="D7" s="109"/>
      <c r="E7" s="109"/>
      <c r="F7" s="109"/>
      <c r="G7" s="110"/>
      <c r="H7" s="110"/>
      <c r="I7" s="110"/>
      <c r="J7" s="110"/>
      <c r="K7" s="110"/>
      <c r="L7" s="110"/>
      <c r="M7" s="111"/>
      <c r="N7" s="111"/>
      <c r="O7" s="111"/>
      <c r="P7" s="111"/>
      <c r="Q7" s="111"/>
      <c r="R7" s="111"/>
      <c r="S7" s="111"/>
      <c r="T7" s="111"/>
      <c r="U7" s="111"/>
      <c r="V7" s="111"/>
      <c r="W7" s="111"/>
      <c r="X7" s="111"/>
    </row>
    <row r="8" spans="1:24" ht="36" x14ac:dyDescent="0.35">
      <c r="B8" s="1826" t="s">
        <v>457</v>
      </c>
      <c r="C8" s="1827" t="s">
        <v>722</v>
      </c>
      <c r="D8" s="1828" t="s">
        <v>458</v>
      </c>
      <c r="E8" s="1820" t="s">
        <v>462</v>
      </c>
      <c r="F8" s="1820"/>
      <c r="G8" s="1820"/>
      <c r="H8" s="1823" t="s">
        <v>463</v>
      </c>
      <c r="I8" s="1823"/>
      <c r="J8" s="1823"/>
      <c r="K8" s="1823" t="s">
        <v>464</v>
      </c>
      <c r="L8" s="1823"/>
      <c r="M8" s="1823"/>
      <c r="N8" s="224" t="s">
        <v>465</v>
      </c>
      <c r="O8" s="277" t="s">
        <v>580</v>
      </c>
      <c r="P8" s="277" t="s">
        <v>581</v>
      </c>
      <c r="Q8" s="277" t="s">
        <v>878</v>
      </c>
      <c r="R8" s="99"/>
      <c r="S8" s="99"/>
      <c r="T8" s="99"/>
      <c r="U8" s="99"/>
      <c r="V8" s="99"/>
      <c r="W8" s="99"/>
      <c r="X8" s="99"/>
    </row>
    <row r="9" spans="1:24" ht="27" x14ac:dyDescent="0.35">
      <c r="B9" s="1826"/>
      <c r="C9" s="1827"/>
      <c r="D9" s="1829"/>
      <c r="E9" s="223" t="s">
        <v>467</v>
      </c>
      <c r="F9" s="223" t="s">
        <v>723</v>
      </c>
      <c r="G9" s="223" t="s">
        <v>724</v>
      </c>
      <c r="H9" s="224" t="s">
        <v>467</v>
      </c>
      <c r="I9" s="224" t="s">
        <v>723</v>
      </c>
      <c r="J9" s="225" t="s">
        <v>724</v>
      </c>
      <c r="K9" s="224" t="s">
        <v>467</v>
      </c>
      <c r="L9" s="224" t="s">
        <v>723</v>
      </c>
      <c r="M9" s="225" t="s">
        <v>724</v>
      </c>
      <c r="N9" s="224" t="s">
        <v>467</v>
      </c>
      <c r="O9" s="278" t="s">
        <v>467</v>
      </c>
      <c r="P9" s="278" t="s">
        <v>467</v>
      </c>
      <c r="Q9" s="278" t="s">
        <v>467</v>
      </c>
      <c r="R9" s="99"/>
      <c r="S9" s="99"/>
      <c r="T9" s="99"/>
      <c r="U9" s="99"/>
      <c r="V9" s="99"/>
      <c r="W9" s="99"/>
      <c r="X9" s="99"/>
    </row>
    <row r="10" spans="1:24" ht="17.899999999999999" customHeight="1" x14ac:dyDescent="0.35">
      <c r="B10" s="194" t="s">
        <v>395</v>
      </c>
      <c r="C10" s="147" t="s">
        <v>725</v>
      </c>
      <c r="D10" s="147" t="s">
        <v>726</v>
      </c>
      <c r="E10" s="235">
        <v>233300</v>
      </c>
      <c r="F10" s="235">
        <v>100461</v>
      </c>
      <c r="G10" s="235">
        <f>E10-F10</f>
        <v>132839</v>
      </c>
      <c r="H10" s="148">
        <v>239862</v>
      </c>
      <c r="I10" s="148">
        <v>103534</v>
      </c>
      <c r="J10" s="148">
        <f>H10-I10</f>
        <v>136328</v>
      </c>
      <c r="K10" s="148">
        <v>240473</v>
      </c>
      <c r="L10" s="148">
        <v>112915</v>
      </c>
      <c r="M10" s="148">
        <f>K10-L10</f>
        <v>127558</v>
      </c>
      <c r="N10" s="148">
        <v>238069</v>
      </c>
      <c r="O10" s="273">
        <f t="shared" ref="O10:O14" si="0">(E10-H10)/H10</f>
        <v>-2.7357397170039439E-2</v>
      </c>
      <c r="P10" s="273">
        <f>(E10-N10)/N10</f>
        <v>-2.0032007527229501E-2</v>
      </c>
      <c r="Q10" s="275"/>
      <c r="R10" s="99"/>
      <c r="S10" s="99"/>
      <c r="T10" s="99"/>
      <c r="U10" s="99"/>
      <c r="V10" s="99"/>
      <c r="W10" s="99"/>
      <c r="X10" s="99"/>
    </row>
    <row r="11" spans="1:24" ht="17.899999999999999" customHeight="1" x14ac:dyDescent="0.35">
      <c r="B11" s="194" t="s">
        <v>397</v>
      </c>
      <c r="C11" s="147" t="s">
        <v>727</v>
      </c>
      <c r="D11" s="147" t="s">
        <v>726</v>
      </c>
      <c r="E11" s="235">
        <v>130386</v>
      </c>
      <c r="F11" s="235">
        <v>1024</v>
      </c>
      <c r="G11" s="235">
        <f>E11-F11</f>
        <v>129362</v>
      </c>
      <c r="H11" s="148">
        <v>170248</v>
      </c>
      <c r="I11" s="148">
        <v>1265</v>
      </c>
      <c r="J11" s="148">
        <f>H11-I11</f>
        <v>168983</v>
      </c>
      <c r="K11" s="148">
        <v>169111</v>
      </c>
      <c r="L11" s="148">
        <v>3969</v>
      </c>
      <c r="M11" s="148">
        <f>K11-L11</f>
        <v>165142</v>
      </c>
      <c r="N11" s="148">
        <v>179749</v>
      </c>
      <c r="O11" s="273">
        <f t="shared" si="0"/>
        <v>-0.2341407828579484</v>
      </c>
      <c r="P11" s="273">
        <f t="shared" ref="P11" si="1">(E11-N11)/N11</f>
        <v>-0.27462183377932564</v>
      </c>
      <c r="Q11" s="275"/>
      <c r="R11" s="99"/>
      <c r="S11" s="99"/>
      <c r="T11" s="99"/>
      <c r="U11" s="99"/>
      <c r="V11" s="99"/>
      <c r="W11" s="99"/>
      <c r="X11" s="99"/>
    </row>
    <row r="12" spans="1:24" ht="17.899999999999999" customHeight="1" x14ac:dyDescent="0.35">
      <c r="B12" s="194" t="s">
        <v>471</v>
      </c>
      <c r="C12" s="147" t="s">
        <v>728</v>
      </c>
      <c r="D12" s="147" t="s">
        <v>726</v>
      </c>
      <c r="E12" s="235">
        <v>204848</v>
      </c>
      <c r="F12" s="235">
        <v>21696</v>
      </c>
      <c r="G12" s="235">
        <f>E12-F12</f>
        <v>183152</v>
      </c>
      <c r="H12" s="148">
        <v>225712</v>
      </c>
      <c r="I12" s="148">
        <v>24942</v>
      </c>
      <c r="J12" s="148">
        <f>H12-I12</f>
        <v>200770</v>
      </c>
      <c r="K12" s="148">
        <v>209158</v>
      </c>
      <c r="L12" s="148">
        <v>29743</v>
      </c>
      <c r="M12" s="148">
        <f>K12-L12</f>
        <v>179415</v>
      </c>
      <c r="N12" s="148">
        <v>231360</v>
      </c>
      <c r="O12" s="273">
        <f t="shared" si="0"/>
        <v>-9.2436379102573185E-2</v>
      </c>
      <c r="P12" s="273">
        <f>(E12-N12)/N12</f>
        <v>-0.11459197786998616</v>
      </c>
      <c r="Q12" s="275"/>
      <c r="R12" s="99"/>
      <c r="S12" s="99"/>
      <c r="T12" s="99"/>
      <c r="U12" s="99"/>
      <c r="V12" s="99"/>
      <c r="W12" s="99"/>
      <c r="X12" s="99"/>
    </row>
    <row r="13" spans="1:24" ht="17.899999999999999" customHeight="1" x14ac:dyDescent="0.35">
      <c r="B13" s="172" t="s">
        <v>472</v>
      </c>
      <c r="C13" s="150" t="s">
        <v>1322</v>
      </c>
      <c r="D13" s="150" t="s">
        <v>730</v>
      </c>
      <c r="E13" s="235">
        <v>363686</v>
      </c>
      <c r="F13" s="235">
        <v>101485</v>
      </c>
      <c r="G13" s="235">
        <f>E13-F13</f>
        <v>262201</v>
      </c>
      <c r="H13" s="232">
        <v>410110</v>
      </c>
      <c r="I13" s="232">
        <f>I10+I11</f>
        <v>104799</v>
      </c>
      <c r="J13" s="232">
        <f>H13-I13</f>
        <v>305311</v>
      </c>
      <c r="K13" s="232">
        <v>409584</v>
      </c>
      <c r="L13" s="232">
        <v>116884</v>
      </c>
      <c r="M13" s="232">
        <f>K13-L13</f>
        <v>292700</v>
      </c>
      <c r="N13" s="232">
        <v>417818</v>
      </c>
      <c r="O13" s="376">
        <f>(E13-H13)/H13</f>
        <v>-0.1131988978566726</v>
      </c>
      <c r="P13" s="376">
        <f>(E13-N13)/N13</f>
        <v>-0.12955880311523199</v>
      </c>
      <c r="Q13" s="376">
        <f>(E13-N13)/(N13*(1-0.42)-N13)</f>
        <v>0.30847334075055244</v>
      </c>
      <c r="R13" s="99"/>
      <c r="S13" s="99"/>
      <c r="T13" s="99"/>
      <c r="U13" s="99"/>
      <c r="V13" s="99"/>
      <c r="W13" s="99"/>
      <c r="X13" s="99"/>
    </row>
    <row r="14" spans="1:24" ht="17.899999999999999" customHeight="1" x14ac:dyDescent="0.35">
      <c r="B14" s="194" t="s">
        <v>474</v>
      </c>
      <c r="C14" s="147" t="s">
        <v>1323</v>
      </c>
      <c r="D14" s="147" t="s">
        <v>726</v>
      </c>
      <c r="E14" s="235">
        <v>438148</v>
      </c>
      <c r="F14" s="235">
        <v>122157</v>
      </c>
      <c r="G14" s="235">
        <f>E14-F14</f>
        <v>315991</v>
      </c>
      <c r="H14" s="148">
        <v>465574</v>
      </c>
      <c r="I14" s="148">
        <v>128475</v>
      </c>
      <c r="J14" s="148">
        <f>H14-I14</f>
        <v>337099</v>
      </c>
      <c r="K14" s="148">
        <v>449631</v>
      </c>
      <c r="L14" s="148">
        <v>142659</v>
      </c>
      <c r="M14" s="148">
        <f>K14-L14</f>
        <v>306972</v>
      </c>
      <c r="N14" s="148">
        <v>469429</v>
      </c>
      <c r="O14" s="273">
        <f t="shared" si="0"/>
        <v>-5.8907928707359086E-2</v>
      </c>
      <c r="P14" s="273">
        <f>(E14-N14)/N14</f>
        <v>-6.6636275134258849E-2</v>
      </c>
      <c r="Q14" s="275"/>
      <c r="R14" s="99"/>
      <c r="S14" s="99"/>
      <c r="T14" s="99"/>
      <c r="U14" s="99"/>
      <c r="V14" s="99"/>
      <c r="W14" s="99"/>
      <c r="X14" s="99"/>
    </row>
    <row r="15" spans="1:24" ht="27" x14ac:dyDescent="0.35">
      <c r="B15" s="172" t="s">
        <v>475</v>
      </c>
      <c r="C15" s="150" t="s">
        <v>732</v>
      </c>
      <c r="D15" s="150" t="s">
        <v>1324</v>
      </c>
      <c r="E15" s="236">
        <v>3.4</v>
      </c>
      <c r="F15" s="236">
        <v>22.3</v>
      </c>
      <c r="G15" s="236">
        <v>2.5</v>
      </c>
      <c r="H15" s="233">
        <v>3.7</v>
      </c>
      <c r="I15" s="233">
        <v>19.899999999999999</v>
      </c>
      <c r="J15" s="234">
        <v>2.9</v>
      </c>
      <c r="K15" s="233">
        <v>3.9</v>
      </c>
      <c r="L15" s="233">
        <v>11.9</v>
      </c>
      <c r="M15" s="233">
        <v>3</v>
      </c>
      <c r="N15" s="233">
        <v>3.7</v>
      </c>
      <c r="O15" s="376">
        <f>(E15-H15)/H15</f>
        <v>-8.1081081081081155E-2</v>
      </c>
      <c r="P15" s="376">
        <f>(E15-N15)/N15</f>
        <v>-8.1081081081081155E-2</v>
      </c>
      <c r="Q15" s="279"/>
      <c r="R15" s="99"/>
      <c r="S15" s="99"/>
      <c r="T15" s="99"/>
      <c r="U15" s="99"/>
      <c r="V15" s="99"/>
      <c r="W15" s="99"/>
      <c r="X15" s="99"/>
    </row>
    <row r="16" spans="1:24" x14ac:dyDescent="0.35">
      <c r="B16" s="112"/>
      <c r="C16" s="113"/>
      <c r="D16" s="114"/>
      <c r="E16" s="477"/>
      <c r="F16" s="477"/>
      <c r="G16" s="477"/>
      <c r="H16" s="115"/>
      <c r="I16" s="115"/>
      <c r="J16" s="115"/>
      <c r="K16" s="115"/>
      <c r="L16" s="115"/>
      <c r="M16" s="34"/>
      <c r="N16" s="99"/>
      <c r="O16" s="99"/>
      <c r="P16" s="99"/>
      <c r="Q16" s="99"/>
      <c r="R16" s="99"/>
      <c r="S16" s="99"/>
      <c r="T16" s="99"/>
      <c r="U16" s="99"/>
      <c r="V16" s="99"/>
      <c r="W16" s="99"/>
      <c r="X16" s="99"/>
    </row>
    <row r="17" spans="2:24" ht="36" x14ac:dyDescent="0.35">
      <c r="B17" s="226" t="s">
        <v>584</v>
      </c>
      <c r="C17" s="151" t="s">
        <v>722</v>
      </c>
      <c r="D17" s="227" t="s">
        <v>458</v>
      </c>
      <c r="E17" s="228" t="s">
        <v>462</v>
      </c>
      <c r="F17" s="229" t="s">
        <v>463</v>
      </c>
      <c r="G17" s="229" t="s">
        <v>464</v>
      </c>
      <c r="H17" s="229" t="s">
        <v>465</v>
      </c>
      <c r="I17" s="276" t="str">
        <f>O8</f>
        <v>Performance against prior year</v>
      </c>
      <c r="J17" s="276" t="str">
        <f>P8</f>
        <v>Performance against 2019/20 baseline</v>
      </c>
      <c r="K17" s="276" t="str">
        <f>Q8</f>
        <v>Progress towards 2030 target</v>
      </c>
      <c r="M17" s="34"/>
      <c r="N17" s="99"/>
      <c r="O17" s="99"/>
      <c r="P17" s="99"/>
      <c r="Q17" s="99"/>
      <c r="R17" s="99"/>
      <c r="S17" s="99"/>
      <c r="T17" s="99"/>
      <c r="U17" s="99"/>
      <c r="V17" s="99"/>
      <c r="W17" s="99"/>
      <c r="X17" s="99"/>
    </row>
    <row r="18" spans="2:24" ht="15" customHeight="1" x14ac:dyDescent="0.35">
      <c r="B18" s="152" t="s">
        <v>585</v>
      </c>
      <c r="C18" s="152" t="s">
        <v>735</v>
      </c>
      <c r="D18" s="153" t="s">
        <v>736</v>
      </c>
      <c r="E18" s="237">
        <v>2495475</v>
      </c>
      <c r="F18" s="154">
        <v>2978197</v>
      </c>
      <c r="G18" s="154">
        <v>2812518</v>
      </c>
      <c r="H18" s="154">
        <v>3433660</v>
      </c>
      <c r="I18" s="273">
        <f>(E18-F18)/F18</f>
        <v>-0.16208531537705531</v>
      </c>
      <c r="J18" s="273">
        <f>(E18-H18)/H18</f>
        <v>-0.27323177018108957</v>
      </c>
      <c r="K18" s="273">
        <f>(E18-H18)/((1-0.42)*H18-H18)</f>
        <v>0.6505518337644991</v>
      </c>
      <c r="M18" s="34"/>
      <c r="N18" s="99"/>
      <c r="O18" s="99"/>
      <c r="P18" s="99"/>
      <c r="Q18" s="99"/>
      <c r="R18" s="99"/>
      <c r="S18" s="99"/>
      <c r="T18" s="99"/>
      <c r="U18" s="99"/>
      <c r="V18" s="99"/>
      <c r="W18" s="99"/>
      <c r="X18" s="99"/>
    </row>
    <row r="19" spans="2:24" ht="15" customHeight="1" x14ac:dyDescent="0.35">
      <c r="B19" s="152" t="s">
        <v>587</v>
      </c>
      <c r="C19" s="152" t="s">
        <v>737</v>
      </c>
      <c r="D19" s="153" t="s">
        <v>736</v>
      </c>
      <c r="E19" s="237">
        <v>177329</v>
      </c>
      <c r="F19" s="154">
        <v>163641</v>
      </c>
      <c r="G19" s="154">
        <v>242456</v>
      </c>
      <c r="H19" s="154">
        <v>367141</v>
      </c>
      <c r="I19" s="273">
        <f t="shared" ref="I19:I25" si="2">(E19-F19)/F19</f>
        <v>8.3646518904186604E-2</v>
      </c>
      <c r="J19" s="273">
        <f t="shared" ref="J19:J25" si="3">(E19-H19)/H19</f>
        <v>-0.5170002805461662</v>
      </c>
      <c r="K19" s="383"/>
      <c r="M19" s="34"/>
      <c r="N19" s="99"/>
      <c r="O19" s="99"/>
      <c r="P19" s="99"/>
      <c r="Q19" s="99"/>
      <c r="R19" s="99"/>
      <c r="S19" s="99"/>
      <c r="T19" s="99"/>
      <c r="U19" s="99"/>
      <c r="V19" s="99"/>
      <c r="W19" s="99"/>
      <c r="X19" s="99"/>
    </row>
    <row r="20" spans="2:24" ht="15" customHeight="1" x14ac:dyDescent="0.35">
      <c r="B20" s="152" t="s">
        <v>588</v>
      </c>
      <c r="C20" s="152" t="s">
        <v>738</v>
      </c>
      <c r="D20" s="153" t="s">
        <v>736</v>
      </c>
      <c r="E20" s="237">
        <v>41018</v>
      </c>
      <c r="F20" s="154">
        <v>43505</v>
      </c>
      <c r="G20" s="154">
        <v>36695</v>
      </c>
      <c r="H20" s="154">
        <v>38199</v>
      </c>
      <c r="I20" s="273">
        <f t="shared" si="2"/>
        <v>-5.7165843006550969E-2</v>
      </c>
      <c r="J20" s="273">
        <f t="shared" si="3"/>
        <v>7.379774339642399E-2</v>
      </c>
      <c r="K20" s="383"/>
      <c r="M20" s="34"/>
      <c r="N20" s="99"/>
      <c r="O20" s="334"/>
      <c r="P20" s="99"/>
      <c r="Q20" s="99"/>
      <c r="R20" s="99"/>
      <c r="S20" s="99"/>
      <c r="T20" s="99"/>
      <c r="U20" s="99"/>
      <c r="V20" s="99"/>
      <c r="W20" s="99"/>
      <c r="X20" s="99"/>
    </row>
    <row r="21" spans="2:24" ht="15" customHeight="1" x14ac:dyDescent="0.35">
      <c r="B21" s="152" t="s">
        <v>589</v>
      </c>
      <c r="C21" s="152" t="s">
        <v>739</v>
      </c>
      <c r="D21" s="153" t="s">
        <v>736</v>
      </c>
      <c r="E21" s="237">
        <v>81999</v>
      </c>
      <c r="F21" s="154">
        <v>158625</v>
      </c>
      <c r="G21" s="154">
        <v>94348</v>
      </c>
      <c r="H21" s="154">
        <v>97424</v>
      </c>
      <c r="I21" s="273">
        <f t="shared" si="2"/>
        <v>-0.48306382978723406</v>
      </c>
      <c r="J21" s="273">
        <f t="shared" si="3"/>
        <v>-0.15832854327475776</v>
      </c>
      <c r="K21" s="383"/>
      <c r="M21" s="34"/>
      <c r="N21" s="99"/>
      <c r="O21" s="99"/>
      <c r="P21" s="99"/>
      <c r="Q21" s="99"/>
      <c r="R21" s="99"/>
      <c r="S21" s="99"/>
      <c r="T21" s="99"/>
      <c r="U21" s="99"/>
      <c r="V21" s="99"/>
      <c r="W21" s="99"/>
      <c r="X21" s="99"/>
    </row>
    <row r="22" spans="2:24" ht="15" customHeight="1" x14ac:dyDescent="0.35">
      <c r="B22" s="152" t="s">
        <v>590</v>
      </c>
      <c r="C22" s="152" t="s">
        <v>740</v>
      </c>
      <c r="D22" s="153" t="s">
        <v>736</v>
      </c>
      <c r="E22" s="237">
        <v>4004</v>
      </c>
      <c r="F22" s="154">
        <v>5220</v>
      </c>
      <c r="G22" s="154">
        <v>4549</v>
      </c>
      <c r="H22" s="154">
        <v>3439</v>
      </c>
      <c r="I22" s="273">
        <f t="shared" si="2"/>
        <v>-0.23295019157088123</v>
      </c>
      <c r="J22" s="273">
        <f t="shared" si="3"/>
        <v>0.16429194533294561</v>
      </c>
      <c r="K22" s="383"/>
      <c r="M22" s="34"/>
      <c r="N22" s="99"/>
      <c r="O22" s="99"/>
      <c r="P22" s="99"/>
      <c r="Q22" s="99"/>
      <c r="R22" s="99"/>
      <c r="S22" s="99"/>
      <c r="T22" s="99"/>
      <c r="U22" s="99"/>
      <c r="V22" s="99"/>
      <c r="W22" s="99"/>
      <c r="X22" s="99"/>
    </row>
    <row r="23" spans="2:24" ht="15" customHeight="1" x14ac:dyDescent="0.35">
      <c r="B23" s="152" t="s">
        <v>591</v>
      </c>
      <c r="C23" s="152" t="s">
        <v>741</v>
      </c>
      <c r="D23" s="153" t="s">
        <v>736</v>
      </c>
      <c r="E23" s="237">
        <v>5077.3333333333303</v>
      </c>
      <c r="F23" s="154">
        <v>1336</v>
      </c>
      <c r="G23" s="154">
        <v>67</v>
      </c>
      <c r="H23" s="154">
        <v>9202</v>
      </c>
      <c r="I23" s="273">
        <f t="shared" si="2"/>
        <v>2.8003992015968042</v>
      </c>
      <c r="J23" s="273">
        <f t="shared" si="3"/>
        <v>-0.44823589074838838</v>
      </c>
      <c r="K23" s="383"/>
      <c r="M23" s="34"/>
      <c r="N23" s="99"/>
      <c r="O23" s="99"/>
      <c r="P23" s="99"/>
      <c r="Q23" s="99"/>
      <c r="R23" s="99"/>
      <c r="S23" s="99"/>
      <c r="T23" s="99"/>
      <c r="U23" s="99"/>
      <c r="V23" s="99"/>
      <c r="W23" s="99"/>
      <c r="X23" s="99"/>
    </row>
    <row r="24" spans="2:24" ht="15" customHeight="1" x14ac:dyDescent="0.35">
      <c r="B24" s="152" t="s">
        <v>592</v>
      </c>
      <c r="C24" s="152" t="s">
        <v>742</v>
      </c>
      <c r="D24" s="153" t="s">
        <v>736</v>
      </c>
      <c r="E24" s="237">
        <v>13627</v>
      </c>
      <c r="F24" s="154">
        <v>13517.48</v>
      </c>
      <c r="G24" s="154">
        <v>25763.02</v>
      </c>
      <c r="H24" s="154">
        <v>25763.02</v>
      </c>
      <c r="I24" s="273">
        <f t="shared" si="2"/>
        <v>8.1021018710588401E-3</v>
      </c>
      <c r="J24" s="273">
        <f t="shared" si="3"/>
        <v>-0.47106356320027698</v>
      </c>
      <c r="K24" s="383"/>
      <c r="M24" s="34"/>
      <c r="N24" s="99"/>
      <c r="O24" s="99"/>
      <c r="P24" s="99"/>
      <c r="Q24" s="99"/>
      <c r="R24" s="99"/>
      <c r="S24" s="99"/>
      <c r="T24" s="99"/>
      <c r="U24" s="99"/>
      <c r="V24" s="99"/>
      <c r="W24" s="99"/>
      <c r="X24" s="99"/>
    </row>
    <row r="25" spans="2:24" ht="15" customHeight="1" x14ac:dyDescent="0.35">
      <c r="B25" s="152" t="s">
        <v>593</v>
      </c>
      <c r="C25" s="152" t="s">
        <v>743</v>
      </c>
      <c r="D25" s="153" t="s">
        <v>736</v>
      </c>
      <c r="E25" s="237">
        <v>523</v>
      </c>
      <c r="F25" s="154">
        <v>698</v>
      </c>
      <c r="G25" s="154">
        <v>602</v>
      </c>
      <c r="H25" s="154">
        <v>5094</v>
      </c>
      <c r="I25" s="273">
        <f t="shared" si="2"/>
        <v>-0.25071633237822349</v>
      </c>
      <c r="J25" s="273">
        <f t="shared" si="3"/>
        <v>-0.89733019238319589</v>
      </c>
      <c r="K25" s="383"/>
      <c r="M25" s="34"/>
      <c r="N25" s="99"/>
      <c r="O25" s="99"/>
      <c r="P25" s="99"/>
      <c r="Q25" s="99"/>
      <c r="R25" s="99"/>
      <c r="S25" s="99"/>
      <c r="T25" s="99"/>
      <c r="U25" s="99"/>
      <c r="V25" s="99"/>
      <c r="W25" s="99"/>
      <c r="X25" s="99"/>
    </row>
    <row r="26" spans="2:24" ht="15" customHeight="1" x14ac:dyDescent="0.35">
      <c r="B26" s="152" t="s">
        <v>594</v>
      </c>
      <c r="C26" s="152" t="s">
        <v>744</v>
      </c>
      <c r="D26" s="153" t="s">
        <v>736</v>
      </c>
      <c r="E26" s="237">
        <v>0</v>
      </c>
      <c r="F26" s="154">
        <v>0</v>
      </c>
      <c r="G26" s="154">
        <v>0</v>
      </c>
      <c r="H26" s="154">
        <v>0</v>
      </c>
      <c r="I26" s="273"/>
      <c r="J26" s="273"/>
      <c r="K26" s="383"/>
      <c r="M26" s="34"/>
      <c r="N26" s="99"/>
      <c r="O26" s="99"/>
      <c r="P26" s="99"/>
      <c r="Q26" s="99"/>
      <c r="R26" s="99"/>
      <c r="S26" s="99"/>
      <c r="T26" s="99"/>
      <c r="U26" s="99"/>
      <c r="V26" s="99"/>
      <c r="W26" s="99"/>
      <c r="X26" s="99"/>
    </row>
    <row r="27" spans="2:24" ht="15" customHeight="1" x14ac:dyDescent="0.35">
      <c r="B27" s="152" t="s">
        <v>595</v>
      </c>
      <c r="C27" s="152" t="s">
        <v>745</v>
      </c>
      <c r="D27" s="153" t="s">
        <v>736</v>
      </c>
      <c r="E27" s="237">
        <v>0</v>
      </c>
      <c r="F27" s="154">
        <v>0</v>
      </c>
      <c r="G27" s="154">
        <v>0</v>
      </c>
      <c r="H27" s="154">
        <v>0</v>
      </c>
      <c r="I27" s="273"/>
      <c r="J27" s="273"/>
      <c r="K27" s="383"/>
      <c r="M27" s="34"/>
      <c r="N27" s="99"/>
      <c r="O27" s="99"/>
      <c r="P27" s="99"/>
      <c r="Q27" s="99"/>
      <c r="R27" s="99"/>
      <c r="S27" s="99"/>
      <c r="T27" s="99"/>
      <c r="U27" s="99"/>
      <c r="V27" s="99"/>
      <c r="W27" s="99"/>
      <c r="X27" s="99"/>
    </row>
    <row r="28" spans="2:24" ht="15" customHeight="1" x14ac:dyDescent="0.35">
      <c r="B28" s="152" t="s">
        <v>596</v>
      </c>
      <c r="C28" s="152" t="s">
        <v>746</v>
      </c>
      <c r="D28" s="153" t="s">
        <v>736</v>
      </c>
      <c r="E28" s="237">
        <v>0</v>
      </c>
      <c r="F28" s="154">
        <v>0</v>
      </c>
      <c r="G28" s="154">
        <v>0</v>
      </c>
      <c r="H28" s="154">
        <v>0</v>
      </c>
      <c r="I28" s="273"/>
      <c r="J28" s="273"/>
      <c r="K28" s="383"/>
      <c r="M28" s="34"/>
      <c r="N28" s="99"/>
      <c r="O28" s="99"/>
      <c r="P28" s="99"/>
      <c r="Q28" s="99"/>
      <c r="R28" s="99"/>
      <c r="S28" s="99"/>
      <c r="T28" s="99"/>
      <c r="U28" s="99"/>
      <c r="V28" s="99"/>
      <c r="W28" s="99"/>
      <c r="X28" s="99"/>
    </row>
    <row r="29" spans="2:24" ht="15" customHeight="1" x14ac:dyDescent="0.35">
      <c r="B29" s="152" t="s">
        <v>747</v>
      </c>
      <c r="C29" s="152" t="s">
        <v>748</v>
      </c>
      <c r="D29" s="153" t="s">
        <v>736</v>
      </c>
      <c r="E29" s="237">
        <v>0</v>
      </c>
      <c r="F29" s="154">
        <v>0</v>
      </c>
      <c r="G29" s="154">
        <v>0</v>
      </c>
      <c r="H29" s="154">
        <v>0</v>
      </c>
      <c r="I29" s="273"/>
      <c r="J29" s="273"/>
      <c r="K29" s="383"/>
      <c r="M29" s="34"/>
      <c r="N29" s="99"/>
      <c r="O29" s="99"/>
      <c r="P29" s="99"/>
      <c r="Q29" s="99"/>
      <c r="R29" s="99"/>
      <c r="S29" s="99"/>
      <c r="T29" s="99"/>
      <c r="U29" s="99"/>
      <c r="V29" s="99"/>
      <c r="W29" s="99"/>
      <c r="X29" s="99"/>
    </row>
    <row r="30" spans="2:24" ht="15" customHeight="1" x14ac:dyDescent="0.35">
      <c r="B30" s="152" t="s">
        <v>600</v>
      </c>
      <c r="C30" s="152" t="s">
        <v>749</v>
      </c>
      <c r="D30" s="153" t="s">
        <v>736</v>
      </c>
      <c r="E30" s="237">
        <v>0</v>
      </c>
      <c r="F30" s="154">
        <v>0</v>
      </c>
      <c r="G30" s="154">
        <v>0</v>
      </c>
      <c r="H30" s="154">
        <v>0</v>
      </c>
      <c r="I30" s="273"/>
      <c r="J30" s="273"/>
      <c r="K30" s="383"/>
      <c r="M30" s="34"/>
      <c r="N30" s="99"/>
      <c r="O30" s="99"/>
      <c r="P30" s="99"/>
      <c r="Q30" s="99"/>
      <c r="R30" s="99"/>
      <c r="S30" s="99"/>
      <c r="T30" s="99"/>
      <c r="U30" s="99"/>
      <c r="V30" s="99"/>
      <c r="W30" s="99"/>
      <c r="X30" s="99"/>
    </row>
    <row r="31" spans="2:24" ht="15" customHeight="1" x14ac:dyDescent="0.35">
      <c r="B31" s="152" t="s">
        <v>601</v>
      </c>
      <c r="C31" s="152" t="s">
        <v>750</v>
      </c>
      <c r="D31" s="153" t="s">
        <v>736</v>
      </c>
      <c r="E31" s="237">
        <v>0</v>
      </c>
      <c r="F31" s="154">
        <v>0</v>
      </c>
      <c r="G31" s="154">
        <v>0</v>
      </c>
      <c r="H31" s="154">
        <v>0</v>
      </c>
      <c r="I31" s="273"/>
      <c r="J31" s="273"/>
      <c r="K31" s="383"/>
      <c r="M31" s="34"/>
      <c r="N31" s="99"/>
      <c r="O31" s="99"/>
      <c r="P31" s="99"/>
      <c r="Q31" s="99"/>
      <c r="R31" s="99"/>
      <c r="S31" s="99"/>
      <c r="T31" s="99"/>
      <c r="U31" s="99"/>
      <c r="V31" s="99"/>
      <c r="W31" s="99"/>
      <c r="X31" s="99"/>
    </row>
    <row r="32" spans="2:24" ht="15" customHeight="1" x14ac:dyDescent="0.35">
      <c r="B32" s="152" t="s">
        <v>602</v>
      </c>
      <c r="C32" s="152" t="s">
        <v>751</v>
      </c>
      <c r="D32" s="153" t="s">
        <v>736</v>
      </c>
      <c r="E32" s="237">
        <v>125196</v>
      </c>
      <c r="F32" s="154">
        <v>118356</v>
      </c>
      <c r="G32" s="154">
        <v>119005</v>
      </c>
      <c r="H32" s="154">
        <v>129337</v>
      </c>
      <c r="I32" s="273">
        <f>(E32-F32)/F32</f>
        <v>5.779174693298185E-2</v>
      </c>
      <c r="J32" s="273">
        <f>(E32-H32)/H32</f>
        <v>-3.2017133534874009E-2</v>
      </c>
      <c r="K32" s="383"/>
      <c r="M32" s="34"/>
      <c r="N32" s="99"/>
      <c r="O32" s="99"/>
      <c r="P32" s="99"/>
      <c r="Q32" s="99"/>
      <c r="R32" s="99"/>
      <c r="S32" s="99"/>
      <c r="T32" s="99"/>
      <c r="U32" s="99"/>
      <c r="V32" s="99"/>
      <c r="W32" s="99"/>
      <c r="X32" s="99"/>
    </row>
    <row r="33" spans="2:24" ht="16.5" x14ac:dyDescent="0.35">
      <c r="B33" s="155" t="s">
        <v>752</v>
      </c>
      <c r="C33" s="155"/>
      <c r="D33" s="155" t="s">
        <v>753</v>
      </c>
      <c r="E33" s="237">
        <f>SUM(E18:E32)</f>
        <v>2944248.3333333335</v>
      </c>
      <c r="F33" s="156">
        <f>SUM(F18:F32)</f>
        <v>3483095.48</v>
      </c>
      <c r="G33" s="156">
        <f>SUM(G18:G32)</f>
        <v>3336003.02</v>
      </c>
      <c r="H33" s="156">
        <f>SUM(H18:H32)</f>
        <v>4109259.02</v>
      </c>
      <c r="I33" s="273">
        <f>(E33-F33)/F33</f>
        <v>-0.15470352442553958</v>
      </c>
      <c r="J33" s="273">
        <f>(E33-H33)/H33</f>
        <v>-0.28350870095958725</v>
      </c>
      <c r="K33" s="383"/>
      <c r="M33" s="34"/>
      <c r="N33" s="99"/>
      <c r="O33" s="99"/>
      <c r="P33" s="99"/>
      <c r="Q33" s="99"/>
      <c r="R33" s="99"/>
      <c r="S33" s="99"/>
      <c r="T33" s="99"/>
      <c r="U33" s="99"/>
      <c r="V33" s="99"/>
      <c r="W33" s="99"/>
      <c r="X33" s="99"/>
    </row>
    <row r="34" spans="2:24" x14ac:dyDescent="0.35">
      <c r="B34" s="116"/>
      <c r="C34" s="117"/>
      <c r="D34" s="118"/>
      <c r="E34" s="118"/>
      <c r="F34" s="118"/>
      <c r="G34" s="119"/>
      <c r="H34" s="119"/>
      <c r="I34" s="115"/>
      <c r="J34" s="115"/>
      <c r="K34" s="115"/>
      <c r="L34" s="115"/>
      <c r="M34" s="34"/>
      <c r="N34" s="99"/>
      <c r="O34" s="99"/>
      <c r="P34" s="99"/>
      <c r="Q34" s="99"/>
      <c r="R34" s="99"/>
      <c r="S34" s="99"/>
      <c r="T34" s="99"/>
      <c r="U34" s="99"/>
      <c r="V34" s="99"/>
      <c r="W34" s="99"/>
      <c r="X34" s="99"/>
    </row>
    <row r="35" spans="2:24" ht="17.5" x14ac:dyDescent="0.35">
      <c r="B35" s="226" t="s">
        <v>754</v>
      </c>
      <c r="C35" s="157"/>
      <c r="D35" s="227" t="s">
        <v>458</v>
      </c>
      <c r="E35" s="265" t="str">
        <f>E17</f>
        <v>2022/23</v>
      </c>
      <c r="F35" s="266" t="str">
        <f>F17</f>
        <v>2021/22</v>
      </c>
      <c r="G35" s="266" t="str">
        <f>G17</f>
        <v>2020/21</v>
      </c>
      <c r="H35" s="266" t="str">
        <f>H17</f>
        <v>2019/20</v>
      </c>
      <c r="I35" s="119"/>
      <c r="K35" s="120"/>
      <c r="M35" s="120"/>
      <c r="N35" s="120" t="s">
        <v>1325</v>
      </c>
      <c r="O35" s="99"/>
      <c r="P35" s="99"/>
      <c r="Q35" s="99"/>
      <c r="R35" s="99"/>
      <c r="S35" s="99"/>
      <c r="T35" s="99"/>
      <c r="U35" s="99"/>
      <c r="V35" s="99"/>
      <c r="W35" s="99"/>
      <c r="X35" s="99"/>
    </row>
    <row r="36" spans="2:24" ht="16.5" x14ac:dyDescent="0.35">
      <c r="B36" s="158" t="str">
        <f>B10</f>
        <v>Total Scope 1 GHG emissions</v>
      </c>
      <c r="C36" s="159" t="s">
        <v>467</v>
      </c>
      <c r="D36" s="153" t="s">
        <v>736</v>
      </c>
      <c r="E36" s="238">
        <f>E10</f>
        <v>233300</v>
      </c>
      <c r="F36" s="160">
        <f>H10</f>
        <v>239862</v>
      </c>
      <c r="G36" s="160">
        <f>K10</f>
        <v>240473</v>
      </c>
      <c r="H36" s="160">
        <f>N10</f>
        <v>238069</v>
      </c>
      <c r="K36" s="120"/>
      <c r="M36" s="120" t="s">
        <v>1326</v>
      </c>
      <c r="N36" s="377">
        <f>E36/$E$40</f>
        <v>7.0527397611580958E-2</v>
      </c>
      <c r="O36" s="99"/>
      <c r="P36" s="99"/>
      <c r="Q36" s="99"/>
      <c r="R36" s="99"/>
      <c r="S36" s="99"/>
      <c r="T36" s="99"/>
      <c r="U36" s="99"/>
      <c r="V36" s="99"/>
      <c r="W36" s="99"/>
      <c r="X36" s="99"/>
    </row>
    <row r="37" spans="2:24" ht="16.5" x14ac:dyDescent="0.35">
      <c r="B37" s="158" t="str">
        <f>B11</f>
        <v>Total Scope 2 GHG emissions (market-based)</v>
      </c>
      <c r="C37" s="159" t="s">
        <v>467</v>
      </c>
      <c r="D37" s="153" t="s">
        <v>736</v>
      </c>
      <c r="E37" s="238">
        <f>E11</f>
        <v>130386</v>
      </c>
      <c r="F37" s="160">
        <f>H11</f>
        <v>170248</v>
      </c>
      <c r="G37" s="160">
        <f>K11</f>
        <v>169111</v>
      </c>
      <c r="H37" s="160">
        <f>N11</f>
        <v>179749</v>
      </c>
      <c r="K37" s="120"/>
      <c r="M37" s="120" t="s">
        <v>1327</v>
      </c>
      <c r="N37" s="377">
        <f>E37/$E$40</f>
        <v>3.941613915552334E-2</v>
      </c>
      <c r="O37" s="99"/>
      <c r="P37" s="99"/>
      <c r="Q37" s="99"/>
      <c r="R37" s="99"/>
      <c r="S37" s="99"/>
      <c r="T37" s="99"/>
      <c r="U37" s="99"/>
      <c r="V37" s="99"/>
      <c r="W37" s="99"/>
      <c r="X37" s="99"/>
    </row>
    <row r="38" spans="2:24" ht="19.5" customHeight="1" x14ac:dyDescent="0.35">
      <c r="B38" s="158" t="str">
        <f>"Scope 3 - "&amp;B18</f>
        <v>Scope 3 - Total Scope 3 (Category 1) Purchased goods and services GHG emissions</v>
      </c>
      <c r="C38" s="152" t="s">
        <v>755</v>
      </c>
      <c r="D38" s="153" t="s">
        <v>736</v>
      </c>
      <c r="E38" s="238">
        <f>E18</f>
        <v>2495475</v>
      </c>
      <c r="F38" s="160">
        <f>F18</f>
        <v>2978197</v>
      </c>
      <c r="G38" s="160">
        <f>G18</f>
        <v>2812518</v>
      </c>
      <c r="H38" s="160">
        <f>H18</f>
        <v>3433660</v>
      </c>
      <c r="K38" s="120"/>
      <c r="M38" s="120" t="s">
        <v>1328</v>
      </c>
      <c r="N38" s="377">
        <f>E38/$E$40</f>
        <v>0.75439073105340759</v>
      </c>
      <c r="O38" s="99"/>
      <c r="P38" s="99"/>
      <c r="Q38" s="99"/>
      <c r="R38" s="99"/>
      <c r="S38" s="99"/>
      <c r="T38" s="99"/>
      <c r="U38" s="99"/>
      <c r="V38" s="99"/>
      <c r="W38" s="99"/>
      <c r="X38" s="99"/>
    </row>
    <row r="39" spans="2:24" ht="16.5" x14ac:dyDescent="0.35">
      <c r="B39" s="158" t="str">
        <f>"Scope 3 - All other categories"</f>
        <v>Scope 3 - All other categories</v>
      </c>
      <c r="C39" s="159" t="s">
        <v>756</v>
      </c>
      <c r="D39" s="153" t="s">
        <v>736</v>
      </c>
      <c r="E39" s="238">
        <f>E33-E18</f>
        <v>448773.33333333349</v>
      </c>
      <c r="F39" s="160">
        <f>F33-F18</f>
        <v>504898.48</v>
      </c>
      <c r="G39" s="160">
        <f>G33-G18</f>
        <v>523485.02</v>
      </c>
      <c r="H39" s="160">
        <f>H33-H18</f>
        <v>675599.02</v>
      </c>
      <c r="K39" s="120"/>
      <c r="M39" s="120" t="s">
        <v>1329</v>
      </c>
      <c r="N39" s="377">
        <f>E39/$E$40</f>
        <v>0.13566573217948807</v>
      </c>
      <c r="O39" s="99"/>
      <c r="P39" s="99"/>
      <c r="Q39" s="99"/>
      <c r="R39" s="99"/>
      <c r="S39" s="99"/>
      <c r="T39" s="99"/>
      <c r="U39" s="99"/>
      <c r="V39" s="99"/>
      <c r="W39" s="99"/>
      <c r="X39" s="99"/>
    </row>
    <row r="40" spans="2:24" ht="16.5" x14ac:dyDescent="0.35">
      <c r="B40" s="230" t="s">
        <v>757</v>
      </c>
      <c r="C40" s="230"/>
      <c r="D40" s="155" t="s">
        <v>753</v>
      </c>
      <c r="E40" s="238">
        <f>SUM(E36:E39)</f>
        <v>3307934.3333333335</v>
      </c>
      <c r="F40" s="231">
        <f t="shared" ref="F40:H40" si="4">SUM(F36:F39)</f>
        <v>3893205.48</v>
      </c>
      <c r="G40" s="231">
        <f t="shared" si="4"/>
        <v>3745587.02</v>
      </c>
      <c r="H40" s="231">
        <f t="shared" si="4"/>
        <v>4527077.0199999996</v>
      </c>
      <c r="K40" s="120"/>
      <c r="M40" s="120"/>
      <c r="N40" s="377">
        <f>E40/$E$40</f>
        <v>1</v>
      </c>
      <c r="O40" s="99"/>
      <c r="P40" s="99"/>
      <c r="Q40" s="99"/>
      <c r="R40" s="99"/>
      <c r="S40" s="99"/>
      <c r="T40" s="99"/>
      <c r="U40" s="99"/>
      <c r="V40" s="99"/>
      <c r="W40" s="99"/>
      <c r="X40" s="99"/>
    </row>
    <row r="41" spans="2:24" x14ac:dyDescent="0.35">
      <c r="B41" s="118"/>
      <c r="C41" s="117"/>
      <c r="D41" s="118"/>
      <c r="E41" s="118"/>
      <c r="F41" s="118"/>
      <c r="G41" s="119"/>
      <c r="H41" s="119"/>
      <c r="I41" s="119"/>
      <c r="J41" s="120"/>
      <c r="K41" s="120"/>
      <c r="L41" s="120"/>
      <c r="M41" s="99"/>
      <c r="N41" s="99">
        <f>7.1+3.9+75.4+13.6</f>
        <v>100</v>
      </c>
      <c r="O41" s="99"/>
      <c r="P41" s="99"/>
      <c r="Q41" s="99"/>
      <c r="R41" s="99"/>
      <c r="S41" s="99"/>
      <c r="T41" s="99"/>
      <c r="U41" s="99"/>
      <c r="V41" s="99"/>
      <c r="W41" s="99"/>
      <c r="X41" s="99"/>
    </row>
    <row r="42" spans="2:24" ht="17.5" x14ac:dyDescent="0.35">
      <c r="B42" s="226" t="s">
        <v>703</v>
      </c>
      <c r="C42" s="157"/>
      <c r="D42" s="227" t="s">
        <v>458</v>
      </c>
      <c r="E42" s="464" t="str">
        <f>E35</f>
        <v>2022/23</v>
      </c>
      <c r="F42" s="266" t="str">
        <f>F35</f>
        <v>2021/22</v>
      </c>
      <c r="G42" s="266" t="str">
        <f>G35</f>
        <v>2020/21</v>
      </c>
      <c r="H42" s="266" t="str">
        <f>H35</f>
        <v>2019/20</v>
      </c>
      <c r="I42" s="119"/>
      <c r="J42" s="120"/>
      <c r="K42" s="120"/>
      <c r="L42" s="120"/>
      <c r="M42" s="99"/>
      <c r="N42" s="99"/>
      <c r="O42" s="99"/>
      <c r="P42" s="99"/>
      <c r="Q42" s="99"/>
      <c r="R42" s="99"/>
      <c r="S42" s="99"/>
      <c r="T42" s="99"/>
      <c r="U42" s="99"/>
      <c r="V42" s="99"/>
      <c r="W42" s="99"/>
      <c r="X42" s="99"/>
    </row>
    <row r="43" spans="2:24" ht="19.5" customHeight="1" x14ac:dyDescent="0.35">
      <c r="B43" s="158" t="s">
        <v>704</v>
      </c>
      <c r="C43" s="159" t="s">
        <v>1330</v>
      </c>
      <c r="D43" s="153" t="s">
        <v>705</v>
      </c>
      <c r="E43" s="238">
        <v>108126</v>
      </c>
      <c r="F43" s="160">
        <v>109536</v>
      </c>
      <c r="G43" s="160">
        <v>106223</v>
      </c>
      <c r="H43" s="160">
        <v>113152</v>
      </c>
      <c r="I43" s="119"/>
      <c r="J43" s="120"/>
      <c r="K43" s="120"/>
      <c r="L43" s="120"/>
      <c r="M43" s="99"/>
      <c r="N43" s="99"/>
      <c r="O43" s="99"/>
      <c r="P43" s="99"/>
      <c r="Q43" s="99"/>
      <c r="R43" s="99"/>
      <c r="S43" s="99"/>
      <c r="T43" s="99"/>
      <c r="U43" s="99"/>
      <c r="V43" s="99"/>
      <c r="W43" s="99"/>
      <c r="X43" s="99"/>
    </row>
    <row r="44" spans="2:24" x14ac:dyDescent="0.35">
      <c r="B44" s="118"/>
      <c r="C44" s="117"/>
      <c r="D44" s="118"/>
      <c r="E44" s="118"/>
      <c r="F44" s="118"/>
      <c r="G44" s="118"/>
      <c r="H44" s="118"/>
      <c r="I44" s="118"/>
      <c r="J44" s="120"/>
      <c r="K44" s="120"/>
      <c r="L44" s="120"/>
      <c r="M44" s="99"/>
      <c r="N44" s="99"/>
      <c r="O44" s="99"/>
      <c r="P44" s="99"/>
      <c r="Q44" s="99"/>
      <c r="R44" s="99"/>
      <c r="S44" s="99"/>
      <c r="T44" s="99"/>
      <c r="U44" s="99"/>
      <c r="V44" s="99"/>
      <c r="W44" s="99"/>
      <c r="X44" s="99"/>
    </row>
    <row r="45" spans="2:24" ht="24.5" x14ac:dyDescent="0.35">
      <c r="B45" s="121" t="s">
        <v>643</v>
      </c>
      <c r="C45" s="105"/>
      <c r="D45" s="106"/>
      <c r="E45" s="106"/>
      <c r="F45" s="106"/>
      <c r="G45" s="1821"/>
      <c r="H45" s="1821"/>
      <c r="I45" s="1821"/>
      <c r="J45" s="107"/>
      <c r="K45" s="107"/>
      <c r="L45" s="122"/>
      <c r="M45" s="122"/>
      <c r="N45" s="122"/>
      <c r="O45" s="122"/>
    </row>
    <row r="46" spans="2:24" x14ac:dyDescent="0.35">
      <c r="B46" s="123"/>
      <c r="C46" s="124"/>
      <c r="D46" s="125"/>
      <c r="E46" s="126"/>
      <c r="F46" s="125"/>
      <c r="G46" s="125"/>
      <c r="H46" s="125"/>
    </row>
    <row r="47" spans="2:24" ht="36" x14ac:dyDescent="0.35">
      <c r="B47" s="241" t="s">
        <v>38</v>
      </c>
      <c r="C47" s="242" t="s">
        <v>852</v>
      </c>
      <c r="D47" s="227" t="s">
        <v>458</v>
      </c>
      <c r="E47" s="243" t="s">
        <v>462</v>
      </c>
      <c r="F47" s="267" t="s">
        <v>463</v>
      </c>
      <c r="G47" s="268" t="s">
        <v>464</v>
      </c>
      <c r="H47" s="268" t="s">
        <v>465</v>
      </c>
      <c r="I47" s="271" t="str">
        <f>I17</f>
        <v>Performance against prior year</v>
      </c>
      <c r="J47" s="271" t="str">
        <f>J17</f>
        <v>Performance against 2019/20 baseline</v>
      </c>
      <c r="K47" s="271" t="str">
        <f>K17</f>
        <v>Progress towards 2030 target</v>
      </c>
    </row>
    <row r="48" spans="2:24" ht="17.5" x14ac:dyDescent="0.35">
      <c r="B48" s="184" t="s">
        <v>644</v>
      </c>
      <c r="C48" s="162"/>
      <c r="D48" s="161"/>
      <c r="E48" s="163"/>
      <c r="F48" s="163"/>
      <c r="G48" s="163"/>
      <c r="H48" s="163"/>
      <c r="I48" s="273"/>
      <c r="J48" s="273"/>
      <c r="K48" s="383"/>
    </row>
    <row r="49" spans="2:12" ht="15.5" x14ac:dyDescent="0.35">
      <c r="B49" s="164" t="s">
        <v>645</v>
      </c>
      <c r="C49" s="165" t="s">
        <v>758</v>
      </c>
      <c r="D49" s="166" t="s">
        <v>759</v>
      </c>
      <c r="E49" s="239">
        <v>1705818</v>
      </c>
      <c r="F49" s="167">
        <v>1815379</v>
      </c>
      <c r="G49" s="168">
        <v>1698159</v>
      </c>
      <c r="H49" s="168">
        <v>1849211</v>
      </c>
      <c r="I49" s="273">
        <f t="shared" ref="I49:I54" si="5">(E49-F49)/F49</f>
        <v>-6.0351584985834913E-2</v>
      </c>
      <c r="J49" s="273">
        <f>(E49-H49)/H49</f>
        <v>-7.7542800686346766E-2</v>
      </c>
      <c r="K49" s="383"/>
      <c r="L49" s="127"/>
    </row>
    <row r="50" spans="2:12" ht="15.5" x14ac:dyDescent="0.35">
      <c r="B50" s="164" t="s">
        <v>646</v>
      </c>
      <c r="C50" s="165" t="s">
        <v>760</v>
      </c>
      <c r="D50" s="166" t="s">
        <v>759</v>
      </c>
      <c r="E50" s="240">
        <v>0</v>
      </c>
      <c r="F50" s="169">
        <v>0</v>
      </c>
      <c r="G50" s="170">
        <v>0</v>
      </c>
      <c r="H50" s="170">
        <v>0</v>
      </c>
      <c r="I50" s="273"/>
      <c r="J50" s="273"/>
      <c r="K50" s="383"/>
    </row>
    <row r="51" spans="2:12" ht="27" x14ac:dyDescent="0.35">
      <c r="B51" s="164" t="s">
        <v>647</v>
      </c>
      <c r="C51" s="165" t="s">
        <v>761</v>
      </c>
      <c r="D51" s="166" t="s">
        <v>759</v>
      </c>
      <c r="E51" s="240">
        <v>95060</v>
      </c>
      <c r="F51" s="169">
        <v>95150</v>
      </c>
      <c r="G51" s="171">
        <v>78886</v>
      </c>
      <c r="H51" s="171">
        <v>72326</v>
      </c>
      <c r="I51" s="273">
        <f t="shared" si="5"/>
        <v>-9.4587493431424064E-4</v>
      </c>
      <c r="J51" s="273">
        <f t="shared" ref="J51:J54" si="6">(E51-H51)/H51</f>
        <v>0.31432679810856401</v>
      </c>
      <c r="K51" s="383"/>
    </row>
    <row r="52" spans="2:12" ht="18" customHeight="1" x14ac:dyDescent="0.35">
      <c r="B52" s="172" t="s">
        <v>502</v>
      </c>
      <c r="C52" s="173" t="s">
        <v>763</v>
      </c>
      <c r="D52" s="174" t="s">
        <v>764</v>
      </c>
      <c r="E52" s="163">
        <f>SUM(E49:E51)</f>
        <v>1800878</v>
      </c>
      <c r="F52" s="175">
        <f>SUM(F49:F51)</f>
        <v>1910529</v>
      </c>
      <c r="G52" s="175">
        <f>SUM(G49:G51)</f>
        <v>1777045</v>
      </c>
      <c r="H52" s="175">
        <f>SUM(H49:H51)</f>
        <v>1921537</v>
      </c>
      <c r="I52" s="273">
        <f t="shared" si="5"/>
        <v>-5.7393004764648953E-2</v>
      </c>
      <c r="J52" s="273">
        <f t="shared" si="6"/>
        <v>-6.2792962092325044E-2</v>
      </c>
      <c r="K52" s="383"/>
    </row>
    <row r="53" spans="2:12" ht="17.5" x14ac:dyDescent="0.35">
      <c r="B53" s="184" t="s">
        <v>765</v>
      </c>
      <c r="C53" s="162"/>
      <c r="D53" s="161"/>
      <c r="E53" s="163"/>
      <c r="F53" s="163"/>
      <c r="G53" s="163"/>
      <c r="H53" s="163"/>
      <c r="I53" s="273"/>
      <c r="J53" s="273"/>
      <c r="K53" s="383"/>
    </row>
    <row r="54" spans="2:12" ht="40.5" x14ac:dyDescent="0.35">
      <c r="B54" s="178" t="s">
        <v>651</v>
      </c>
      <c r="C54" s="165" t="s">
        <v>1331</v>
      </c>
      <c r="D54" s="174" t="s">
        <v>764</v>
      </c>
      <c r="E54" s="239">
        <v>48993</v>
      </c>
      <c r="F54" s="177">
        <v>77174</v>
      </c>
      <c r="G54" s="177">
        <v>65976</v>
      </c>
      <c r="H54" s="177">
        <v>72194</v>
      </c>
      <c r="I54" s="273">
        <f t="shared" si="5"/>
        <v>-0.36516184207116387</v>
      </c>
      <c r="J54" s="273">
        <f t="shared" si="6"/>
        <v>-0.32137019696927721</v>
      </c>
      <c r="K54" s="383"/>
    </row>
    <row r="55" spans="2:12" ht="17.5" x14ac:dyDescent="0.35">
      <c r="B55" s="184" t="s">
        <v>656</v>
      </c>
      <c r="C55" s="162"/>
      <c r="D55" s="161"/>
      <c r="E55" s="163"/>
      <c r="F55" s="163"/>
      <c r="G55" s="163"/>
      <c r="H55" s="163"/>
      <c r="I55" s="273"/>
      <c r="J55" s="273"/>
      <c r="K55" s="383"/>
    </row>
    <row r="56" spans="2:12" ht="20.149999999999999" customHeight="1" x14ac:dyDescent="0.35">
      <c r="B56" s="172" t="s">
        <v>505</v>
      </c>
      <c r="C56" s="178" t="s">
        <v>769</v>
      </c>
      <c r="D56" s="172" t="s">
        <v>770</v>
      </c>
      <c r="E56" s="239">
        <f>(E52-E54)/1000</f>
        <v>1751.885</v>
      </c>
      <c r="F56" s="176">
        <f>(F52-F54)/1000</f>
        <v>1833.355</v>
      </c>
      <c r="G56" s="176">
        <f>(G52-G54)/1000</f>
        <v>1711.069</v>
      </c>
      <c r="H56" s="176">
        <f>(H52-H54)/1000</f>
        <v>1849.3430000000001</v>
      </c>
      <c r="I56" s="273">
        <f>(E56-F56)/F56</f>
        <v>-4.4437656645876018E-2</v>
      </c>
      <c r="J56" s="273">
        <f>(E56-H56)/H56</f>
        <v>-5.2698715165331735E-2</v>
      </c>
      <c r="K56" s="273">
        <f>(E56-H56)/((1-0.25)*H56-H56)</f>
        <v>0.21079486066132694</v>
      </c>
    </row>
    <row r="57" spans="2:12" x14ac:dyDescent="0.35">
      <c r="B57" s="128"/>
      <c r="C57" s="129"/>
      <c r="D57" s="128"/>
      <c r="E57" s="130"/>
      <c r="F57" s="130"/>
      <c r="G57" s="131"/>
      <c r="H57" s="131"/>
      <c r="J57" s="132"/>
      <c r="K57" s="132"/>
    </row>
    <row r="58" spans="2:12" ht="148.5" x14ac:dyDescent="0.35">
      <c r="B58" s="400" t="s">
        <v>507</v>
      </c>
      <c r="C58" s="400" t="s">
        <v>771</v>
      </c>
      <c r="D58" s="401" t="s">
        <v>772</v>
      </c>
      <c r="E58" s="399">
        <f>399174/1000</f>
        <v>399.17399999999998</v>
      </c>
      <c r="F58" s="399">
        <f>421595/1000</f>
        <v>421.59500000000003</v>
      </c>
      <c r="G58" s="399">
        <f>406037/1000</f>
        <v>406.03699999999998</v>
      </c>
      <c r="H58" s="131"/>
      <c r="J58" s="132"/>
      <c r="K58" s="132"/>
    </row>
    <row r="59" spans="2:12" x14ac:dyDescent="0.35">
      <c r="B59" s="128"/>
      <c r="C59" s="129"/>
      <c r="D59" s="128"/>
      <c r="E59" s="494"/>
      <c r="F59" s="130"/>
      <c r="G59" s="130"/>
      <c r="H59" s="130"/>
      <c r="J59" s="132"/>
      <c r="K59" s="132"/>
    </row>
    <row r="60" spans="2:12" ht="17.5" x14ac:dyDescent="0.35">
      <c r="B60" s="184" t="s">
        <v>654</v>
      </c>
      <c r="C60" s="162"/>
      <c r="D60" s="161"/>
      <c r="E60" s="163"/>
      <c r="F60" s="179"/>
      <c r="G60" s="163"/>
      <c r="H60" s="163"/>
      <c r="I60" s="316"/>
      <c r="J60" s="317"/>
      <c r="K60" s="317"/>
    </row>
    <row r="61" spans="2:12" ht="54" x14ac:dyDescent="0.35">
      <c r="B61" s="180" t="s">
        <v>652</v>
      </c>
      <c r="C61" s="181" t="s">
        <v>1332</v>
      </c>
      <c r="D61" s="182" t="s">
        <v>775</v>
      </c>
      <c r="E61" s="382">
        <v>1355851</v>
      </c>
      <c r="F61" s="203">
        <v>1399565</v>
      </c>
      <c r="G61" s="203">
        <v>1506288</v>
      </c>
      <c r="H61" s="203">
        <v>1394087</v>
      </c>
      <c r="I61" s="316"/>
      <c r="J61" s="317"/>
      <c r="K61" s="317"/>
    </row>
    <row r="62" spans="2:12" ht="67.5" x14ac:dyDescent="0.35">
      <c r="B62" s="172" t="s">
        <v>508</v>
      </c>
      <c r="C62" s="178" t="s">
        <v>776</v>
      </c>
      <c r="D62" s="172" t="s">
        <v>509</v>
      </c>
      <c r="E62" s="161">
        <v>242</v>
      </c>
      <c r="F62" s="172">
        <v>220</v>
      </c>
      <c r="G62" s="172">
        <v>112</v>
      </c>
      <c r="H62" s="172">
        <v>104</v>
      </c>
      <c r="I62" s="316"/>
      <c r="J62" s="318"/>
      <c r="K62" s="318"/>
    </row>
    <row r="63" spans="2:12" x14ac:dyDescent="0.35">
      <c r="B63" s="172" t="s">
        <v>510</v>
      </c>
      <c r="C63" s="178" t="s">
        <v>778</v>
      </c>
      <c r="D63" s="172" t="s">
        <v>494</v>
      </c>
      <c r="E63" s="260">
        <v>0.75</v>
      </c>
      <c r="F63" s="183">
        <v>0.78</v>
      </c>
      <c r="G63" s="183">
        <v>0.8</v>
      </c>
      <c r="H63" s="183">
        <v>0.7</v>
      </c>
      <c r="J63" s="133"/>
      <c r="K63" s="133"/>
    </row>
    <row r="64" spans="2:12" x14ac:dyDescent="0.35">
      <c r="B64" s="134"/>
      <c r="C64" s="135"/>
      <c r="D64" s="136"/>
      <c r="E64" s="136"/>
      <c r="F64" s="137"/>
      <c r="G64" s="137"/>
      <c r="H64" s="137"/>
      <c r="J64" s="133"/>
      <c r="K64" s="133"/>
    </row>
    <row r="65" spans="2:17" ht="36" x14ac:dyDescent="0.35">
      <c r="B65" s="241" t="s">
        <v>170</v>
      </c>
      <c r="C65" s="242" t="s">
        <v>852</v>
      </c>
      <c r="D65" s="227" t="s">
        <v>458</v>
      </c>
      <c r="E65" s="243" t="s">
        <v>462</v>
      </c>
      <c r="F65" s="267" t="s">
        <v>463</v>
      </c>
      <c r="G65" s="268" t="s">
        <v>464</v>
      </c>
      <c r="H65" s="268" t="s">
        <v>465</v>
      </c>
      <c r="I65" s="271" t="str">
        <f>I47</f>
        <v>Performance against prior year</v>
      </c>
      <c r="J65" s="271" t="str">
        <f>J47</f>
        <v>Performance against 2019/20 baseline</v>
      </c>
      <c r="K65" s="271" t="str">
        <f>K47</f>
        <v>Progress towards 2030 target</v>
      </c>
    </row>
    <row r="66" spans="2:17" ht="17.5" x14ac:dyDescent="0.35">
      <c r="B66" s="244" t="s">
        <v>779</v>
      </c>
      <c r="C66" s="246"/>
      <c r="D66" s="221"/>
      <c r="E66" s="239"/>
      <c r="F66" s="239"/>
      <c r="G66" s="239"/>
      <c r="H66" s="239"/>
      <c r="I66" s="274"/>
      <c r="J66" s="275"/>
      <c r="K66" s="275"/>
    </row>
    <row r="67" spans="2:17" ht="27" x14ac:dyDescent="0.35">
      <c r="B67" s="165" t="s">
        <v>667</v>
      </c>
      <c r="C67" s="185" t="s">
        <v>780</v>
      </c>
      <c r="D67" s="186" t="s">
        <v>512</v>
      </c>
      <c r="E67" s="200">
        <v>38519.699999999997</v>
      </c>
      <c r="F67" s="187">
        <v>45151.199999999997</v>
      </c>
      <c r="G67" s="187">
        <v>41025</v>
      </c>
      <c r="H67" s="188">
        <v>40016.699999999997</v>
      </c>
      <c r="I67" s="273">
        <f>(E67-F67)/F67</f>
        <v>-0.1468731728060384</v>
      </c>
      <c r="J67" s="273">
        <f>(E67-H67)/H67</f>
        <v>-3.7409381583189023E-2</v>
      </c>
      <c r="K67" s="273"/>
    </row>
    <row r="68" spans="2:17" ht="27" x14ac:dyDescent="0.35">
      <c r="B68" s="158" t="s">
        <v>668</v>
      </c>
      <c r="C68" s="185" t="s">
        <v>781</v>
      </c>
      <c r="D68" s="186" t="s">
        <v>512</v>
      </c>
      <c r="E68" s="200">
        <v>3340</v>
      </c>
      <c r="F68" s="189">
        <v>2639.7</v>
      </c>
      <c r="G68" s="189">
        <v>2622.3</v>
      </c>
      <c r="H68" s="188">
        <v>2469</v>
      </c>
      <c r="I68" s="273">
        <f t="shared" ref="I68:I72" si="7">(E68-F68)/F68</f>
        <v>0.26529529870818663</v>
      </c>
      <c r="J68" s="273">
        <f t="shared" ref="J68:J71" si="8">(E68-H68)/H68</f>
        <v>0.35277440259214254</v>
      </c>
      <c r="K68" s="383"/>
    </row>
    <row r="69" spans="2:17" ht="27" x14ac:dyDescent="0.35">
      <c r="B69" s="158" t="s">
        <v>669</v>
      </c>
      <c r="C69" s="185" t="s">
        <v>782</v>
      </c>
      <c r="D69" s="186" t="s">
        <v>512</v>
      </c>
      <c r="E69" s="200">
        <v>7058.7</v>
      </c>
      <c r="F69" s="189">
        <v>8560.2999999999993</v>
      </c>
      <c r="G69" s="189">
        <v>7013</v>
      </c>
      <c r="H69" s="188">
        <v>7815</v>
      </c>
      <c r="I69" s="273">
        <f t="shared" si="7"/>
        <v>-0.1754144130462717</v>
      </c>
      <c r="J69" s="273">
        <f t="shared" si="8"/>
        <v>-9.6775431861804248E-2</v>
      </c>
      <c r="K69" s="383"/>
    </row>
    <row r="70" spans="2:17" ht="27" x14ac:dyDescent="0.35">
      <c r="B70" s="158" t="s">
        <v>670</v>
      </c>
      <c r="C70" s="185" t="s">
        <v>783</v>
      </c>
      <c r="D70" s="186" t="s">
        <v>512</v>
      </c>
      <c r="E70" s="200">
        <v>13967</v>
      </c>
      <c r="F70" s="189">
        <v>15289.7</v>
      </c>
      <c r="G70" s="189">
        <v>11538</v>
      </c>
      <c r="H70" s="188">
        <v>13630</v>
      </c>
      <c r="I70" s="273">
        <f t="shared" si="7"/>
        <v>-8.6509218624302678E-2</v>
      </c>
      <c r="J70" s="273">
        <f t="shared" si="8"/>
        <v>2.4724871606749816E-2</v>
      </c>
      <c r="K70" s="383"/>
    </row>
    <row r="71" spans="2:17" ht="40.5" x14ac:dyDescent="0.35">
      <c r="B71" s="190" t="s">
        <v>567</v>
      </c>
      <c r="C71" s="155" t="s">
        <v>1333</v>
      </c>
      <c r="D71" s="191" t="s">
        <v>512</v>
      </c>
      <c r="E71" s="203">
        <f>E67+E68</f>
        <v>41859.699999999997</v>
      </c>
      <c r="F71" s="192">
        <f t="shared" ref="F71:H71" si="9">F67+F68</f>
        <v>47790.899999999994</v>
      </c>
      <c r="G71" s="192">
        <f t="shared" si="9"/>
        <v>43647.3</v>
      </c>
      <c r="H71" s="176">
        <f t="shared" si="9"/>
        <v>42485.7</v>
      </c>
      <c r="I71" s="273">
        <f t="shared" si="7"/>
        <v>-0.12410730913207321</v>
      </c>
      <c r="J71" s="273">
        <f t="shared" si="8"/>
        <v>-1.4734369446660877E-2</v>
      </c>
      <c r="K71" s="273">
        <f>(E71-H71)/((1-0.5)*H71-H71)</f>
        <v>2.9468738893321755E-2</v>
      </c>
    </row>
    <row r="72" spans="2:17" ht="40.5" x14ac:dyDescent="0.35">
      <c r="B72" s="190" t="s">
        <v>516</v>
      </c>
      <c r="C72" s="193" t="s">
        <v>785</v>
      </c>
      <c r="D72" s="191" t="s">
        <v>512</v>
      </c>
      <c r="E72" s="203">
        <f>SUM(E67:E70)</f>
        <v>62885.399999999994</v>
      </c>
      <c r="F72" s="168">
        <f>SUM(F67:F70)</f>
        <v>71640.899999999994</v>
      </c>
      <c r="G72" s="168">
        <f>SUM(G67:G70)</f>
        <v>62198.3</v>
      </c>
      <c r="H72" s="168">
        <f>SUM(H67:H70)</f>
        <v>63930.7</v>
      </c>
      <c r="I72" s="273">
        <f t="shared" si="7"/>
        <v>-0.12221370753298745</v>
      </c>
      <c r="J72" s="273">
        <f>(E72-H72)/H72</f>
        <v>-1.6350517044237008E-2</v>
      </c>
      <c r="K72" s="383"/>
    </row>
    <row r="73" spans="2:17" ht="17.5" x14ac:dyDescent="0.35">
      <c r="B73" s="244" t="s">
        <v>675</v>
      </c>
      <c r="C73" s="222"/>
      <c r="D73" s="221"/>
      <c r="E73" s="239">
        <f>38520+3340+7059+13967</f>
        <v>62886</v>
      </c>
      <c r="F73" s="239"/>
      <c r="G73" s="239"/>
      <c r="H73" s="239"/>
    </row>
    <row r="74" spans="2:17" ht="40.5" x14ac:dyDescent="0.35">
      <c r="B74" s="185" t="s">
        <v>676</v>
      </c>
      <c r="C74" s="185" t="s">
        <v>786</v>
      </c>
      <c r="D74" s="186" t="s">
        <v>512</v>
      </c>
      <c r="E74" s="261">
        <v>848</v>
      </c>
      <c r="F74" s="188">
        <v>1744</v>
      </c>
      <c r="G74" s="188">
        <v>885</v>
      </c>
      <c r="H74" s="188">
        <v>1497.1</v>
      </c>
      <c r="M74" s="378" t="s">
        <v>1334</v>
      </c>
      <c r="N74" s="378"/>
      <c r="O74" s="378"/>
      <c r="P74" s="378"/>
      <c r="Q74" s="378"/>
    </row>
    <row r="75" spans="2:17" ht="40.5" x14ac:dyDescent="0.35">
      <c r="B75" s="185" t="s">
        <v>677</v>
      </c>
      <c r="C75" s="185" t="s">
        <v>787</v>
      </c>
      <c r="D75" s="186" t="s">
        <v>512</v>
      </c>
      <c r="E75" s="261">
        <v>3871</v>
      </c>
      <c r="F75" s="188">
        <v>6885</v>
      </c>
      <c r="G75" s="188">
        <v>5365</v>
      </c>
      <c r="H75" s="188">
        <v>4991.7</v>
      </c>
      <c r="J75" s="315"/>
      <c r="M75" s="378"/>
      <c r="N75" s="379" t="s">
        <v>462</v>
      </c>
      <c r="O75" s="380" t="s">
        <v>463</v>
      </c>
      <c r="P75" s="379" t="s">
        <v>464</v>
      </c>
      <c r="Q75" s="379" t="s">
        <v>465</v>
      </c>
    </row>
    <row r="76" spans="2:17" ht="27" x14ac:dyDescent="0.35">
      <c r="B76" s="185" t="s">
        <v>678</v>
      </c>
      <c r="C76" s="185" t="s">
        <v>788</v>
      </c>
      <c r="D76" s="186" t="s">
        <v>512</v>
      </c>
      <c r="E76" s="261">
        <v>2038</v>
      </c>
      <c r="F76" s="188">
        <v>2785</v>
      </c>
      <c r="G76" s="188">
        <v>1549</v>
      </c>
      <c r="H76" s="188">
        <v>1444.1</v>
      </c>
      <c r="M76" s="378" t="s">
        <v>1335</v>
      </c>
      <c r="N76" s="381">
        <f>E85+E86</f>
        <v>1057</v>
      </c>
      <c r="O76" s="381">
        <f>F85+F86</f>
        <v>1020</v>
      </c>
      <c r="P76" s="381">
        <f>G85+G86</f>
        <v>1031</v>
      </c>
      <c r="Q76" s="381">
        <f>H85+H86</f>
        <v>720</v>
      </c>
    </row>
    <row r="77" spans="2:17" ht="15.5" x14ac:dyDescent="0.35">
      <c r="B77" s="193" t="s">
        <v>1336</v>
      </c>
      <c r="C77" s="193" t="s">
        <v>790</v>
      </c>
      <c r="D77" s="191" t="s">
        <v>512</v>
      </c>
      <c r="E77" s="239">
        <f>E74+E75+E76</f>
        <v>6757</v>
      </c>
      <c r="F77" s="176">
        <f>F74+F75+F76</f>
        <v>11414</v>
      </c>
      <c r="G77" s="176">
        <f>G74+G75+G76</f>
        <v>7799</v>
      </c>
      <c r="H77" s="176">
        <f>H74+H75+H76</f>
        <v>7932.9</v>
      </c>
      <c r="M77" s="378" t="s">
        <v>1337</v>
      </c>
      <c r="N77" s="381">
        <f>E87+E88</f>
        <v>36873</v>
      </c>
      <c r="O77" s="381">
        <f>F87+F88</f>
        <v>38277</v>
      </c>
      <c r="P77" s="381">
        <f>G87+G88</f>
        <v>23390</v>
      </c>
      <c r="Q77" s="381">
        <f>H87+H88</f>
        <v>19452</v>
      </c>
    </row>
    <row r="78" spans="2:17" ht="40.5" x14ac:dyDescent="0.35">
      <c r="B78" s="185" t="s">
        <v>680</v>
      </c>
      <c r="C78" s="185" t="s">
        <v>791</v>
      </c>
      <c r="D78" s="186" t="s">
        <v>512</v>
      </c>
      <c r="E78" s="261">
        <v>227</v>
      </c>
      <c r="F78" s="188">
        <v>297.2</v>
      </c>
      <c r="G78" s="188">
        <v>137.80000000000001</v>
      </c>
      <c r="H78" s="188">
        <v>200.4</v>
      </c>
      <c r="M78" s="378" t="s">
        <v>1338</v>
      </c>
      <c r="N78" s="381">
        <f t="shared" ref="N78:Q79" si="10">E74+E78</f>
        <v>1075</v>
      </c>
      <c r="O78" s="381">
        <f t="shared" si="10"/>
        <v>2041.2</v>
      </c>
      <c r="P78" s="381">
        <f t="shared" si="10"/>
        <v>1022.8</v>
      </c>
      <c r="Q78" s="381">
        <f t="shared" si="10"/>
        <v>1697.5</v>
      </c>
    </row>
    <row r="79" spans="2:17" ht="27" x14ac:dyDescent="0.35">
      <c r="B79" s="185" t="s">
        <v>681</v>
      </c>
      <c r="C79" s="185" t="s">
        <v>793</v>
      </c>
      <c r="D79" s="186" t="s">
        <v>512</v>
      </c>
      <c r="E79" s="261">
        <v>15662</v>
      </c>
      <c r="F79" s="188">
        <v>19276.2</v>
      </c>
      <c r="G79" s="188">
        <v>28214.400000000001</v>
      </c>
      <c r="H79" s="188">
        <v>33984.199999999997</v>
      </c>
      <c r="M79" s="378" t="s">
        <v>1339</v>
      </c>
      <c r="N79" s="381">
        <f t="shared" si="10"/>
        <v>19533</v>
      </c>
      <c r="O79" s="381">
        <f t="shared" si="10"/>
        <v>26161.200000000001</v>
      </c>
      <c r="P79" s="381">
        <f t="shared" si="10"/>
        <v>33579.4</v>
      </c>
      <c r="Q79" s="381">
        <f t="shared" si="10"/>
        <v>38975.899999999994</v>
      </c>
    </row>
    <row r="80" spans="2:17" ht="27" x14ac:dyDescent="0.35">
      <c r="B80" s="185" t="s">
        <v>682</v>
      </c>
      <c r="C80" s="185" t="s">
        <v>794</v>
      </c>
      <c r="D80" s="186" t="s">
        <v>512</v>
      </c>
      <c r="E80" s="261">
        <v>2309</v>
      </c>
      <c r="F80" s="188">
        <v>1356.9</v>
      </c>
      <c r="G80" s="188">
        <v>1625.8</v>
      </c>
      <c r="H80" s="188">
        <v>1641.7</v>
      </c>
      <c r="M80" s="378" t="s">
        <v>1340</v>
      </c>
      <c r="N80" s="381">
        <f>E83</f>
        <v>4347</v>
      </c>
      <c r="O80" s="381">
        <f>F83</f>
        <v>4141.8999999999996</v>
      </c>
      <c r="P80" s="381">
        <f>G83</f>
        <v>3174.8</v>
      </c>
      <c r="Q80" s="381">
        <f>H83</f>
        <v>3085.8</v>
      </c>
    </row>
    <row r="81" spans="2:17" x14ac:dyDescent="0.35">
      <c r="B81" s="193" t="s">
        <v>683</v>
      </c>
      <c r="C81" s="193" t="s">
        <v>795</v>
      </c>
      <c r="D81" s="191" t="s">
        <v>512</v>
      </c>
      <c r="E81" s="239">
        <f>E78+E79+E80</f>
        <v>18198</v>
      </c>
      <c r="F81" s="176">
        <f>F78+F79+F80</f>
        <v>20930.300000000003</v>
      </c>
      <c r="G81" s="176">
        <f>G78+G79+G80</f>
        <v>29978</v>
      </c>
      <c r="H81" s="176">
        <f>H78+H79+H80</f>
        <v>35826.299999999996</v>
      </c>
      <c r="M81" s="378" t="s">
        <v>1341</v>
      </c>
      <c r="N81" s="381">
        <f>E72</f>
        <v>62885.399999999994</v>
      </c>
      <c r="O81" s="381">
        <f>F72</f>
        <v>71640.899999999994</v>
      </c>
      <c r="P81" s="381">
        <f>G72</f>
        <v>62198.3</v>
      </c>
      <c r="Q81" s="381">
        <f>H72</f>
        <v>63930.7</v>
      </c>
    </row>
    <row r="82" spans="2:17" ht="30" customHeight="1" x14ac:dyDescent="0.35">
      <c r="B82" s="193" t="s">
        <v>684</v>
      </c>
      <c r="C82" s="193" t="s">
        <v>796</v>
      </c>
      <c r="D82" s="191" t="s">
        <v>512</v>
      </c>
      <c r="E82" s="239">
        <f>E81+E77</f>
        <v>24955</v>
      </c>
      <c r="F82" s="176">
        <f>F81+F77</f>
        <v>32344.300000000003</v>
      </c>
      <c r="G82" s="176">
        <f>G81+G77</f>
        <v>37777</v>
      </c>
      <c r="H82" s="176">
        <f>H81+H77</f>
        <v>43759.199999999997</v>
      </c>
    </row>
    <row r="83" spans="2:17" ht="16.399999999999999" customHeight="1" x14ac:dyDescent="0.35">
      <c r="B83" s="193" t="s">
        <v>685</v>
      </c>
      <c r="C83" s="193" t="s">
        <v>798</v>
      </c>
      <c r="D83" s="191" t="s">
        <v>512</v>
      </c>
      <c r="E83" s="239">
        <f>E80+E76</f>
        <v>4347</v>
      </c>
      <c r="F83" s="176">
        <f>F80+F76</f>
        <v>4141.8999999999996</v>
      </c>
      <c r="G83" s="176">
        <f>G80+G76</f>
        <v>3174.8</v>
      </c>
      <c r="H83" s="176">
        <f>H80+H76</f>
        <v>3085.8</v>
      </c>
      <c r="L83" s="127"/>
      <c r="M83" s="127"/>
      <c r="N83" s="127"/>
      <c r="O83" s="127"/>
    </row>
    <row r="84" spans="2:17" ht="17.5" x14ac:dyDescent="0.35">
      <c r="B84" s="244" t="s">
        <v>686</v>
      </c>
      <c r="C84" s="222"/>
      <c r="D84" s="221"/>
      <c r="E84" s="239"/>
      <c r="F84" s="239"/>
      <c r="G84" s="239"/>
      <c r="H84" s="239"/>
    </row>
    <row r="85" spans="2:17" ht="54" x14ac:dyDescent="0.35">
      <c r="B85" s="194" t="s">
        <v>687</v>
      </c>
      <c r="C85" s="153" t="s">
        <v>800</v>
      </c>
      <c r="D85" s="186" t="s">
        <v>512</v>
      </c>
      <c r="E85" s="262">
        <v>137</v>
      </c>
      <c r="F85" s="195">
        <v>127</v>
      </c>
      <c r="G85" s="195">
        <v>106</v>
      </c>
      <c r="H85" s="195">
        <v>127</v>
      </c>
    </row>
    <row r="86" spans="2:17" ht="54" x14ac:dyDescent="0.35">
      <c r="B86" s="194" t="s">
        <v>688</v>
      </c>
      <c r="C86" s="153" t="s">
        <v>802</v>
      </c>
      <c r="D86" s="186" t="s">
        <v>512</v>
      </c>
      <c r="E86" s="262">
        <v>920</v>
      </c>
      <c r="F86" s="195">
        <v>893</v>
      </c>
      <c r="G86" s="195">
        <v>925</v>
      </c>
      <c r="H86" s="195">
        <v>593</v>
      </c>
    </row>
    <row r="87" spans="2:17" ht="40.5" x14ac:dyDescent="0.35">
      <c r="B87" s="194" t="s">
        <v>689</v>
      </c>
      <c r="C87" s="153" t="s">
        <v>803</v>
      </c>
      <c r="D87" s="186" t="s">
        <v>512</v>
      </c>
      <c r="E87" s="262">
        <v>14130</v>
      </c>
      <c r="F87" s="195">
        <v>12309</v>
      </c>
      <c r="G87" s="188">
        <v>10646</v>
      </c>
      <c r="H87" s="188">
        <v>13385</v>
      </c>
    </row>
    <row r="88" spans="2:17" ht="40.5" x14ac:dyDescent="0.35">
      <c r="B88" s="194" t="s">
        <v>690</v>
      </c>
      <c r="C88" s="153" t="s">
        <v>804</v>
      </c>
      <c r="D88" s="186" t="s">
        <v>512</v>
      </c>
      <c r="E88" s="262">
        <v>22743</v>
      </c>
      <c r="F88" s="195">
        <v>25968</v>
      </c>
      <c r="G88" s="195">
        <v>12744</v>
      </c>
      <c r="H88" s="195">
        <v>6067</v>
      </c>
    </row>
    <row r="89" spans="2:17" ht="54" x14ac:dyDescent="0.35">
      <c r="B89" s="190" t="s">
        <v>691</v>
      </c>
      <c r="C89" s="193" t="s">
        <v>1342</v>
      </c>
      <c r="D89" s="191" t="s">
        <v>512</v>
      </c>
      <c r="E89" s="239">
        <f>E85+E86+E87+E88</f>
        <v>37930</v>
      </c>
      <c r="F89" s="176">
        <f>F85+F86+F87+F88</f>
        <v>39297</v>
      </c>
      <c r="G89" s="176">
        <f t="shared" ref="G89:H89" si="11">G85+G86+G87+G88</f>
        <v>24421</v>
      </c>
      <c r="H89" s="176">
        <f t="shared" si="11"/>
        <v>20172</v>
      </c>
      <c r="I89" s="127"/>
      <c r="J89" s="127"/>
      <c r="K89" s="89"/>
    </row>
    <row r="90" spans="2:17" x14ac:dyDescent="0.35">
      <c r="B90" s="194" t="s">
        <v>692</v>
      </c>
      <c r="C90" s="185" t="s">
        <v>807</v>
      </c>
      <c r="D90" s="186" t="s">
        <v>494</v>
      </c>
      <c r="E90" s="263">
        <f>E85/E72</f>
        <v>2.1785660900622405E-3</v>
      </c>
      <c r="F90" s="196">
        <f>F85/F72</f>
        <v>1.7727303816674554E-3</v>
      </c>
      <c r="G90" s="196">
        <f>G85/G72</f>
        <v>1.7042266428503672E-3</v>
      </c>
      <c r="H90" s="196">
        <f>H85/H72</f>
        <v>1.9865260352225143E-3</v>
      </c>
      <c r="I90" s="133"/>
      <c r="J90" s="133"/>
      <c r="K90" s="89"/>
    </row>
    <row r="91" spans="2:17" x14ac:dyDescent="0.35">
      <c r="B91" s="166" t="s">
        <v>693</v>
      </c>
      <c r="C91" s="185" t="s">
        <v>807</v>
      </c>
      <c r="D91" s="197" t="s">
        <v>494</v>
      </c>
      <c r="E91" s="263">
        <f>E86/E72</f>
        <v>1.4629786882169789E-2</v>
      </c>
      <c r="F91" s="196">
        <f>F86/F72</f>
        <v>1.2464946699441242E-2</v>
      </c>
      <c r="G91" s="196">
        <f>G86/G72</f>
        <v>1.4871789100345185E-2</v>
      </c>
      <c r="H91" s="196">
        <f>H86/H72</f>
        <v>9.2756688101334733E-3</v>
      </c>
    </row>
    <row r="92" spans="2:17" x14ac:dyDescent="0.35">
      <c r="B92" s="166" t="s">
        <v>694</v>
      </c>
      <c r="C92" s="185" t="s">
        <v>807</v>
      </c>
      <c r="D92" s="197" t="s">
        <v>494</v>
      </c>
      <c r="E92" s="263">
        <f>E89/E72</f>
        <v>0.60316067004423923</v>
      </c>
      <c r="F92" s="196">
        <f>F89/F72</f>
        <v>0.54852744731012593</v>
      </c>
      <c r="G92" s="196">
        <f>G89/G72</f>
        <v>0.39263130985895112</v>
      </c>
      <c r="H92" s="196">
        <f>H89/H72</f>
        <v>0.31552915891739025</v>
      </c>
    </row>
    <row r="93" spans="2:17" ht="17.5" x14ac:dyDescent="0.35">
      <c r="B93" s="244" t="s">
        <v>695</v>
      </c>
      <c r="C93" s="222"/>
      <c r="D93" s="221"/>
      <c r="E93" s="239"/>
      <c r="F93" s="239"/>
      <c r="G93" s="239"/>
      <c r="H93" s="239"/>
    </row>
    <row r="94" spans="2:17" ht="14.15" customHeight="1" x14ac:dyDescent="0.35">
      <c r="B94" s="213" t="s">
        <v>523</v>
      </c>
      <c r="C94" s="199" t="s">
        <v>811</v>
      </c>
      <c r="D94" s="186" t="s">
        <v>512</v>
      </c>
      <c r="E94" s="261">
        <f>E68+E70</f>
        <v>17307</v>
      </c>
      <c r="F94" s="200">
        <f>F68+F70</f>
        <v>17929.400000000001</v>
      </c>
      <c r="G94" s="200">
        <f>G68+G70</f>
        <v>14160.3</v>
      </c>
      <c r="H94" s="200">
        <f>H68+H70</f>
        <v>16099</v>
      </c>
    </row>
    <row r="95" spans="2:17" x14ac:dyDescent="0.35">
      <c r="B95" s="213" t="s">
        <v>696</v>
      </c>
      <c r="C95" s="185" t="s">
        <v>813</v>
      </c>
      <c r="D95" s="186" t="s">
        <v>512</v>
      </c>
      <c r="E95" s="264">
        <v>500</v>
      </c>
      <c r="F95" s="201">
        <v>531</v>
      </c>
      <c r="G95" s="201">
        <v>421</v>
      </c>
      <c r="H95" s="201">
        <v>221</v>
      </c>
    </row>
    <row r="96" spans="2:17" x14ac:dyDescent="0.35">
      <c r="B96" s="213" t="s">
        <v>697</v>
      </c>
      <c r="C96" s="185" t="s">
        <v>815</v>
      </c>
      <c r="D96" s="186" t="s">
        <v>512</v>
      </c>
      <c r="E96" s="264">
        <v>12438</v>
      </c>
      <c r="F96" s="201">
        <v>11970</v>
      </c>
      <c r="G96" s="205">
        <v>10278</v>
      </c>
      <c r="H96" s="205">
        <v>11791</v>
      </c>
    </row>
    <row r="97" spans="2:24" x14ac:dyDescent="0.35">
      <c r="B97" s="182" t="s">
        <v>522</v>
      </c>
      <c r="C97" s="185" t="s">
        <v>817</v>
      </c>
      <c r="D97" s="186" t="s">
        <v>512</v>
      </c>
      <c r="E97" s="239">
        <f>E94-E95-E96</f>
        <v>4369</v>
      </c>
      <c r="F97" s="203">
        <f t="shared" ref="F97:H97" si="12">F94-F95-F96</f>
        <v>5428.4000000000015</v>
      </c>
      <c r="G97" s="203">
        <f t="shared" si="12"/>
        <v>3461.2999999999993</v>
      </c>
      <c r="H97" s="203">
        <f t="shared" si="12"/>
        <v>4087</v>
      </c>
    </row>
    <row r="98" spans="2:24" x14ac:dyDescent="0.35">
      <c r="B98" s="495"/>
      <c r="C98" s="138"/>
      <c r="D98" s="139"/>
      <c r="E98" s="140"/>
      <c r="F98" s="140"/>
      <c r="G98" s="140"/>
      <c r="H98" s="140"/>
    </row>
    <row r="99" spans="2:24" ht="19.5" x14ac:dyDescent="0.35">
      <c r="B99" s="241" t="s">
        <v>818</v>
      </c>
      <c r="C99" s="242" t="s">
        <v>852</v>
      </c>
      <c r="D99" s="258" t="s">
        <v>458</v>
      </c>
      <c r="E99" s="243" t="s">
        <v>462</v>
      </c>
      <c r="F99" s="267" t="s">
        <v>463</v>
      </c>
      <c r="G99" s="268" t="s">
        <v>464</v>
      </c>
      <c r="H99" s="268" t="s">
        <v>465</v>
      </c>
    </row>
    <row r="100" spans="2:24" ht="46.5" x14ac:dyDescent="0.35">
      <c r="B100" s="186" t="s">
        <v>819</v>
      </c>
      <c r="C100" s="159" t="s">
        <v>820</v>
      </c>
      <c r="D100" s="186" t="s">
        <v>512</v>
      </c>
      <c r="E100" s="259">
        <v>336</v>
      </c>
      <c r="F100" s="204">
        <v>358</v>
      </c>
      <c r="G100" s="204">
        <v>338</v>
      </c>
      <c r="H100" s="204">
        <v>320</v>
      </c>
    </row>
    <row r="101" spans="2:24" ht="46.5" x14ac:dyDescent="0.35">
      <c r="B101" s="186" t="s">
        <v>821</v>
      </c>
      <c r="C101" s="159" t="s">
        <v>822</v>
      </c>
      <c r="D101" s="186" t="s">
        <v>512</v>
      </c>
      <c r="E101" s="259">
        <v>31</v>
      </c>
      <c r="F101" s="204">
        <v>73</v>
      </c>
      <c r="G101" s="204">
        <v>42</v>
      </c>
      <c r="H101" s="204">
        <v>16</v>
      </c>
    </row>
    <row r="102" spans="2:24" ht="54" x14ac:dyDescent="0.35">
      <c r="B102" s="186" t="s">
        <v>528</v>
      </c>
      <c r="C102" s="159" t="s">
        <v>823</v>
      </c>
      <c r="D102" s="186" t="s">
        <v>512</v>
      </c>
      <c r="E102" s="259">
        <v>42</v>
      </c>
      <c r="F102" s="204">
        <v>50</v>
      </c>
      <c r="G102" s="204">
        <v>39</v>
      </c>
      <c r="H102" s="204">
        <v>47</v>
      </c>
    </row>
    <row r="103" spans="2:24" ht="16.5" x14ac:dyDescent="0.35">
      <c r="B103" s="186" t="s">
        <v>824</v>
      </c>
      <c r="C103" s="159" t="s">
        <v>825</v>
      </c>
      <c r="D103" s="186" t="s">
        <v>494</v>
      </c>
      <c r="E103" s="260">
        <v>0.86</v>
      </c>
      <c r="F103" s="384">
        <v>0.85</v>
      </c>
      <c r="G103" s="385">
        <v>0.85</v>
      </c>
      <c r="H103" s="385">
        <v>0.82</v>
      </c>
    </row>
    <row r="104" spans="2:24" ht="16.5" x14ac:dyDescent="0.35">
      <c r="B104" s="186" t="s">
        <v>826</v>
      </c>
      <c r="C104" s="159" t="s">
        <v>827</v>
      </c>
      <c r="D104" s="186" t="s">
        <v>494</v>
      </c>
      <c r="E104" s="260">
        <v>0.36</v>
      </c>
      <c r="F104" s="384">
        <v>0.34</v>
      </c>
      <c r="G104" s="385">
        <v>0.36</v>
      </c>
      <c r="H104" s="385">
        <v>0.32</v>
      </c>
    </row>
    <row r="105" spans="2:24" x14ac:dyDescent="0.35">
      <c r="B105" s="186" t="s">
        <v>531</v>
      </c>
      <c r="C105" s="159" t="s">
        <v>828</v>
      </c>
      <c r="D105" s="186" t="s">
        <v>494</v>
      </c>
      <c r="E105" s="260">
        <v>0.56999999999999995</v>
      </c>
      <c r="F105" s="384">
        <v>0.56000000000000005</v>
      </c>
      <c r="G105" s="385">
        <v>0.54</v>
      </c>
      <c r="H105" s="385">
        <v>0.53</v>
      </c>
    </row>
    <row r="106" spans="2:24" x14ac:dyDescent="0.35">
      <c r="B106" s="118"/>
      <c r="C106" s="141"/>
      <c r="D106" s="59"/>
      <c r="E106" s="142"/>
      <c r="F106" s="143"/>
      <c r="G106" s="143"/>
      <c r="H106" s="59"/>
    </row>
    <row r="107" spans="2:24" ht="24.5" x14ac:dyDescent="0.35">
      <c r="B107" s="121" t="s">
        <v>617</v>
      </c>
      <c r="C107" s="105"/>
      <c r="D107" s="106"/>
      <c r="E107" s="106"/>
      <c r="F107" s="106"/>
      <c r="G107" s="1821"/>
      <c r="H107" s="1821"/>
      <c r="I107" s="1821"/>
      <c r="J107" s="1821"/>
      <c r="K107" s="1821"/>
      <c r="L107" s="1821"/>
      <c r="M107" s="1821"/>
      <c r="N107" s="1821"/>
      <c r="O107" s="1821"/>
    </row>
    <row r="108" spans="2:24" x14ac:dyDescent="0.35">
      <c r="B108" s="118"/>
      <c r="C108" s="117"/>
      <c r="D108" s="118"/>
      <c r="E108" s="118"/>
      <c r="F108" s="118"/>
      <c r="G108" s="119"/>
      <c r="H108" s="119"/>
      <c r="I108" s="119"/>
      <c r="J108" s="120"/>
      <c r="K108" s="120"/>
      <c r="L108" s="120"/>
      <c r="M108" s="99"/>
      <c r="N108" s="99"/>
      <c r="O108" s="99"/>
      <c r="P108" s="99"/>
      <c r="Q108" s="99"/>
      <c r="R108" s="99"/>
      <c r="S108" s="99"/>
      <c r="T108" s="99"/>
      <c r="U108" s="99"/>
      <c r="V108" s="99"/>
      <c r="W108" s="99"/>
      <c r="X108" s="99"/>
    </row>
    <row r="109" spans="2:24" ht="24" x14ac:dyDescent="0.35">
      <c r="B109" s="247" t="s">
        <v>477</v>
      </c>
      <c r="C109" s="245" t="s">
        <v>852</v>
      </c>
      <c r="D109" s="258" t="s">
        <v>458</v>
      </c>
      <c r="E109" s="1897" t="s">
        <v>462</v>
      </c>
      <c r="F109" s="1897"/>
      <c r="G109" s="1897"/>
      <c r="H109" s="1818" t="s">
        <v>463</v>
      </c>
      <c r="I109" s="1818"/>
      <c r="J109" s="1818"/>
      <c r="K109" s="1818" t="s">
        <v>464</v>
      </c>
      <c r="L109" s="1818"/>
      <c r="M109" s="1818"/>
      <c r="N109" s="249" t="s">
        <v>465</v>
      </c>
      <c r="O109" s="271" t="str">
        <f>I65</f>
        <v>Performance against prior year</v>
      </c>
      <c r="P109" s="99"/>
      <c r="T109" s="99"/>
      <c r="U109" s="99"/>
      <c r="V109" s="99"/>
      <c r="W109" s="99"/>
    </row>
    <row r="110" spans="2:24" ht="27" x14ac:dyDescent="0.35">
      <c r="B110" s="197"/>
      <c r="C110" s="207"/>
      <c r="D110" s="208"/>
      <c r="E110" s="252" t="s">
        <v>467</v>
      </c>
      <c r="F110" s="252" t="s">
        <v>723</v>
      </c>
      <c r="G110" s="252" t="s">
        <v>724</v>
      </c>
      <c r="H110" s="206" t="s">
        <v>467</v>
      </c>
      <c r="I110" s="206" t="s">
        <v>723</v>
      </c>
      <c r="J110" s="209" t="s">
        <v>724</v>
      </c>
      <c r="K110" s="206" t="s">
        <v>467</v>
      </c>
      <c r="L110" s="206" t="s">
        <v>723</v>
      </c>
      <c r="M110" s="209" t="s">
        <v>724</v>
      </c>
      <c r="N110" s="206" t="s">
        <v>467</v>
      </c>
      <c r="O110" s="272" t="s">
        <v>467</v>
      </c>
      <c r="P110" s="99"/>
      <c r="T110" s="99"/>
      <c r="U110" s="99"/>
      <c r="V110" s="99"/>
      <c r="W110" s="99"/>
    </row>
    <row r="111" spans="2:24" ht="67.5" x14ac:dyDescent="0.35">
      <c r="B111" s="208" t="s">
        <v>478</v>
      </c>
      <c r="C111" s="210" t="s">
        <v>829</v>
      </c>
      <c r="D111" s="211" t="s">
        <v>479</v>
      </c>
      <c r="E111" s="253">
        <f t="shared" ref="E111:N111" si="13">E127/1000</f>
        <v>1185612.237</v>
      </c>
      <c r="F111" s="253">
        <f t="shared" si="13"/>
        <v>337487.755</v>
      </c>
      <c r="G111" s="253">
        <f t="shared" si="13"/>
        <v>848124.48199999996</v>
      </c>
      <c r="H111" s="212">
        <f t="shared" si="13"/>
        <v>1241805.7790000001</v>
      </c>
      <c r="I111" s="212">
        <f t="shared" si="13"/>
        <v>373347.38799999998</v>
      </c>
      <c r="J111" s="212">
        <f t="shared" si="13"/>
        <v>868458.39099999995</v>
      </c>
      <c r="K111" s="212">
        <f t="shared" si="13"/>
        <v>1168337.6599999999</v>
      </c>
      <c r="L111" s="212">
        <f t="shared" si="13"/>
        <v>389386.26799999998</v>
      </c>
      <c r="M111" s="212">
        <f t="shared" si="13"/>
        <v>778951.39199999999</v>
      </c>
      <c r="N111" s="212">
        <f t="shared" si="13"/>
        <v>1202121.1410000001</v>
      </c>
      <c r="O111" s="273">
        <f>(E111-H111)/H111</f>
        <v>-4.5251474063240066E-2</v>
      </c>
      <c r="P111" s="99"/>
      <c r="T111" s="99"/>
      <c r="U111" s="99"/>
      <c r="V111" s="99"/>
      <c r="W111" s="99"/>
    </row>
    <row r="112" spans="2:24" x14ac:dyDescent="0.35">
      <c r="B112" s="208" t="s">
        <v>480</v>
      </c>
      <c r="C112" s="492" t="s">
        <v>1343</v>
      </c>
      <c r="D112" s="213" t="s">
        <v>481</v>
      </c>
      <c r="E112" s="254">
        <v>10.96</v>
      </c>
      <c r="F112" s="255">
        <v>74.2</v>
      </c>
      <c r="G112" s="255">
        <v>8.1999999999999993</v>
      </c>
      <c r="H112" s="214">
        <v>11.3</v>
      </c>
      <c r="I112" s="214">
        <v>70.7</v>
      </c>
      <c r="J112" s="214">
        <v>8.3000000000000007</v>
      </c>
      <c r="K112" s="214">
        <v>10.98</v>
      </c>
      <c r="L112" s="214">
        <v>39.56</v>
      </c>
      <c r="M112" s="214">
        <v>8.06</v>
      </c>
      <c r="N112" s="214">
        <v>10.61</v>
      </c>
      <c r="O112" s="273">
        <f>(E112-H112)/H112</f>
        <v>-3.0088495575221225E-2</v>
      </c>
      <c r="P112" s="99"/>
      <c r="T112" s="99"/>
      <c r="U112" s="99"/>
      <c r="V112" s="99"/>
      <c r="W112" s="99"/>
    </row>
    <row r="113" spans="2:22" x14ac:dyDescent="0.35">
      <c r="B113" s="144"/>
      <c r="C113" s="117"/>
      <c r="D113" s="118"/>
      <c r="E113" s="493"/>
      <c r="F113" s="118"/>
      <c r="G113" s="119"/>
      <c r="H113" s="119"/>
      <c r="I113" s="119"/>
      <c r="J113" s="120"/>
      <c r="K113" s="120"/>
      <c r="L113" s="120"/>
      <c r="M113" s="99"/>
      <c r="N113" s="99"/>
      <c r="O113" s="99"/>
      <c r="P113" s="99"/>
      <c r="T113" s="99"/>
      <c r="U113" s="99"/>
      <c r="V113" s="99"/>
    </row>
    <row r="114" spans="2:22" x14ac:dyDescent="0.35">
      <c r="B114" s="118"/>
      <c r="C114" s="117"/>
      <c r="D114" s="118"/>
      <c r="E114" s="118"/>
      <c r="F114" s="118"/>
      <c r="G114" s="119"/>
      <c r="H114" s="119"/>
      <c r="I114" s="119"/>
      <c r="J114" s="120"/>
      <c r="K114" s="120"/>
      <c r="L114" s="120"/>
      <c r="M114" s="99"/>
      <c r="N114" s="99"/>
      <c r="O114" s="99"/>
      <c r="P114" s="99"/>
      <c r="T114" s="99"/>
      <c r="U114" s="99"/>
      <c r="V114" s="99"/>
    </row>
    <row r="115" spans="2:22" ht="19.5" x14ac:dyDescent="0.35">
      <c r="B115" s="248" t="s">
        <v>831</v>
      </c>
      <c r="C115" s="245" t="s">
        <v>852</v>
      </c>
      <c r="D115" s="258" t="s">
        <v>458</v>
      </c>
      <c r="E115" s="1812" t="s">
        <v>462</v>
      </c>
      <c r="F115" s="1813"/>
      <c r="G115" s="1814"/>
      <c r="H115" s="1815" t="s">
        <v>463</v>
      </c>
      <c r="I115" s="1816"/>
      <c r="J115" s="1817"/>
      <c r="K115" s="1818" t="s">
        <v>464</v>
      </c>
      <c r="L115" s="1818"/>
      <c r="M115" s="1818"/>
      <c r="N115" s="249" t="s">
        <v>465</v>
      </c>
      <c r="O115" s="99"/>
      <c r="S115" s="99"/>
      <c r="T115" s="99"/>
      <c r="U115" s="99"/>
      <c r="V115" s="99"/>
    </row>
    <row r="116" spans="2:22" ht="28.4" customHeight="1" x14ac:dyDescent="0.35">
      <c r="B116" s="215"/>
      <c r="C116" s="215"/>
      <c r="D116" s="215"/>
      <c r="E116" s="250" t="s">
        <v>467</v>
      </c>
      <c r="F116" s="250" t="s">
        <v>723</v>
      </c>
      <c r="G116" s="250" t="s">
        <v>724</v>
      </c>
      <c r="H116" s="216" t="s">
        <v>467</v>
      </c>
      <c r="I116" s="216" t="s">
        <v>723</v>
      </c>
      <c r="J116" s="217" t="s">
        <v>724</v>
      </c>
      <c r="K116" s="216" t="s">
        <v>467</v>
      </c>
      <c r="L116" s="216" t="s">
        <v>723</v>
      </c>
      <c r="M116" s="217" t="s">
        <v>724</v>
      </c>
      <c r="N116" s="216" t="s">
        <v>467</v>
      </c>
      <c r="O116" s="99"/>
      <c r="S116" s="99"/>
      <c r="T116" s="99"/>
      <c r="U116" s="99"/>
      <c r="V116" s="99"/>
    </row>
    <row r="117" spans="2:22" ht="28.4" customHeight="1" x14ac:dyDescent="0.35">
      <c r="B117" s="186" t="s">
        <v>622</v>
      </c>
      <c r="C117" s="159" t="s">
        <v>1344</v>
      </c>
      <c r="D117" s="186" t="s">
        <v>623</v>
      </c>
      <c r="E117" s="251">
        <f t="shared" ref="E117:F119" si="14">E127*0.0036</f>
        <v>4268204.0532</v>
      </c>
      <c r="F117" s="251">
        <f t="shared" si="14"/>
        <v>1214955.9180000001</v>
      </c>
      <c r="G117" s="251">
        <f t="shared" ref="G117:G125" si="15">E117-F117</f>
        <v>3053248.1351999999</v>
      </c>
      <c r="H117" s="218">
        <f t="shared" ref="H117:N123" si="16">H127*0.0036</f>
        <v>4470500.8043999998</v>
      </c>
      <c r="I117" s="218">
        <f t="shared" si="16"/>
        <v>1344050.5967999999</v>
      </c>
      <c r="J117" s="218">
        <f t="shared" si="16"/>
        <v>3126450.2075999998</v>
      </c>
      <c r="K117" s="204">
        <f t="shared" si="16"/>
        <v>4206015.5760000004</v>
      </c>
      <c r="L117" s="218">
        <f t="shared" si="16"/>
        <v>1401790.5648000001</v>
      </c>
      <c r="M117" s="218">
        <f t="shared" si="16"/>
        <v>2804225.0112000001</v>
      </c>
      <c r="N117" s="204">
        <f t="shared" si="16"/>
        <v>4327636.1075999998</v>
      </c>
      <c r="O117" s="99"/>
      <c r="S117" s="99"/>
      <c r="T117" s="99"/>
      <c r="U117" s="99"/>
      <c r="V117" s="99"/>
    </row>
    <row r="118" spans="2:22" ht="28.4" customHeight="1" x14ac:dyDescent="0.35">
      <c r="B118" s="186" t="s">
        <v>624</v>
      </c>
      <c r="C118" s="159" t="s">
        <v>837</v>
      </c>
      <c r="D118" s="186" t="s">
        <v>623</v>
      </c>
      <c r="E118" s="251">
        <f t="shared" si="14"/>
        <v>1743716.4912</v>
      </c>
      <c r="F118" s="251">
        <f t="shared" si="14"/>
        <v>470103.46919999999</v>
      </c>
      <c r="G118" s="251">
        <f t="shared" si="15"/>
        <v>1273613.0220000001</v>
      </c>
      <c r="H118" s="218">
        <f t="shared" si="16"/>
        <v>1821488.5799999998</v>
      </c>
      <c r="I118" s="218">
        <f t="shared" si="16"/>
        <v>497308.47119999997</v>
      </c>
      <c r="J118" s="218">
        <f t="shared" si="16"/>
        <v>1324180.1088</v>
      </c>
      <c r="K118" s="204">
        <f t="shared" si="16"/>
        <v>1733498.5031999999</v>
      </c>
      <c r="L118" s="218">
        <f t="shared" si="16"/>
        <v>540267.77159999998</v>
      </c>
      <c r="M118" s="218">
        <f t="shared" si="16"/>
        <v>1193230.7316000001</v>
      </c>
      <c r="N118" s="204">
        <f t="shared" si="16"/>
        <v>1822669.8947999999</v>
      </c>
      <c r="O118" s="99"/>
      <c r="S118" s="99"/>
      <c r="T118" s="99"/>
      <c r="U118" s="99"/>
      <c r="V118" s="99"/>
    </row>
    <row r="119" spans="2:22" ht="28.4" customHeight="1" x14ac:dyDescent="0.35">
      <c r="B119" s="186" t="s">
        <v>625</v>
      </c>
      <c r="C119" s="159" t="s">
        <v>838</v>
      </c>
      <c r="D119" s="186" t="s">
        <v>623</v>
      </c>
      <c r="E119" s="251">
        <f t="shared" si="14"/>
        <v>2229315.804</v>
      </c>
      <c r="F119" s="251">
        <f t="shared" si="14"/>
        <v>779118.82920000004</v>
      </c>
      <c r="G119" s="251">
        <f t="shared" si="15"/>
        <v>1450196.9748</v>
      </c>
      <c r="H119" s="218">
        <f t="shared" si="16"/>
        <v>2303934.7752</v>
      </c>
      <c r="I119" s="218">
        <f t="shared" si="16"/>
        <v>882408.96360000002</v>
      </c>
      <c r="J119" s="218">
        <f t="shared" si="16"/>
        <v>1421525.8115999999</v>
      </c>
      <c r="K119" s="204">
        <f t="shared" si="16"/>
        <v>2164571.8560000001</v>
      </c>
      <c r="L119" s="218">
        <f t="shared" si="16"/>
        <v>912788.21880000003</v>
      </c>
      <c r="M119" s="218">
        <f t="shared" si="16"/>
        <v>1251783.6372</v>
      </c>
      <c r="N119" s="204">
        <f t="shared" si="16"/>
        <v>2201419.2347999997</v>
      </c>
      <c r="O119" s="99"/>
      <c r="S119" s="99"/>
      <c r="T119" s="99"/>
      <c r="U119" s="99"/>
      <c r="V119" s="99"/>
    </row>
    <row r="120" spans="2:22" ht="28.4" customHeight="1" x14ac:dyDescent="0.35">
      <c r="B120" s="186" t="s">
        <v>626</v>
      </c>
      <c r="C120" s="159" t="s">
        <v>1345</v>
      </c>
      <c r="D120" s="186" t="s">
        <v>623</v>
      </c>
      <c r="E120" s="251">
        <f>986948044*0.0036</f>
        <v>3553012.9583999999</v>
      </c>
      <c r="F120" s="251">
        <f t="shared" ref="F120:F125" si="17">F130*0.0036</f>
        <v>851885.96039999998</v>
      </c>
      <c r="G120" s="251">
        <f t="shared" si="15"/>
        <v>2701126.9979999997</v>
      </c>
      <c r="H120" s="218">
        <f t="shared" si="16"/>
        <v>3883081.4208</v>
      </c>
      <c r="I120" s="218">
        <f t="shared" si="16"/>
        <v>953590.43519999995</v>
      </c>
      <c r="J120" s="218">
        <f t="shared" si="16"/>
        <v>2929490.9855999998</v>
      </c>
      <c r="K120" s="204">
        <f t="shared" si="16"/>
        <v>3704763.6252000001</v>
      </c>
      <c r="L120" s="218">
        <f t="shared" si="16"/>
        <v>986494.08959999995</v>
      </c>
      <c r="M120" s="218">
        <f t="shared" si="16"/>
        <v>2718269.5356000001</v>
      </c>
      <c r="N120" s="204">
        <f t="shared" si="16"/>
        <v>3857710.6727999998</v>
      </c>
      <c r="O120" s="99"/>
      <c r="S120" s="99"/>
      <c r="T120" s="99"/>
      <c r="U120" s="99"/>
      <c r="V120" s="99"/>
    </row>
    <row r="121" spans="2:22" ht="28.4" customHeight="1" x14ac:dyDescent="0.35">
      <c r="B121" s="320" t="s">
        <v>627</v>
      </c>
      <c r="C121" s="159" t="s">
        <v>840</v>
      </c>
      <c r="D121" s="186" t="s">
        <v>623</v>
      </c>
      <c r="E121" s="251">
        <f>E131*0.0036</f>
        <v>2475308.5128000001</v>
      </c>
      <c r="F121" s="251">
        <f t="shared" si="17"/>
        <v>802475.77679999999</v>
      </c>
      <c r="G121" s="251">
        <f t="shared" si="15"/>
        <v>1672832.736</v>
      </c>
      <c r="H121" s="218">
        <f t="shared" si="16"/>
        <v>2605562.1683999998</v>
      </c>
      <c r="I121" s="218">
        <f t="shared" si="16"/>
        <v>904064.82120000001</v>
      </c>
      <c r="J121" s="218">
        <f t="shared" si="16"/>
        <v>1701497.3472</v>
      </c>
      <c r="K121" s="204">
        <f t="shared" si="16"/>
        <v>2460139.3043999998</v>
      </c>
      <c r="L121" s="218">
        <f t="shared" si="16"/>
        <v>936169.89480000001</v>
      </c>
      <c r="M121" s="218">
        <f t="shared" si="16"/>
        <v>1523969.4095999999</v>
      </c>
      <c r="N121" s="204">
        <f t="shared" si="16"/>
        <v>2480339.4839999997</v>
      </c>
      <c r="O121" s="99"/>
      <c r="S121" s="99"/>
      <c r="T121" s="99"/>
      <c r="U121" s="99"/>
      <c r="V121" s="99"/>
    </row>
    <row r="122" spans="2:22" ht="28.4" customHeight="1" x14ac:dyDescent="0.35">
      <c r="B122" s="320" t="s">
        <v>628</v>
      </c>
      <c r="C122" s="159" t="s">
        <v>841</v>
      </c>
      <c r="D122" s="186" t="s">
        <v>623</v>
      </c>
      <c r="E122" s="251">
        <f>E132*0.0036</f>
        <v>931420.57679999992</v>
      </c>
      <c r="F122" s="251">
        <f t="shared" si="17"/>
        <v>23946.552</v>
      </c>
      <c r="G122" s="251">
        <f t="shared" si="15"/>
        <v>907474.0247999999</v>
      </c>
      <c r="H122" s="218">
        <f t="shared" si="16"/>
        <v>1127469.6576</v>
      </c>
      <c r="I122" s="218">
        <f t="shared" si="16"/>
        <v>20683.699199999999</v>
      </c>
      <c r="J122" s="218">
        <f t="shared" si="16"/>
        <v>1106785.9583999999</v>
      </c>
      <c r="K122" s="204">
        <f t="shared" si="16"/>
        <v>1117471.3056000001</v>
      </c>
      <c r="L122" s="218">
        <f t="shared" si="16"/>
        <v>27600.84</v>
      </c>
      <c r="M122" s="218">
        <f t="shared" si="16"/>
        <v>1089870.4656</v>
      </c>
      <c r="N122" s="204">
        <f t="shared" si="16"/>
        <v>1257125.4683999999</v>
      </c>
      <c r="O122" s="99"/>
      <c r="S122" s="99"/>
      <c r="T122" s="99"/>
      <c r="U122" s="99"/>
      <c r="V122" s="99"/>
    </row>
    <row r="123" spans="2:22" ht="28.4" customHeight="1" x14ac:dyDescent="0.35">
      <c r="B123" s="321" t="s">
        <v>629</v>
      </c>
      <c r="C123" s="159" t="s">
        <v>842</v>
      </c>
      <c r="D123" s="186" t="s">
        <v>623</v>
      </c>
      <c r="E123" s="251">
        <f>E133*0.0036</f>
        <v>128724.8796</v>
      </c>
      <c r="F123" s="251">
        <f t="shared" si="17"/>
        <v>19250.449199999999</v>
      </c>
      <c r="G123" s="251">
        <f t="shared" si="15"/>
        <v>109474.4304</v>
      </c>
      <c r="H123" s="218">
        <f t="shared" si="16"/>
        <v>113543.96399999999</v>
      </c>
      <c r="I123" s="218">
        <f t="shared" si="16"/>
        <v>14086.619999999999</v>
      </c>
      <c r="J123" s="218">
        <f t="shared" si="16"/>
        <v>99457.343999999997</v>
      </c>
      <c r="K123" s="204">
        <f t="shared" si="16"/>
        <v>112445.03879999999</v>
      </c>
      <c r="L123" s="218">
        <f t="shared" si="16"/>
        <v>21111.778728000001</v>
      </c>
      <c r="M123" s="218">
        <f t="shared" si="16"/>
        <v>91333.26007199999</v>
      </c>
      <c r="N123" s="204">
        <f t="shared" si="16"/>
        <v>120245.72039999999</v>
      </c>
      <c r="O123" s="99"/>
      <c r="S123" s="99"/>
      <c r="T123" s="99"/>
      <c r="U123" s="99"/>
      <c r="V123" s="99"/>
    </row>
    <row r="124" spans="2:22" ht="28.4" customHeight="1" x14ac:dyDescent="0.35">
      <c r="B124" s="321" t="s">
        <v>630</v>
      </c>
      <c r="C124" s="159" t="s">
        <v>843</v>
      </c>
      <c r="D124" s="186" t="s">
        <v>623</v>
      </c>
      <c r="E124" s="251">
        <f>E134*0.0036</f>
        <v>17558.9928</v>
      </c>
      <c r="F124" s="251">
        <f t="shared" si="17"/>
        <v>6213.1823999999997</v>
      </c>
      <c r="G124" s="251">
        <f t="shared" ref="G124:M124" si="18">G134*0.0036</f>
        <v>11345.8104</v>
      </c>
      <c r="H124" s="218">
        <f t="shared" si="18"/>
        <v>36505.631231999992</v>
      </c>
      <c r="I124" s="218">
        <f t="shared" si="18"/>
        <v>14755.2948</v>
      </c>
      <c r="J124" s="218">
        <f t="shared" si="18"/>
        <v>21750.336431999996</v>
      </c>
      <c r="K124" s="218">
        <f t="shared" si="18"/>
        <v>14707.9746</v>
      </c>
      <c r="L124" s="218">
        <f t="shared" si="18"/>
        <v>1611.576</v>
      </c>
      <c r="M124" s="218">
        <f t="shared" si="18"/>
        <v>13096.3986</v>
      </c>
      <c r="N124" s="218" t="s">
        <v>631</v>
      </c>
      <c r="O124" s="99"/>
      <c r="S124" s="99"/>
      <c r="T124" s="99"/>
      <c r="U124" s="99"/>
      <c r="V124" s="99"/>
    </row>
    <row r="125" spans="2:22" ht="28.4" customHeight="1" x14ac:dyDescent="0.35">
      <c r="B125" s="219" t="s">
        <v>632</v>
      </c>
      <c r="C125" s="158" t="s">
        <v>844</v>
      </c>
      <c r="D125" s="186" t="s">
        <v>623</v>
      </c>
      <c r="E125" s="251">
        <f>E135*0.0036</f>
        <v>715191.09479999996</v>
      </c>
      <c r="F125" s="251">
        <f t="shared" si="17"/>
        <v>363069.95759999997</v>
      </c>
      <c r="G125" s="251">
        <f t="shared" si="15"/>
        <v>352121.1372</v>
      </c>
      <c r="H125" s="218">
        <f t="shared" ref="H125:N125" si="19">H135*0.0036</f>
        <v>587419.38359999994</v>
      </c>
      <c r="I125" s="218">
        <f t="shared" si="19"/>
        <v>390460.16159999999</v>
      </c>
      <c r="J125" s="218">
        <f t="shared" si="19"/>
        <v>196959.22200000001</v>
      </c>
      <c r="K125" s="204">
        <f t="shared" si="19"/>
        <v>501251.95439999999</v>
      </c>
      <c r="L125" s="218">
        <f t="shared" si="19"/>
        <v>415296.47519999999</v>
      </c>
      <c r="M125" s="218">
        <f t="shared" si="19"/>
        <v>85955.479200000002</v>
      </c>
      <c r="N125" s="204">
        <f t="shared" si="19"/>
        <v>469925.43479999999</v>
      </c>
      <c r="O125" s="99"/>
      <c r="S125" s="99"/>
      <c r="T125" s="99"/>
      <c r="U125" s="99"/>
      <c r="V125" s="99"/>
    </row>
    <row r="126" spans="2:22" x14ac:dyDescent="0.25">
      <c r="R126" s="7"/>
    </row>
    <row r="127" spans="2:22" ht="67.5" x14ac:dyDescent="0.25">
      <c r="B127" s="186" t="s">
        <v>622</v>
      </c>
      <c r="C127" s="159" t="s">
        <v>845</v>
      </c>
      <c r="D127" s="186" t="s">
        <v>496</v>
      </c>
      <c r="E127" s="251">
        <v>1185612237</v>
      </c>
      <c r="F127" s="251">
        <v>337487755</v>
      </c>
      <c r="G127" s="251">
        <f>E127-F127</f>
        <v>848124482</v>
      </c>
      <c r="H127" s="218">
        <v>1241805779</v>
      </c>
      <c r="I127" s="218">
        <v>373347388</v>
      </c>
      <c r="J127" s="218">
        <f t="shared" ref="J127:J135" si="20">H127-I127</f>
        <v>868458391</v>
      </c>
      <c r="K127" s="204">
        <v>1168337660</v>
      </c>
      <c r="L127" s="218">
        <v>389386268</v>
      </c>
      <c r="M127" s="218">
        <f t="shared" ref="M127:M135" si="21">K127-L127</f>
        <v>778951392</v>
      </c>
      <c r="N127" s="204">
        <v>1202121141</v>
      </c>
      <c r="O127" s="99"/>
      <c r="P127" s="496" t="s">
        <v>1346</v>
      </c>
      <c r="Q127" s="450">
        <f>E132/1000</f>
        <v>258727.93799999999</v>
      </c>
      <c r="R127" s="451">
        <f t="shared" ref="R127:R133" si="22">Q127/$Q$135</f>
        <v>0.21822306628383506</v>
      </c>
      <c r="S127" s="99"/>
      <c r="T127" s="99"/>
      <c r="U127" s="99"/>
      <c r="V127" s="99"/>
    </row>
    <row r="128" spans="2:22" ht="94.5" x14ac:dyDescent="0.25">
      <c r="B128" s="186" t="s">
        <v>624</v>
      </c>
      <c r="C128" s="159" t="s">
        <v>846</v>
      </c>
      <c r="D128" s="186" t="s">
        <v>496</v>
      </c>
      <c r="E128" s="251">
        <v>484365692</v>
      </c>
      <c r="F128" s="251">
        <v>130584297</v>
      </c>
      <c r="G128" s="251">
        <f>E128-F128</f>
        <v>353781395</v>
      </c>
      <c r="H128" s="218">
        <v>505969050</v>
      </c>
      <c r="I128" s="218">
        <v>138141242</v>
      </c>
      <c r="J128" s="218">
        <f t="shared" si="20"/>
        <v>367827808</v>
      </c>
      <c r="K128" s="204">
        <v>481527362</v>
      </c>
      <c r="L128" s="218">
        <v>150074381</v>
      </c>
      <c r="M128" s="218">
        <f t="shared" si="21"/>
        <v>331452981</v>
      </c>
      <c r="N128" s="204">
        <v>506297193</v>
      </c>
      <c r="O128" s="99"/>
      <c r="P128" s="496" t="s">
        <v>1347</v>
      </c>
      <c r="Q128" s="450">
        <f>191804345/1000</f>
        <v>191804.345</v>
      </c>
      <c r="R128" s="451">
        <f t="shared" si="22"/>
        <v>0.16177662380033564</v>
      </c>
      <c r="S128" s="99"/>
      <c r="T128" s="99"/>
      <c r="U128" s="99"/>
      <c r="V128" s="99"/>
    </row>
    <row r="129" spans="2:25" ht="54" x14ac:dyDescent="0.25">
      <c r="B129" s="186" t="s">
        <v>625</v>
      </c>
      <c r="C129" s="159" t="s">
        <v>847</v>
      </c>
      <c r="D129" s="186" t="s">
        <v>496</v>
      </c>
      <c r="E129" s="251">
        <v>619254390</v>
      </c>
      <c r="F129" s="251">
        <v>216421897</v>
      </c>
      <c r="G129" s="251">
        <f>E129-F129</f>
        <v>402832493</v>
      </c>
      <c r="H129" s="218">
        <v>639981882</v>
      </c>
      <c r="I129" s="218">
        <v>245113601</v>
      </c>
      <c r="J129" s="218">
        <f t="shared" si="20"/>
        <v>394868281</v>
      </c>
      <c r="K129" s="204">
        <v>601269960</v>
      </c>
      <c r="L129" s="218">
        <v>253552283</v>
      </c>
      <c r="M129" s="218">
        <f t="shared" si="21"/>
        <v>347717677</v>
      </c>
      <c r="N129" s="204">
        <v>611505343</v>
      </c>
      <c r="O129" s="99"/>
      <c r="P129" s="496" t="s">
        <v>1348</v>
      </c>
      <c r="Q129" s="450">
        <f>6859848/1000</f>
        <v>6859.848</v>
      </c>
      <c r="R129" s="451">
        <f t="shared" si="22"/>
        <v>5.7859119365803987E-3</v>
      </c>
      <c r="S129" s="99"/>
      <c r="T129" s="99"/>
      <c r="U129" s="99"/>
      <c r="V129" s="99"/>
    </row>
    <row r="130" spans="2:25" ht="114.75" customHeight="1" x14ac:dyDescent="0.25">
      <c r="B130" s="186" t="s">
        <v>626</v>
      </c>
      <c r="C130" s="159" t="s">
        <v>848</v>
      </c>
      <c r="D130" s="186" t="s">
        <v>496</v>
      </c>
      <c r="E130" s="235">
        <v>986948044</v>
      </c>
      <c r="F130" s="251">
        <v>236634989</v>
      </c>
      <c r="G130" s="251">
        <f>986948044-F130</f>
        <v>750313055</v>
      </c>
      <c r="H130" s="218">
        <v>1078633728</v>
      </c>
      <c r="I130" s="218">
        <v>264886232</v>
      </c>
      <c r="J130" s="218">
        <f t="shared" si="20"/>
        <v>813747496</v>
      </c>
      <c r="K130" s="204">
        <v>1029101007</v>
      </c>
      <c r="L130" s="218">
        <v>274026136</v>
      </c>
      <c r="M130" s="218">
        <f t="shared" si="21"/>
        <v>755074871</v>
      </c>
      <c r="N130" s="204">
        <v>1071586298</v>
      </c>
      <c r="O130" s="99"/>
      <c r="P130" s="496" t="s">
        <v>1349</v>
      </c>
      <c r="Q130" s="450">
        <f>E129/1000</f>
        <v>619254.39</v>
      </c>
      <c r="R130" s="451">
        <f t="shared" si="22"/>
        <v>0.52230769061950255</v>
      </c>
      <c r="S130" s="99"/>
      <c r="T130" s="99"/>
      <c r="U130" s="99"/>
      <c r="V130" s="99"/>
    </row>
    <row r="131" spans="2:25" ht="54" x14ac:dyDescent="0.25">
      <c r="B131" s="320" t="s">
        <v>627</v>
      </c>
      <c r="C131" s="159" t="s">
        <v>840</v>
      </c>
      <c r="D131" s="186" t="s">
        <v>496</v>
      </c>
      <c r="E131" s="251">
        <v>687585698</v>
      </c>
      <c r="F131" s="251">
        <v>222909938</v>
      </c>
      <c r="G131" s="251">
        <f>E131-F131</f>
        <v>464675760</v>
      </c>
      <c r="H131" s="218">
        <v>723767269</v>
      </c>
      <c r="I131" s="218">
        <v>251129117</v>
      </c>
      <c r="J131" s="218">
        <f t="shared" si="20"/>
        <v>472638152</v>
      </c>
      <c r="K131" s="204">
        <v>683372029</v>
      </c>
      <c r="L131" s="218">
        <v>260047193</v>
      </c>
      <c r="M131" s="218">
        <f t="shared" si="21"/>
        <v>423324836</v>
      </c>
      <c r="N131" s="204">
        <v>688983190</v>
      </c>
      <c r="O131" s="99"/>
      <c r="P131" s="496" t="s">
        <v>1350</v>
      </c>
      <c r="Q131" s="450">
        <f>(E131-E129)/1000</f>
        <v>68331.308000000005</v>
      </c>
      <c r="R131" s="451">
        <f t="shared" si="22"/>
        <v>5.7633774188488099E-2</v>
      </c>
      <c r="S131" s="99"/>
      <c r="T131" s="99"/>
      <c r="U131" s="99"/>
      <c r="V131" s="99"/>
    </row>
    <row r="132" spans="2:25" ht="27" x14ac:dyDescent="0.25">
      <c r="B132" s="320" t="s">
        <v>628</v>
      </c>
      <c r="C132" s="159" t="s">
        <v>849</v>
      </c>
      <c r="D132" s="186" t="s">
        <v>496</v>
      </c>
      <c r="E132" s="251">
        <v>258727938</v>
      </c>
      <c r="F132" s="251">
        <v>6651820</v>
      </c>
      <c r="G132" s="251">
        <f>E132-F132</f>
        <v>252076118</v>
      </c>
      <c r="H132" s="218">
        <v>313186016</v>
      </c>
      <c r="I132" s="218">
        <v>5745472</v>
      </c>
      <c r="J132" s="218">
        <f t="shared" si="20"/>
        <v>307440544</v>
      </c>
      <c r="K132" s="204">
        <v>310408696</v>
      </c>
      <c r="L132" s="218">
        <v>7666900</v>
      </c>
      <c r="M132" s="218">
        <f t="shared" si="21"/>
        <v>302741796</v>
      </c>
      <c r="N132" s="204">
        <v>349201519</v>
      </c>
      <c r="O132" s="99"/>
      <c r="P132" s="496" t="s">
        <v>1351</v>
      </c>
      <c r="Q132" s="450">
        <f>E133/1000</f>
        <v>35756.911</v>
      </c>
      <c r="R132" s="451">
        <f t="shared" si="22"/>
        <v>3.0159026580493176E-2</v>
      </c>
      <c r="S132" s="99"/>
      <c r="T132" s="99"/>
      <c r="U132" s="99"/>
      <c r="V132" s="99"/>
    </row>
    <row r="133" spans="2:25" ht="40.5" x14ac:dyDescent="0.25">
      <c r="B133" s="321" t="s">
        <v>629</v>
      </c>
      <c r="C133" s="159" t="s">
        <v>850</v>
      </c>
      <c r="D133" s="186" t="s">
        <v>496</v>
      </c>
      <c r="E133" s="251">
        <v>35756911</v>
      </c>
      <c r="F133" s="251">
        <v>5347347</v>
      </c>
      <c r="G133" s="251">
        <f>E133-F133</f>
        <v>30409564</v>
      </c>
      <c r="H133" s="218">
        <v>31539990</v>
      </c>
      <c r="I133" s="218">
        <v>3912950</v>
      </c>
      <c r="J133" s="218">
        <f t="shared" si="20"/>
        <v>27627040</v>
      </c>
      <c r="K133" s="204">
        <v>31234733</v>
      </c>
      <c r="L133" s="218">
        <v>5864382.9800000004</v>
      </c>
      <c r="M133" s="218">
        <f t="shared" si="21"/>
        <v>25370350.02</v>
      </c>
      <c r="N133" s="204">
        <v>33401589</v>
      </c>
      <c r="O133" s="99"/>
      <c r="P133" s="496" t="s">
        <v>1352</v>
      </c>
      <c r="Q133" s="450">
        <f>E134/1000</f>
        <v>4877.4979999999996</v>
      </c>
      <c r="R133" s="451">
        <f t="shared" si="22"/>
        <v>4.1139065907651335E-3</v>
      </c>
      <c r="S133" s="99"/>
      <c r="T133" s="99"/>
      <c r="U133" s="99"/>
      <c r="V133" s="99"/>
    </row>
    <row r="134" spans="2:25" ht="33.75" customHeight="1" x14ac:dyDescent="0.25">
      <c r="B134" s="321" t="s">
        <v>630</v>
      </c>
      <c r="C134" s="159" t="s">
        <v>843</v>
      </c>
      <c r="D134" s="186" t="s">
        <v>496</v>
      </c>
      <c r="E134" s="251">
        <v>4877498</v>
      </c>
      <c r="F134" s="251">
        <v>1725884</v>
      </c>
      <c r="G134" s="251">
        <f>E134-F134</f>
        <v>3151614</v>
      </c>
      <c r="H134" s="218">
        <v>10140453.119999999</v>
      </c>
      <c r="I134" s="218">
        <v>4098693</v>
      </c>
      <c r="J134" s="218">
        <f>H134-I134</f>
        <v>6041760.1199999992</v>
      </c>
      <c r="K134" s="204">
        <v>4085548.5</v>
      </c>
      <c r="L134" s="218">
        <v>447660</v>
      </c>
      <c r="M134" s="218">
        <f>K134-L134</f>
        <v>3637888.5</v>
      </c>
      <c r="N134" s="322">
        <f>N130-N131-N132-N133</f>
        <v>0</v>
      </c>
      <c r="O134" s="99"/>
      <c r="P134" s="452"/>
      <c r="Q134" s="496"/>
      <c r="R134" s="453"/>
      <c r="S134" s="99"/>
      <c r="T134" s="99"/>
      <c r="U134" s="99"/>
      <c r="V134" s="99"/>
    </row>
    <row r="135" spans="2:25" ht="27" x14ac:dyDescent="0.25">
      <c r="B135" s="219" t="s">
        <v>632</v>
      </c>
      <c r="C135" s="159" t="s">
        <v>844</v>
      </c>
      <c r="D135" s="186" t="s">
        <v>496</v>
      </c>
      <c r="E135" s="251">
        <v>198664193</v>
      </c>
      <c r="F135" s="251">
        <v>100852766</v>
      </c>
      <c r="G135" s="251">
        <f>E135-F135</f>
        <v>97811427</v>
      </c>
      <c r="H135" s="218">
        <v>163172051</v>
      </c>
      <c r="I135" s="218">
        <v>108461156</v>
      </c>
      <c r="J135" s="218">
        <f t="shared" si="20"/>
        <v>54710895</v>
      </c>
      <c r="K135" s="204">
        <v>139236654</v>
      </c>
      <c r="L135" s="218">
        <v>115360132</v>
      </c>
      <c r="M135" s="218">
        <f t="shared" si="21"/>
        <v>23876522</v>
      </c>
      <c r="N135" s="204">
        <v>130534843</v>
      </c>
      <c r="O135" s="99"/>
      <c r="P135" s="496" t="s">
        <v>1353</v>
      </c>
      <c r="Q135" s="497">
        <f>SUM(Q127:Q133)</f>
        <v>1185612.2379999999</v>
      </c>
      <c r="R135" s="453">
        <f>SUM(R127:R134)</f>
        <v>1</v>
      </c>
      <c r="S135" s="99"/>
      <c r="T135" s="99"/>
      <c r="U135" s="99"/>
      <c r="V135" s="99"/>
    </row>
    <row r="137" spans="2:25" ht="40.5" x14ac:dyDescent="0.35">
      <c r="B137" s="219" t="s">
        <v>498</v>
      </c>
      <c r="C137" s="158" t="s">
        <v>851</v>
      </c>
      <c r="D137" s="186" t="s">
        <v>618</v>
      </c>
      <c r="E137" s="256">
        <f>E135/E128</f>
        <v>0.41015331242742104</v>
      </c>
      <c r="F137" s="256">
        <f>F135/F128</f>
        <v>0.77231924754321724</v>
      </c>
      <c r="G137" s="256">
        <f>G135/G128</f>
        <v>0.27647419672818013</v>
      </c>
      <c r="H137" s="220">
        <v>0.32269999999999999</v>
      </c>
      <c r="I137" s="220">
        <f>I135/I128</f>
        <v>0.78514681372272588</v>
      </c>
      <c r="J137" s="220">
        <f>J135/J128</f>
        <v>0.14874050794985028</v>
      </c>
      <c r="K137" s="220">
        <v>0.2893</v>
      </c>
      <c r="L137" s="220">
        <f>L135/L128</f>
        <v>0.76868637559131425</v>
      </c>
      <c r="M137" s="220">
        <f>M135/M128</f>
        <v>7.2035924757605369E-2</v>
      </c>
      <c r="N137" s="220">
        <v>0.25790000000000002</v>
      </c>
      <c r="O137" s="99"/>
      <c r="P137" s="99"/>
      <c r="R137" s="58">
        <f>21.8+16.2+0.6+52.2+5.8+3+0.4</f>
        <v>100.00000000000001</v>
      </c>
      <c r="S137" s="99"/>
      <c r="T137" s="99"/>
      <c r="U137" s="99"/>
      <c r="V137" s="99"/>
    </row>
    <row r="138" spans="2:25" x14ac:dyDescent="0.35">
      <c r="B138" s="117"/>
      <c r="C138" s="117"/>
      <c r="D138" s="118"/>
      <c r="E138" s="118"/>
      <c r="F138" s="118"/>
      <c r="G138" s="118"/>
      <c r="H138" s="119"/>
      <c r="I138" s="119"/>
      <c r="J138" s="119"/>
      <c r="K138" s="120"/>
      <c r="L138" s="120"/>
      <c r="M138" s="120"/>
      <c r="N138" s="99"/>
      <c r="O138" s="99"/>
      <c r="P138" s="99"/>
      <c r="S138" s="99"/>
      <c r="T138" s="99"/>
      <c r="U138" s="99"/>
      <c r="V138" s="99"/>
      <c r="W138" s="99"/>
      <c r="X138" s="99"/>
      <c r="Y138" s="99"/>
    </row>
    <row r="139" spans="2:25" ht="19.5" x14ac:dyDescent="0.35">
      <c r="B139" s="97"/>
      <c r="C139" s="97"/>
      <c r="D139" s="118"/>
      <c r="E139" s="145"/>
      <c r="F139" s="118"/>
      <c r="G139" s="118"/>
      <c r="H139" s="119"/>
      <c r="I139" s="119"/>
      <c r="J139" s="119"/>
      <c r="K139" s="120"/>
      <c r="L139" s="120"/>
      <c r="M139" s="120"/>
      <c r="N139" s="99"/>
      <c r="O139" s="99"/>
      <c r="P139" s="99"/>
      <c r="S139" s="99"/>
      <c r="T139" s="99"/>
      <c r="U139" s="99"/>
      <c r="V139" s="99"/>
      <c r="W139" s="99"/>
      <c r="X139" s="99"/>
      <c r="Y139" s="99"/>
    </row>
    <row r="140" spans="2:25" ht="19.5" x14ac:dyDescent="0.35">
      <c r="B140" s="241" t="s">
        <v>710</v>
      </c>
      <c r="C140" s="242" t="s">
        <v>852</v>
      </c>
      <c r="D140" s="258" t="s">
        <v>458</v>
      </c>
      <c r="E140" s="243" t="s">
        <v>462</v>
      </c>
    </row>
    <row r="141" spans="2:25" x14ac:dyDescent="0.35">
      <c r="B141" s="186" t="s">
        <v>715</v>
      </c>
      <c r="C141" s="159" t="s">
        <v>853</v>
      </c>
      <c r="D141" s="186" t="s">
        <v>716</v>
      </c>
      <c r="E141" s="257">
        <v>0</v>
      </c>
    </row>
    <row r="147" spans="8:14" x14ac:dyDescent="0.35">
      <c r="H147" s="99"/>
    </row>
    <row r="148" spans="8:14" x14ac:dyDescent="0.25">
      <c r="L148" s="99"/>
      <c r="N148" s="7"/>
    </row>
  </sheetData>
  <mergeCells count="18">
    <mergeCell ref="E115:G115"/>
    <mergeCell ref="H115:J115"/>
    <mergeCell ref="K115:M115"/>
    <mergeCell ref="G45:I45"/>
    <mergeCell ref="G107:I107"/>
    <mergeCell ref="J107:O107"/>
    <mergeCell ref="E109:G109"/>
    <mergeCell ref="H109:J109"/>
    <mergeCell ref="K109:M109"/>
    <mergeCell ref="B2:N2"/>
    <mergeCell ref="B4:L4"/>
    <mergeCell ref="G6:I6"/>
    <mergeCell ref="E8:G8"/>
    <mergeCell ref="H8:J8"/>
    <mergeCell ref="K8:M8"/>
    <mergeCell ref="B8:B9"/>
    <mergeCell ref="C8:C9"/>
    <mergeCell ref="D8:D9"/>
  </mergeCells>
  <pageMargins left="0.25" right="0.25" top="0.75" bottom="0.75" header="0.3" footer="0.3"/>
  <pageSetup paperSize="9" scale="30" fitToHeight="0" orientation="landscape"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C42C0-729B-4E4A-A86E-48E914A1F7E5}">
  <sheetPr codeName="Sheet23"/>
  <dimension ref="A1:R182"/>
  <sheetViews>
    <sheetView workbookViewId="0"/>
  </sheetViews>
  <sheetFormatPr defaultColWidth="8.54296875" defaultRowHeight="13.5" x14ac:dyDescent="0.25"/>
  <cols>
    <col min="1" max="1" width="21.453125" style="2" customWidth="1"/>
    <col min="2" max="2" width="52.54296875" style="9" customWidth="1"/>
    <col min="3" max="3" width="83.453125" style="9" customWidth="1"/>
    <col min="4" max="4" width="14.54296875" style="9" customWidth="1"/>
    <col min="5" max="6" width="15.453125" style="9" customWidth="1"/>
    <col min="7" max="8" width="14.54296875" style="9" customWidth="1"/>
    <col min="9" max="9" width="16.54296875" style="9" customWidth="1"/>
    <col min="10" max="13" width="14.54296875" style="9" customWidth="1"/>
    <col min="14" max="14" width="13.453125" style="9" customWidth="1"/>
    <col min="15" max="15" width="9.453125" style="9" customWidth="1"/>
    <col min="16" max="18" width="9.453125" style="2" customWidth="1"/>
    <col min="19" max="16384" width="8.54296875" style="2"/>
  </cols>
  <sheetData>
    <row r="1" spans="1:18" ht="34" x14ac:dyDescent="0.6">
      <c r="A1" s="60"/>
    </row>
    <row r="2" spans="1:18" ht="34" x14ac:dyDescent="0.6">
      <c r="A2" s="60"/>
      <c r="B2" s="1890" t="s">
        <v>26</v>
      </c>
      <c r="C2" s="1890"/>
      <c r="D2" s="1890"/>
      <c r="E2" s="1890"/>
      <c r="F2" s="1890"/>
      <c r="G2" s="1890"/>
      <c r="H2" s="1890"/>
      <c r="I2" s="1890"/>
      <c r="J2" s="1890"/>
      <c r="K2" s="1890"/>
      <c r="L2" s="1890"/>
      <c r="M2" s="1890"/>
      <c r="N2" s="1890"/>
      <c r="O2" s="1890"/>
      <c r="P2" s="1890"/>
      <c r="Q2" s="1890"/>
      <c r="R2" s="1890"/>
    </row>
    <row r="4" spans="1:18" ht="22.5" customHeight="1" x14ac:dyDescent="0.25">
      <c r="B4" s="1967" t="s">
        <v>1354</v>
      </c>
      <c r="C4" s="1967"/>
      <c r="D4" s="1967"/>
      <c r="E4" s="1967"/>
      <c r="F4" s="1967"/>
      <c r="G4" s="1967"/>
      <c r="H4" s="1967"/>
      <c r="I4" s="1967"/>
      <c r="J4" s="1967"/>
      <c r="K4" s="1967"/>
      <c r="L4" s="1967"/>
      <c r="M4" s="1967"/>
      <c r="N4" s="1967"/>
      <c r="O4" s="1967"/>
    </row>
    <row r="5" spans="1:18" x14ac:dyDescent="0.25">
      <c r="B5" s="61"/>
      <c r="C5" s="61"/>
      <c r="D5" s="61"/>
      <c r="E5" s="61"/>
      <c r="F5" s="61"/>
      <c r="G5" s="61"/>
      <c r="H5" s="61"/>
      <c r="I5" s="61"/>
      <c r="J5" s="61"/>
      <c r="K5" s="61"/>
      <c r="L5" s="61"/>
      <c r="M5" s="61"/>
      <c r="N5" s="61"/>
      <c r="O5" s="61"/>
    </row>
    <row r="6" spans="1:18" ht="17.899999999999999" customHeight="1" x14ac:dyDescent="0.25">
      <c r="B6" s="282" t="s">
        <v>1355</v>
      </c>
      <c r="C6" s="465" t="s">
        <v>1356</v>
      </c>
      <c r="D6" s="1968" t="s">
        <v>462</v>
      </c>
      <c r="E6" s="1968"/>
      <c r="F6" s="1968"/>
      <c r="G6" s="1968" t="s">
        <v>463</v>
      </c>
      <c r="H6" s="1968"/>
      <c r="I6" s="1968"/>
      <c r="J6" s="1968" t="s">
        <v>464</v>
      </c>
      <c r="K6" s="1968"/>
      <c r="L6" s="1969"/>
      <c r="M6" s="1970" t="s">
        <v>1357</v>
      </c>
      <c r="N6" s="1970" t="s">
        <v>1358</v>
      </c>
      <c r="O6" s="61"/>
      <c r="P6" s="61"/>
    </row>
    <row r="7" spans="1:18" ht="31.4" customHeight="1" x14ac:dyDescent="0.25">
      <c r="A7" s="9"/>
      <c r="B7" s="283" t="s">
        <v>905</v>
      </c>
      <c r="C7" s="284" t="s">
        <v>1359</v>
      </c>
      <c r="D7" s="285" t="s">
        <v>906</v>
      </c>
      <c r="E7" s="285" t="s">
        <v>907</v>
      </c>
      <c r="F7" s="285" t="s">
        <v>757</v>
      </c>
      <c r="G7" s="285" t="s">
        <v>906</v>
      </c>
      <c r="H7" s="285" t="s">
        <v>907</v>
      </c>
      <c r="I7" s="285" t="s">
        <v>757</v>
      </c>
      <c r="J7" s="285" t="s">
        <v>906</v>
      </c>
      <c r="K7" s="285" t="s">
        <v>907</v>
      </c>
      <c r="L7" s="319" t="s">
        <v>757</v>
      </c>
      <c r="M7" s="1971"/>
      <c r="N7" s="1971"/>
      <c r="O7" s="91" t="s">
        <v>935</v>
      </c>
    </row>
    <row r="8" spans="1:18" x14ac:dyDescent="0.25">
      <c r="B8" s="191" t="s">
        <v>910</v>
      </c>
      <c r="C8" s="469"/>
      <c r="D8" s="281"/>
      <c r="E8" s="281"/>
      <c r="F8" s="281"/>
      <c r="G8" s="281"/>
      <c r="H8" s="281"/>
      <c r="I8" s="281"/>
      <c r="J8" s="281"/>
      <c r="K8" s="281"/>
      <c r="L8" s="281"/>
      <c r="M8" s="340"/>
      <c r="N8" s="91"/>
      <c r="O8" s="91"/>
    </row>
    <row r="9" spans="1:18" x14ac:dyDescent="0.25">
      <c r="B9" s="286" t="s">
        <v>911</v>
      </c>
      <c r="C9" s="1934" t="s">
        <v>1360</v>
      </c>
      <c r="D9" s="468">
        <v>1116</v>
      </c>
      <c r="E9" s="468">
        <v>2798</v>
      </c>
      <c r="F9" s="468">
        <f>SUM(D9:E9)</f>
        <v>3914</v>
      </c>
      <c r="G9" s="1922">
        <v>2333</v>
      </c>
      <c r="H9" s="1922">
        <v>4901</v>
      </c>
      <c r="I9" s="1922">
        <f>SUM(G9:H9)</f>
        <v>7234</v>
      </c>
      <c r="J9" s="1922">
        <v>2344</v>
      </c>
      <c r="K9" s="1922">
        <v>5229</v>
      </c>
      <c r="L9" s="1922">
        <f>J9+K9</f>
        <v>7573</v>
      </c>
      <c r="M9" s="339">
        <f t="shared" ref="M9:M14" si="0">D9/F9</f>
        <v>0.28513030148185997</v>
      </c>
      <c r="N9" s="1856"/>
      <c r="O9" s="1856"/>
      <c r="P9" s="2" t="str">
        <f>B9</f>
        <v xml:space="preserve">UK </v>
      </c>
      <c r="Q9" s="88">
        <f>F9+F16</f>
        <v>4079</v>
      </c>
    </row>
    <row r="10" spans="1:18" x14ac:dyDescent="0.25">
      <c r="B10" s="286" t="s">
        <v>912</v>
      </c>
      <c r="C10" s="1934"/>
      <c r="D10" s="468">
        <v>1088</v>
      </c>
      <c r="E10" s="468">
        <v>1602</v>
      </c>
      <c r="F10" s="468">
        <f>SUM(D10:E10)</f>
        <v>2690</v>
      </c>
      <c r="G10" s="1922"/>
      <c r="H10" s="1922"/>
      <c r="I10" s="1922"/>
      <c r="J10" s="1922"/>
      <c r="K10" s="1922"/>
      <c r="L10" s="1922"/>
      <c r="M10" s="339">
        <f t="shared" si="0"/>
        <v>0.40446096654275093</v>
      </c>
      <c r="N10" s="1960"/>
      <c r="O10" s="1960"/>
      <c r="P10" s="2" t="str">
        <f>B10</f>
        <v>Rest of Europe</v>
      </c>
      <c r="Q10" s="88">
        <f>F10+F17</f>
        <v>2858</v>
      </c>
    </row>
    <row r="11" spans="1:18" x14ac:dyDescent="0.25">
      <c r="B11" s="286" t="s">
        <v>913</v>
      </c>
      <c r="C11" s="1934"/>
      <c r="D11" s="468">
        <v>554</v>
      </c>
      <c r="E11" s="468">
        <v>1606</v>
      </c>
      <c r="F11" s="468">
        <f>SUM(D11:E11)</f>
        <v>2160</v>
      </c>
      <c r="G11" s="468">
        <v>685</v>
      </c>
      <c r="H11" s="468">
        <v>2076</v>
      </c>
      <c r="I11" s="468">
        <f>SUM(G11:H11)</f>
        <v>2761</v>
      </c>
      <c r="J11" s="468">
        <v>660</v>
      </c>
      <c r="K11" s="468">
        <v>2078</v>
      </c>
      <c r="L11" s="468">
        <f>J11+K11</f>
        <v>2738</v>
      </c>
      <c r="M11" s="339">
        <f t="shared" si="0"/>
        <v>0.25648148148148148</v>
      </c>
      <c r="N11" s="93"/>
      <c r="O11" s="93"/>
      <c r="P11" s="2" t="str">
        <f>B11</f>
        <v>North America</v>
      </c>
      <c r="Q11" s="88">
        <f>F11+F18</f>
        <v>2186</v>
      </c>
    </row>
    <row r="12" spans="1:18" x14ac:dyDescent="0.25">
      <c r="B12" s="286" t="s">
        <v>914</v>
      </c>
      <c r="C12" s="1934"/>
      <c r="D12" s="468">
        <v>537</v>
      </c>
      <c r="E12" s="468">
        <v>1902</v>
      </c>
      <c r="F12" s="468">
        <f>SUM(D12:E12)</f>
        <v>2439</v>
      </c>
      <c r="G12" s="468">
        <v>510</v>
      </c>
      <c r="H12" s="468">
        <v>1965</v>
      </c>
      <c r="I12" s="468">
        <f>SUM(G12:H12)</f>
        <v>2475</v>
      </c>
      <c r="J12" s="468">
        <v>441</v>
      </c>
      <c r="K12" s="468">
        <v>1913</v>
      </c>
      <c r="L12" s="468">
        <f>J12+K12</f>
        <v>2354</v>
      </c>
      <c r="M12" s="339">
        <f t="shared" si="0"/>
        <v>0.22017220172201721</v>
      </c>
      <c r="N12" s="93"/>
      <c r="O12" s="93"/>
      <c r="P12" s="2" t="str">
        <f>B12</f>
        <v>Asia</v>
      </c>
      <c r="Q12" s="88">
        <f>F12+F19</f>
        <v>2459</v>
      </c>
    </row>
    <row r="13" spans="1:18" x14ac:dyDescent="0.25">
      <c r="B13" s="286" t="s">
        <v>915</v>
      </c>
      <c r="C13" s="1934"/>
      <c r="D13" s="468">
        <v>280</v>
      </c>
      <c r="E13" s="468">
        <v>701</v>
      </c>
      <c r="F13" s="468">
        <f>SUM(D13:E13)</f>
        <v>981</v>
      </c>
      <c r="G13" s="468">
        <v>200</v>
      </c>
      <c r="H13" s="468">
        <v>410</v>
      </c>
      <c r="I13" s="468">
        <f>SUM(G13:H13)</f>
        <v>610</v>
      </c>
      <c r="J13" s="468">
        <v>198</v>
      </c>
      <c r="K13" s="468">
        <v>396</v>
      </c>
      <c r="L13" s="468">
        <f>J13+K13</f>
        <v>594</v>
      </c>
      <c r="M13" s="339">
        <f t="shared" si="0"/>
        <v>0.2854230377166157</v>
      </c>
      <c r="N13" s="93"/>
      <c r="O13" s="93"/>
      <c r="P13" s="2" t="str">
        <f>B13</f>
        <v>Rest of World</v>
      </c>
      <c r="Q13" s="88">
        <f>F13+F20</f>
        <v>1056</v>
      </c>
    </row>
    <row r="14" spans="1:18" x14ac:dyDescent="0.25">
      <c r="B14" s="420" t="s">
        <v>916</v>
      </c>
      <c r="C14" s="1934"/>
      <c r="D14" s="468">
        <f t="shared" ref="D14:L14" si="1">SUM(D9:D13)</f>
        <v>3575</v>
      </c>
      <c r="E14" s="468">
        <f t="shared" si="1"/>
        <v>8609</v>
      </c>
      <c r="F14" s="468">
        <f t="shared" si="1"/>
        <v>12184</v>
      </c>
      <c r="G14" s="468">
        <f t="shared" si="1"/>
        <v>3728</v>
      </c>
      <c r="H14" s="468">
        <f t="shared" si="1"/>
        <v>9352</v>
      </c>
      <c r="I14" s="468">
        <f t="shared" si="1"/>
        <v>13080</v>
      </c>
      <c r="J14" s="468">
        <f t="shared" si="1"/>
        <v>3643</v>
      </c>
      <c r="K14" s="468">
        <f t="shared" si="1"/>
        <v>9616</v>
      </c>
      <c r="L14" s="468">
        <f t="shared" si="1"/>
        <v>13259</v>
      </c>
      <c r="M14" s="339">
        <f t="shared" si="0"/>
        <v>0.29341759684832569</v>
      </c>
      <c r="N14" s="94"/>
      <c r="O14" s="94"/>
      <c r="Q14" s="88"/>
    </row>
    <row r="15" spans="1:18" x14ac:dyDescent="0.25">
      <c r="B15" s="324" t="s">
        <v>917</v>
      </c>
      <c r="C15" s="330"/>
      <c r="D15" s="331"/>
      <c r="E15" s="331"/>
      <c r="F15" s="331"/>
      <c r="G15" s="331"/>
      <c r="H15" s="331"/>
      <c r="I15" s="331"/>
      <c r="J15" s="331"/>
      <c r="K15" s="331"/>
      <c r="L15" s="331"/>
      <c r="M15" s="339"/>
      <c r="N15" s="91"/>
      <c r="O15" s="91"/>
    </row>
    <row r="16" spans="1:18" ht="14.5" x14ac:dyDescent="0.35">
      <c r="B16" s="332" t="s">
        <v>911</v>
      </c>
      <c r="C16" s="1964" t="s">
        <v>1361</v>
      </c>
      <c r="D16" s="466">
        <v>64</v>
      </c>
      <c r="E16" s="466">
        <v>101</v>
      </c>
      <c r="F16" s="466">
        <f>SUM(D16:E16)</f>
        <v>165</v>
      </c>
      <c r="G16" s="1966">
        <v>102</v>
      </c>
      <c r="H16" s="1966">
        <v>104</v>
      </c>
      <c r="I16" s="1966">
        <f>SUM(G16:H16)</f>
        <v>206</v>
      </c>
      <c r="J16" s="1966">
        <v>103</v>
      </c>
      <c r="K16" s="1966">
        <v>154</v>
      </c>
      <c r="L16" s="1966">
        <f>J16+K16</f>
        <v>257</v>
      </c>
      <c r="M16" s="339">
        <f t="shared" ref="M16:M21" si="2">D16/F16</f>
        <v>0.38787878787878788</v>
      </c>
      <c r="N16" s="91"/>
      <c r="O16" s="91"/>
      <c r="P16" t="s">
        <v>918</v>
      </c>
      <c r="Q16" s="374">
        <v>0.54900000000000004</v>
      </c>
      <c r="R16" s="375">
        <v>0.55000000000000004</v>
      </c>
    </row>
    <row r="17" spans="1:18" x14ac:dyDescent="0.25">
      <c r="B17" s="332" t="s">
        <v>912</v>
      </c>
      <c r="C17" s="1964"/>
      <c r="D17" s="466">
        <v>77</v>
      </c>
      <c r="E17" s="466">
        <v>91</v>
      </c>
      <c r="F17" s="466">
        <f>SUM(D17:E17)</f>
        <v>168</v>
      </c>
      <c r="G17" s="1966"/>
      <c r="H17" s="1966"/>
      <c r="I17" s="1966"/>
      <c r="J17" s="1966"/>
      <c r="K17" s="1966"/>
      <c r="L17" s="1966"/>
      <c r="M17" s="339">
        <f t="shared" si="2"/>
        <v>0.45833333333333331</v>
      </c>
      <c r="N17" s="92"/>
      <c r="O17" s="92"/>
      <c r="P17" s="2" t="s">
        <v>919</v>
      </c>
      <c r="Q17" s="374">
        <v>8.3000000000000004E-2</v>
      </c>
      <c r="R17" s="375">
        <v>0.08</v>
      </c>
    </row>
    <row r="18" spans="1:18" x14ac:dyDescent="0.25">
      <c r="B18" s="332" t="s">
        <v>913</v>
      </c>
      <c r="C18" s="1964"/>
      <c r="D18" s="466">
        <v>13</v>
      </c>
      <c r="E18" s="466">
        <v>13</v>
      </c>
      <c r="F18" s="466">
        <f>SUM(D18:E18)</f>
        <v>26</v>
      </c>
      <c r="G18" s="466">
        <v>30</v>
      </c>
      <c r="H18" s="466">
        <v>44</v>
      </c>
      <c r="I18" s="466">
        <f>SUM(G18:H18)</f>
        <v>74</v>
      </c>
      <c r="J18" s="466">
        <v>4</v>
      </c>
      <c r="K18" s="466">
        <v>51</v>
      </c>
      <c r="L18" s="466">
        <f>J18+K18</f>
        <v>55</v>
      </c>
      <c r="M18" s="339">
        <f t="shared" si="2"/>
        <v>0.5</v>
      </c>
      <c r="N18" s="92"/>
      <c r="O18" s="92"/>
      <c r="P18" s="2" t="s">
        <v>920</v>
      </c>
      <c r="Q18" s="374">
        <v>0.111</v>
      </c>
      <c r="R18" s="375">
        <v>0.11</v>
      </c>
    </row>
    <row r="19" spans="1:18" x14ac:dyDescent="0.25">
      <c r="B19" s="332" t="s">
        <v>914</v>
      </c>
      <c r="C19" s="1964"/>
      <c r="D19" s="466">
        <v>10</v>
      </c>
      <c r="E19" s="466">
        <v>10</v>
      </c>
      <c r="F19" s="466">
        <f>SUM(D19:E19)</f>
        <v>20</v>
      </c>
      <c r="G19" s="466">
        <v>10</v>
      </c>
      <c r="H19" s="466">
        <v>12</v>
      </c>
      <c r="I19" s="466">
        <f>SUM(G19:H19)</f>
        <v>22</v>
      </c>
      <c r="J19" s="466">
        <v>14</v>
      </c>
      <c r="K19" s="466">
        <v>13</v>
      </c>
      <c r="L19" s="466">
        <f>J19+K19</f>
        <v>27</v>
      </c>
      <c r="M19" s="339">
        <f t="shared" si="2"/>
        <v>0.5</v>
      </c>
      <c r="N19" s="92"/>
      <c r="O19" s="92"/>
      <c r="P19" s="2" t="s">
        <v>913</v>
      </c>
      <c r="Q19" s="374">
        <v>0.17299999999999999</v>
      </c>
      <c r="R19" s="375">
        <v>0.17</v>
      </c>
    </row>
    <row r="20" spans="1:18" x14ac:dyDescent="0.25">
      <c r="B20" s="332" t="s">
        <v>915</v>
      </c>
      <c r="C20" s="1964"/>
      <c r="D20" s="466">
        <v>34</v>
      </c>
      <c r="E20" s="466">
        <v>41</v>
      </c>
      <c r="F20" s="466">
        <f>SUM(D20:E20)</f>
        <v>75</v>
      </c>
      <c r="G20" s="466">
        <v>28</v>
      </c>
      <c r="H20" s="466">
        <v>20</v>
      </c>
      <c r="I20" s="466">
        <f>SUM(G20:H20)</f>
        <v>48</v>
      </c>
      <c r="J20" s="466">
        <v>19</v>
      </c>
      <c r="K20" s="466">
        <v>24</v>
      </c>
      <c r="L20" s="466">
        <f>J20+K20</f>
        <v>43</v>
      </c>
      <c r="M20" s="339">
        <f t="shared" si="2"/>
        <v>0.45333333333333331</v>
      </c>
      <c r="N20" s="92"/>
      <c r="O20" s="92"/>
      <c r="P20" s="2" t="s">
        <v>915</v>
      </c>
      <c r="Q20" s="374">
        <v>8.4000000000000005E-2</v>
      </c>
      <c r="R20" s="375">
        <v>0.09</v>
      </c>
    </row>
    <row r="21" spans="1:18" x14ac:dyDescent="0.25">
      <c r="B21" s="419" t="s">
        <v>916</v>
      </c>
      <c r="C21" s="1965"/>
      <c r="D21" s="409">
        <f t="shared" ref="D21:K21" si="3">SUM(D16:D20)</f>
        <v>198</v>
      </c>
      <c r="E21" s="409">
        <f t="shared" si="3"/>
        <v>256</v>
      </c>
      <c r="F21" s="409">
        <f t="shared" si="3"/>
        <v>454</v>
      </c>
      <c r="G21" s="409">
        <f t="shared" si="3"/>
        <v>170</v>
      </c>
      <c r="H21" s="409">
        <f t="shared" si="3"/>
        <v>180</v>
      </c>
      <c r="I21" s="409">
        <f t="shared" si="3"/>
        <v>350</v>
      </c>
      <c r="J21" s="409">
        <f t="shared" si="3"/>
        <v>140</v>
      </c>
      <c r="K21" s="409">
        <f t="shared" si="3"/>
        <v>242</v>
      </c>
      <c r="L21" s="409">
        <f>J21+K21</f>
        <v>382</v>
      </c>
      <c r="M21" s="410">
        <f t="shared" si="2"/>
        <v>0.43612334801762115</v>
      </c>
      <c r="N21" s="61"/>
      <c r="O21" s="61"/>
      <c r="Q21" s="374">
        <f>SUM(Q16:Q20)</f>
        <v>0.99999999999999989</v>
      </c>
      <c r="R21" s="338">
        <f>SUM(R16:R20)</f>
        <v>1</v>
      </c>
    </row>
    <row r="22" spans="1:18" x14ac:dyDescent="0.25">
      <c r="B22" s="412" t="s">
        <v>923</v>
      </c>
      <c r="C22" s="413"/>
      <c r="D22" s="414"/>
      <c r="E22" s="414"/>
      <c r="F22" s="414"/>
      <c r="G22" s="414"/>
      <c r="H22" s="414"/>
      <c r="I22" s="414"/>
      <c r="J22" s="414"/>
      <c r="K22" s="414"/>
      <c r="L22" s="414"/>
      <c r="M22" s="414"/>
      <c r="N22" s="61"/>
      <c r="O22" s="61"/>
    </row>
    <row r="23" spans="1:18" x14ac:dyDescent="0.25">
      <c r="B23" s="415" t="s">
        <v>911</v>
      </c>
      <c r="C23" s="1963" t="s">
        <v>1362</v>
      </c>
      <c r="D23" s="426">
        <f t="shared" ref="D23:L23" si="4">D9+D16</f>
        <v>1180</v>
      </c>
      <c r="E23" s="426">
        <f t="shared" si="4"/>
        <v>2899</v>
      </c>
      <c r="F23" s="426">
        <f t="shared" si="4"/>
        <v>4079</v>
      </c>
      <c r="G23" s="1958">
        <f t="shared" si="4"/>
        <v>2435</v>
      </c>
      <c r="H23" s="1958">
        <f t="shared" si="4"/>
        <v>5005</v>
      </c>
      <c r="I23" s="1958">
        <f t="shared" si="4"/>
        <v>7440</v>
      </c>
      <c r="J23" s="1958">
        <f t="shared" si="4"/>
        <v>2447</v>
      </c>
      <c r="K23" s="1958">
        <f t="shared" si="4"/>
        <v>5383</v>
      </c>
      <c r="L23" s="1958">
        <f t="shared" si="4"/>
        <v>7830</v>
      </c>
      <c r="M23" s="417">
        <f t="shared" ref="M23:M28" si="5">D23/F23</f>
        <v>0.28928658985045352</v>
      </c>
      <c r="N23" s="61"/>
      <c r="O23" s="61"/>
    </row>
    <row r="24" spans="1:18" x14ac:dyDescent="0.25">
      <c r="B24" s="415" t="s">
        <v>912</v>
      </c>
      <c r="C24" s="1963"/>
      <c r="D24" s="426">
        <f t="shared" ref="D24:F27" si="6">D10+D17</f>
        <v>1165</v>
      </c>
      <c r="E24" s="426">
        <f t="shared" si="6"/>
        <v>1693</v>
      </c>
      <c r="F24" s="426">
        <f t="shared" si="6"/>
        <v>2858</v>
      </c>
      <c r="G24" s="1959"/>
      <c r="H24" s="1959"/>
      <c r="I24" s="1959"/>
      <c r="J24" s="1959"/>
      <c r="K24" s="1959"/>
      <c r="L24" s="1959"/>
      <c r="M24" s="417">
        <f t="shared" si="5"/>
        <v>0.40762771168649403</v>
      </c>
      <c r="N24" s="61"/>
      <c r="O24" s="61"/>
    </row>
    <row r="25" spans="1:18" x14ac:dyDescent="0.25">
      <c r="B25" s="415" t="s">
        <v>913</v>
      </c>
      <c r="C25" s="1963"/>
      <c r="D25" s="426">
        <f t="shared" si="6"/>
        <v>567</v>
      </c>
      <c r="E25" s="426">
        <f t="shared" si="6"/>
        <v>1619</v>
      </c>
      <c r="F25" s="426">
        <f t="shared" si="6"/>
        <v>2186</v>
      </c>
      <c r="G25" s="426">
        <f t="shared" ref="G25:L27" si="7">G11+G18</f>
        <v>715</v>
      </c>
      <c r="H25" s="426">
        <f t="shared" si="7"/>
        <v>2120</v>
      </c>
      <c r="I25" s="426">
        <f t="shared" si="7"/>
        <v>2835</v>
      </c>
      <c r="J25" s="426">
        <f t="shared" si="7"/>
        <v>664</v>
      </c>
      <c r="K25" s="426">
        <f t="shared" si="7"/>
        <v>2129</v>
      </c>
      <c r="L25" s="426">
        <f t="shared" si="7"/>
        <v>2793</v>
      </c>
      <c r="M25" s="417">
        <f t="shared" si="5"/>
        <v>0.25937785910338518</v>
      </c>
      <c r="N25" s="61"/>
      <c r="O25" s="61"/>
    </row>
    <row r="26" spans="1:18" x14ac:dyDescent="0.25">
      <c r="B26" s="415" t="s">
        <v>914</v>
      </c>
      <c r="C26" s="1963"/>
      <c r="D26" s="426">
        <f t="shared" si="6"/>
        <v>547</v>
      </c>
      <c r="E26" s="426">
        <f t="shared" si="6"/>
        <v>1912</v>
      </c>
      <c r="F26" s="426">
        <f t="shared" si="6"/>
        <v>2459</v>
      </c>
      <c r="G26" s="426">
        <f t="shared" si="7"/>
        <v>520</v>
      </c>
      <c r="H26" s="426">
        <f t="shared" si="7"/>
        <v>1977</v>
      </c>
      <c r="I26" s="426">
        <f t="shared" si="7"/>
        <v>2497</v>
      </c>
      <c r="J26" s="426">
        <f t="shared" si="7"/>
        <v>455</v>
      </c>
      <c r="K26" s="426">
        <f t="shared" si="7"/>
        <v>1926</v>
      </c>
      <c r="L26" s="426">
        <f t="shared" si="7"/>
        <v>2381</v>
      </c>
      <c r="M26" s="417">
        <f t="shared" si="5"/>
        <v>0.22244814965433102</v>
      </c>
      <c r="N26" s="61"/>
      <c r="O26" s="61"/>
    </row>
    <row r="27" spans="1:18" x14ac:dyDescent="0.25">
      <c r="B27" s="415" t="s">
        <v>915</v>
      </c>
      <c r="C27" s="1963"/>
      <c r="D27" s="426">
        <f t="shared" si="6"/>
        <v>314</v>
      </c>
      <c r="E27" s="426">
        <f t="shared" si="6"/>
        <v>742</v>
      </c>
      <c r="F27" s="426">
        <f t="shared" si="6"/>
        <v>1056</v>
      </c>
      <c r="G27" s="426">
        <f t="shared" si="7"/>
        <v>228</v>
      </c>
      <c r="H27" s="426">
        <f t="shared" si="7"/>
        <v>430</v>
      </c>
      <c r="I27" s="426">
        <f t="shared" si="7"/>
        <v>658</v>
      </c>
      <c r="J27" s="426">
        <f t="shared" si="7"/>
        <v>217</v>
      </c>
      <c r="K27" s="426">
        <f t="shared" si="7"/>
        <v>420</v>
      </c>
      <c r="L27" s="426">
        <f t="shared" si="7"/>
        <v>637</v>
      </c>
      <c r="M27" s="417">
        <f t="shared" si="5"/>
        <v>0.29734848484848486</v>
      </c>
      <c r="N27" s="61"/>
      <c r="O27" s="61"/>
    </row>
    <row r="28" spans="1:18" x14ac:dyDescent="0.25">
      <c r="B28" s="418" t="s">
        <v>916</v>
      </c>
      <c r="C28" s="1963"/>
      <c r="D28" s="416">
        <f>D14+D21</f>
        <v>3773</v>
      </c>
      <c r="E28" s="416">
        <f>E14+E21</f>
        <v>8865</v>
      </c>
      <c r="F28" s="416">
        <f>D28+E28</f>
        <v>12638</v>
      </c>
      <c r="G28" s="416">
        <f>G14+G21</f>
        <v>3898</v>
      </c>
      <c r="H28" s="416">
        <f>H14+H21</f>
        <v>9532</v>
      </c>
      <c r="I28" s="416">
        <f>G28+H28</f>
        <v>13430</v>
      </c>
      <c r="J28" s="416">
        <f>J14+J21</f>
        <v>3783</v>
      </c>
      <c r="K28" s="416">
        <f>K14+K21</f>
        <v>9858</v>
      </c>
      <c r="L28" s="416">
        <f>J28+K28</f>
        <v>13641</v>
      </c>
      <c r="M28" s="417">
        <f t="shared" si="5"/>
        <v>0.29854407342934008</v>
      </c>
      <c r="N28" s="61"/>
      <c r="O28" s="61"/>
    </row>
    <row r="29" spans="1:18" x14ac:dyDescent="0.25">
      <c r="B29" s="336"/>
      <c r="C29" s="337"/>
      <c r="D29" s="514"/>
      <c r="E29" s="514"/>
      <c r="F29" s="514"/>
      <c r="G29" s="514"/>
      <c r="H29" s="514"/>
      <c r="I29" s="514"/>
      <c r="J29" s="514"/>
      <c r="K29" s="514"/>
      <c r="L29" s="514"/>
      <c r="M29" s="514"/>
      <c r="N29" s="1856"/>
      <c r="O29" s="61"/>
    </row>
    <row r="30" spans="1:18" x14ac:dyDescent="0.25">
      <c r="B30" s="424" t="s">
        <v>926</v>
      </c>
      <c r="C30" s="425" t="s">
        <v>1363</v>
      </c>
      <c r="D30" s="426">
        <v>3</v>
      </c>
      <c r="E30" s="426">
        <v>6</v>
      </c>
      <c r="F30" s="426">
        <f t="shared" ref="F30:F35" si="8">D30+E30</f>
        <v>9</v>
      </c>
      <c r="G30" s="426">
        <v>3</v>
      </c>
      <c r="H30" s="426">
        <v>6</v>
      </c>
      <c r="I30" s="426">
        <f t="shared" ref="I30:I35" si="9">G30+H30</f>
        <v>9</v>
      </c>
      <c r="J30" s="426">
        <v>2</v>
      </c>
      <c r="K30" s="426">
        <v>5</v>
      </c>
      <c r="L30" s="426">
        <f t="shared" ref="L30:L35" si="10">J30+K30</f>
        <v>7</v>
      </c>
      <c r="M30" s="417">
        <f t="shared" ref="M30:M35" si="11">D30/F30</f>
        <v>0.33333333333333331</v>
      </c>
      <c r="N30" s="1960"/>
      <c r="O30" s="61"/>
    </row>
    <row r="31" spans="1:18" x14ac:dyDescent="0.25">
      <c r="B31" s="424" t="s">
        <v>927</v>
      </c>
      <c r="C31" s="425" t="s">
        <v>1364</v>
      </c>
      <c r="D31" s="426">
        <v>3</v>
      </c>
      <c r="E31" s="426">
        <v>9</v>
      </c>
      <c r="F31" s="426">
        <f t="shared" si="8"/>
        <v>12</v>
      </c>
      <c r="G31" s="426">
        <v>2</v>
      </c>
      <c r="H31" s="426">
        <v>6</v>
      </c>
      <c r="I31" s="426">
        <f t="shared" si="9"/>
        <v>8</v>
      </c>
      <c r="J31" s="426">
        <v>4</v>
      </c>
      <c r="K31" s="426">
        <v>5</v>
      </c>
      <c r="L31" s="426">
        <f t="shared" si="10"/>
        <v>9</v>
      </c>
      <c r="M31" s="417">
        <f t="shared" si="11"/>
        <v>0.25</v>
      </c>
      <c r="O31" s="61"/>
    </row>
    <row r="32" spans="1:18" s="9" customFormat="1" ht="28.4" customHeight="1" x14ac:dyDescent="0.25">
      <c r="A32" s="2"/>
      <c r="B32" s="422" t="s">
        <v>928</v>
      </c>
      <c r="C32" s="423" t="s">
        <v>1365</v>
      </c>
      <c r="D32" s="421">
        <v>13</v>
      </c>
      <c r="E32" s="421">
        <v>86</v>
      </c>
      <c r="F32" s="421">
        <f t="shared" si="8"/>
        <v>99</v>
      </c>
      <c r="G32" s="421">
        <v>17</v>
      </c>
      <c r="H32" s="421">
        <v>100</v>
      </c>
      <c r="I32" s="421">
        <f t="shared" si="9"/>
        <v>117</v>
      </c>
      <c r="J32" s="421">
        <v>16</v>
      </c>
      <c r="K32" s="421">
        <v>95</v>
      </c>
      <c r="L32" s="421">
        <f t="shared" si="10"/>
        <v>111</v>
      </c>
      <c r="M32" s="411">
        <f t="shared" si="11"/>
        <v>0.13131313131313133</v>
      </c>
      <c r="O32" s="61"/>
    </row>
    <row r="33" spans="1:15" x14ac:dyDescent="0.25">
      <c r="B33" s="328" t="s">
        <v>929</v>
      </c>
      <c r="C33" s="329" t="s">
        <v>1366</v>
      </c>
      <c r="D33" s="327">
        <v>31</v>
      </c>
      <c r="E33" s="327">
        <v>52</v>
      </c>
      <c r="F33" s="327">
        <f t="shared" si="8"/>
        <v>83</v>
      </c>
      <c r="G33" s="327">
        <v>22</v>
      </c>
      <c r="H33" s="327">
        <v>38</v>
      </c>
      <c r="I33" s="327">
        <f t="shared" si="9"/>
        <v>60</v>
      </c>
      <c r="J33" s="327">
        <v>21</v>
      </c>
      <c r="K33" s="327">
        <v>41</v>
      </c>
      <c r="L33" s="327">
        <f t="shared" si="10"/>
        <v>62</v>
      </c>
      <c r="M33" s="339">
        <f t="shared" si="11"/>
        <v>0.37349397590361444</v>
      </c>
      <c r="O33" s="61"/>
    </row>
    <row r="34" spans="1:15" ht="54" x14ac:dyDescent="0.25">
      <c r="B34" s="341" t="s">
        <v>1367</v>
      </c>
      <c r="C34" s="342" t="s">
        <v>1368</v>
      </c>
      <c r="D34" s="333">
        <v>478</v>
      </c>
      <c r="E34" s="333">
        <v>1223</v>
      </c>
      <c r="F34" s="333">
        <f t="shared" si="8"/>
        <v>1701</v>
      </c>
      <c r="G34" s="333">
        <v>487</v>
      </c>
      <c r="H34" s="333">
        <v>1302</v>
      </c>
      <c r="I34" s="333">
        <f t="shared" si="9"/>
        <v>1789</v>
      </c>
      <c r="J34" s="343"/>
      <c r="K34" s="343"/>
      <c r="L34" s="344">
        <f t="shared" si="10"/>
        <v>0</v>
      </c>
      <c r="M34" s="405">
        <f t="shared" si="11"/>
        <v>0.28101116990005881</v>
      </c>
      <c r="N34" s="406">
        <f>(M34-0.3)/(0.4-0.3)</f>
        <v>-0.18988830099941173</v>
      </c>
      <c r="O34" s="70"/>
    </row>
    <row r="35" spans="1:15" x14ac:dyDescent="0.25">
      <c r="B35" s="325" t="s">
        <v>1002</v>
      </c>
      <c r="C35" s="326"/>
      <c r="D35" s="327">
        <v>748</v>
      </c>
      <c r="E35" s="327">
        <v>1496</v>
      </c>
      <c r="F35" s="327">
        <f t="shared" si="8"/>
        <v>2244</v>
      </c>
      <c r="G35" s="327">
        <v>718</v>
      </c>
      <c r="H35" s="327">
        <v>1355</v>
      </c>
      <c r="I35" s="327">
        <f t="shared" si="9"/>
        <v>2073</v>
      </c>
      <c r="J35" s="327">
        <v>475</v>
      </c>
      <c r="K35" s="327">
        <v>1117</v>
      </c>
      <c r="L35" s="327">
        <f t="shared" si="10"/>
        <v>1592</v>
      </c>
      <c r="M35" s="339">
        <f t="shared" si="11"/>
        <v>0.33333333333333331</v>
      </c>
      <c r="O35" s="61"/>
    </row>
    <row r="36" spans="1:15" x14ac:dyDescent="0.25">
      <c r="C36" s="64"/>
      <c r="D36" s="515"/>
      <c r="E36" s="515"/>
      <c r="F36" s="516"/>
      <c r="G36" s="517"/>
      <c r="H36" s="517"/>
      <c r="I36" s="517"/>
      <c r="J36" s="515"/>
      <c r="K36" s="515"/>
      <c r="L36" s="515"/>
      <c r="M36" s="61"/>
      <c r="O36" s="61"/>
    </row>
    <row r="37" spans="1:15" x14ac:dyDescent="0.25">
      <c r="B37" s="311" t="s">
        <v>940</v>
      </c>
      <c r="C37" s="294"/>
      <c r="D37" s="289">
        <v>0</v>
      </c>
      <c r="E37" s="289">
        <v>0</v>
      </c>
      <c r="F37" s="289">
        <f>D37+E37</f>
        <v>0</v>
      </c>
      <c r="G37" s="289">
        <v>0</v>
      </c>
      <c r="H37" s="289">
        <v>0</v>
      </c>
      <c r="I37" s="289">
        <f>G37+H37</f>
        <v>0</v>
      </c>
      <c r="J37" s="289">
        <v>1</v>
      </c>
      <c r="K37" s="289">
        <v>0</v>
      </c>
      <c r="L37" s="289">
        <v>1</v>
      </c>
      <c r="M37" s="61"/>
      <c r="O37" s="61"/>
    </row>
    <row r="38" spans="1:15" x14ac:dyDescent="0.25">
      <c r="B38" s="311" t="s">
        <v>941</v>
      </c>
      <c r="C38" s="294"/>
      <c r="D38" s="289">
        <v>0</v>
      </c>
      <c r="E38" s="289">
        <v>3</v>
      </c>
      <c r="F38" s="289">
        <f>D38+E38</f>
        <v>3</v>
      </c>
      <c r="G38" s="289">
        <v>0</v>
      </c>
      <c r="H38" s="289">
        <v>3</v>
      </c>
      <c r="I38" s="289">
        <f>G38+H38</f>
        <v>3</v>
      </c>
      <c r="J38" s="289">
        <v>0</v>
      </c>
      <c r="K38" s="289">
        <v>2</v>
      </c>
      <c r="L38" s="289">
        <v>2</v>
      </c>
      <c r="M38" s="61"/>
      <c r="O38" s="61"/>
    </row>
    <row r="39" spans="1:15" x14ac:dyDescent="0.25">
      <c r="B39" s="311" t="s">
        <v>942</v>
      </c>
      <c r="C39" s="294"/>
      <c r="D39" s="289">
        <v>0</v>
      </c>
      <c r="E39" s="289">
        <v>2</v>
      </c>
      <c r="F39" s="289">
        <f>D39+E39</f>
        <v>2</v>
      </c>
      <c r="G39" s="289">
        <v>0</v>
      </c>
      <c r="H39" s="289">
        <v>2</v>
      </c>
      <c r="I39" s="289">
        <f>G39+H39</f>
        <v>2</v>
      </c>
      <c r="J39" s="289">
        <v>2</v>
      </c>
      <c r="K39" s="289">
        <v>4</v>
      </c>
      <c r="L39" s="289">
        <v>6</v>
      </c>
      <c r="M39" s="61"/>
      <c r="O39" s="61"/>
    </row>
    <row r="40" spans="1:15" x14ac:dyDescent="0.25">
      <c r="B40" s="311" t="s">
        <v>943</v>
      </c>
      <c r="C40" s="294"/>
      <c r="D40" s="289">
        <v>3</v>
      </c>
      <c r="E40" s="289">
        <v>1</v>
      </c>
      <c r="F40" s="289">
        <f>D40+E40</f>
        <v>4</v>
      </c>
      <c r="G40" s="289">
        <v>3</v>
      </c>
      <c r="H40" s="289">
        <v>1</v>
      </c>
      <c r="I40" s="289">
        <f>G40+H40</f>
        <v>4</v>
      </c>
      <c r="J40" s="289">
        <v>0</v>
      </c>
      <c r="K40" s="289">
        <v>0</v>
      </c>
      <c r="L40" s="289">
        <v>0</v>
      </c>
      <c r="M40" s="61"/>
      <c r="O40" s="61"/>
    </row>
    <row r="41" spans="1:15" x14ac:dyDescent="0.25">
      <c r="B41" s="312" t="s">
        <v>939</v>
      </c>
      <c r="C41" s="313"/>
      <c r="D41" s="291">
        <f t="shared" ref="D41:K41" si="12">SUM(D37:D40)</f>
        <v>3</v>
      </c>
      <c r="E41" s="291">
        <f t="shared" si="12"/>
        <v>6</v>
      </c>
      <c r="F41" s="291">
        <f t="shared" si="12"/>
        <v>9</v>
      </c>
      <c r="G41" s="291">
        <f t="shared" si="12"/>
        <v>3</v>
      </c>
      <c r="H41" s="291">
        <f t="shared" si="12"/>
        <v>6</v>
      </c>
      <c r="I41" s="291">
        <f t="shared" si="12"/>
        <v>9</v>
      </c>
      <c r="J41" s="291">
        <f t="shared" si="12"/>
        <v>3</v>
      </c>
      <c r="K41" s="291">
        <f t="shared" si="12"/>
        <v>6</v>
      </c>
      <c r="L41" s="291">
        <v>9</v>
      </c>
      <c r="M41" s="339">
        <f>D41/F41</f>
        <v>0.33333333333333331</v>
      </c>
      <c r="O41" s="61"/>
    </row>
    <row r="42" spans="1:15" x14ac:dyDescent="0.25">
      <c r="C42" s="64"/>
      <c r="D42" s="518"/>
      <c r="E42" s="518"/>
      <c r="F42" s="516"/>
      <c r="G42" s="516"/>
      <c r="H42" s="516"/>
      <c r="I42" s="516"/>
      <c r="J42" s="518"/>
      <c r="K42" s="518"/>
      <c r="L42" s="518"/>
      <c r="M42" s="61"/>
      <c r="O42" s="61"/>
    </row>
    <row r="43" spans="1:15" ht="21.65" customHeight="1" x14ac:dyDescent="0.25">
      <c r="B43" s="270" t="s">
        <v>944</v>
      </c>
      <c r="C43" s="1940" t="s">
        <v>1369</v>
      </c>
      <c r="D43" s="289">
        <v>640</v>
      </c>
      <c r="E43" s="289">
        <v>1388</v>
      </c>
      <c r="F43" s="289">
        <f>D43+E43</f>
        <v>2028</v>
      </c>
      <c r="G43" s="348">
        <v>719</v>
      </c>
      <c r="H43" s="348">
        <v>1509</v>
      </c>
      <c r="I43" s="348">
        <f>G43+H43</f>
        <v>2228</v>
      </c>
      <c r="J43" s="348">
        <v>730</v>
      </c>
      <c r="K43" s="348">
        <v>1608</v>
      </c>
      <c r="L43" s="348">
        <f>J43+K43</f>
        <v>2338</v>
      </c>
      <c r="M43" s="339">
        <f>D43/F43</f>
        <v>0.31558185404339251</v>
      </c>
      <c r="O43" s="61"/>
    </row>
    <row r="44" spans="1:15" ht="21.65" customHeight="1" x14ac:dyDescent="0.25">
      <c r="B44" s="270" t="s">
        <v>1370</v>
      </c>
      <c r="C44" s="1940"/>
      <c r="D44" s="289">
        <v>1971</v>
      </c>
      <c r="E44" s="289">
        <v>4463</v>
      </c>
      <c r="F44" s="289">
        <f>D44+E44</f>
        <v>6434</v>
      </c>
      <c r="G44" s="1961">
        <v>2477</v>
      </c>
      <c r="H44" s="1961">
        <v>6050</v>
      </c>
      <c r="I44" s="1961">
        <f>G44+H44</f>
        <v>8527</v>
      </c>
      <c r="J44" s="1961">
        <v>2331</v>
      </c>
      <c r="K44" s="1961">
        <v>5927</v>
      </c>
      <c r="L44" s="1961">
        <f>J44+K44</f>
        <v>8258</v>
      </c>
      <c r="M44" s="339">
        <f>D44/F44</f>
        <v>0.30634131178116258</v>
      </c>
      <c r="O44" s="61"/>
    </row>
    <row r="45" spans="1:15" ht="21.65" customHeight="1" x14ac:dyDescent="0.25">
      <c r="A45" s="6"/>
      <c r="B45" s="270" t="s">
        <v>949</v>
      </c>
      <c r="C45" s="1940"/>
      <c r="D45" s="289">
        <v>962</v>
      </c>
      <c r="E45" s="289">
        <v>2456</v>
      </c>
      <c r="F45" s="289">
        <f>D45+E45</f>
        <v>3418</v>
      </c>
      <c r="G45" s="1962"/>
      <c r="H45" s="1962"/>
      <c r="I45" s="1962"/>
      <c r="J45" s="1962"/>
      <c r="K45" s="1962"/>
      <c r="L45" s="1962"/>
      <c r="M45" s="339">
        <f>D45/F45</f>
        <v>0.28145114101813928</v>
      </c>
      <c r="O45" s="61"/>
    </row>
    <row r="46" spans="1:15" ht="21.65" customHeight="1" x14ac:dyDescent="0.25">
      <c r="A46" s="366"/>
      <c r="B46" s="270" t="s">
        <v>950</v>
      </c>
      <c r="C46" s="1940"/>
      <c r="D46" s="289">
        <v>123</v>
      </c>
      <c r="E46" s="289">
        <v>434</v>
      </c>
      <c r="F46" s="289">
        <f>D46+E46</f>
        <v>557</v>
      </c>
      <c r="G46" s="348">
        <v>703</v>
      </c>
      <c r="H46" s="348">
        <v>1972</v>
      </c>
      <c r="I46" s="348">
        <f>G46+H46</f>
        <v>2675</v>
      </c>
      <c r="J46" s="348">
        <v>722</v>
      </c>
      <c r="K46" s="348">
        <v>2322</v>
      </c>
      <c r="L46" s="348">
        <f>J46+K46</f>
        <v>3044</v>
      </c>
      <c r="M46" s="339">
        <f>D46/F46</f>
        <v>0.22082585278276481</v>
      </c>
      <c r="O46" s="61"/>
    </row>
    <row r="47" spans="1:15" s="71" customFormat="1" ht="27" x14ac:dyDescent="0.25">
      <c r="A47" s="367"/>
      <c r="B47" s="191" t="s">
        <v>923</v>
      </c>
      <c r="C47" s="290" t="s">
        <v>1371</v>
      </c>
      <c r="D47" s="295">
        <f t="shared" ref="D47:L47" si="13">SUM(D43:D46)</f>
        <v>3696</v>
      </c>
      <c r="E47" s="295">
        <f t="shared" si="13"/>
        <v>8741</v>
      </c>
      <c r="F47" s="295">
        <f t="shared" si="13"/>
        <v>12437</v>
      </c>
      <c r="G47" s="349">
        <f t="shared" si="13"/>
        <v>3899</v>
      </c>
      <c r="H47" s="349">
        <f t="shared" si="13"/>
        <v>9531</v>
      </c>
      <c r="I47" s="349">
        <f t="shared" si="13"/>
        <v>13430</v>
      </c>
      <c r="J47" s="349">
        <f t="shared" si="13"/>
        <v>3783</v>
      </c>
      <c r="K47" s="349">
        <f t="shared" si="13"/>
        <v>9857</v>
      </c>
      <c r="L47" s="349">
        <f t="shared" si="13"/>
        <v>13640</v>
      </c>
      <c r="M47" s="339">
        <f>D47/F47</f>
        <v>0.2971777759909946</v>
      </c>
      <c r="O47" s="72"/>
    </row>
    <row r="48" spans="1:15" x14ac:dyDescent="0.25">
      <c r="B48" s="95"/>
      <c r="C48" s="309"/>
      <c r="D48" s="516"/>
      <c r="E48" s="516"/>
      <c r="F48" s="516"/>
      <c r="G48" s="516"/>
      <c r="H48" s="516"/>
      <c r="I48" s="516"/>
      <c r="J48" s="518"/>
      <c r="K48" s="518"/>
      <c r="L48" s="518"/>
      <c r="M48" s="61"/>
      <c r="O48" s="61"/>
    </row>
    <row r="49" spans="2:16" ht="16.5" customHeight="1" x14ac:dyDescent="0.25">
      <c r="B49" s="166" t="s">
        <v>1002</v>
      </c>
      <c r="C49" s="469" t="s">
        <v>1305</v>
      </c>
      <c r="D49" s="297">
        <v>748</v>
      </c>
      <c r="E49" s="297">
        <v>1496</v>
      </c>
      <c r="F49" s="298">
        <f>D49+E49</f>
        <v>2244</v>
      </c>
      <c r="G49" s="289">
        <v>718</v>
      </c>
      <c r="H49" s="289">
        <v>1355</v>
      </c>
      <c r="I49" s="289">
        <f>G49+H49</f>
        <v>2073</v>
      </c>
      <c r="J49" s="289">
        <v>475</v>
      </c>
      <c r="K49" s="289">
        <v>1117</v>
      </c>
      <c r="L49" s="289">
        <f>J49+K49</f>
        <v>1592</v>
      </c>
      <c r="M49" s="61"/>
      <c r="O49" s="61"/>
    </row>
    <row r="50" spans="2:16" ht="17.25" customHeight="1" x14ac:dyDescent="0.25">
      <c r="B50" s="166" t="s">
        <v>979</v>
      </c>
      <c r="C50" s="469" t="s">
        <v>1306</v>
      </c>
      <c r="D50" s="299">
        <v>449</v>
      </c>
      <c r="E50" s="299">
        <v>1082</v>
      </c>
      <c r="F50" s="298">
        <f>D50+E50</f>
        <v>1531</v>
      </c>
      <c r="G50" s="293">
        <v>444</v>
      </c>
      <c r="H50" s="293">
        <v>1115</v>
      </c>
      <c r="I50" s="293">
        <f>G50+H50</f>
        <v>1559</v>
      </c>
      <c r="J50" s="293">
        <v>317</v>
      </c>
      <c r="K50" s="293">
        <v>797</v>
      </c>
      <c r="L50" s="293">
        <f>J50+K50</f>
        <v>1114</v>
      </c>
      <c r="M50" s="61"/>
      <c r="O50" s="61"/>
    </row>
    <row r="51" spans="2:16" ht="23.25" customHeight="1" x14ac:dyDescent="0.25">
      <c r="B51" s="166" t="s">
        <v>981</v>
      </c>
      <c r="C51" s="1940" t="s">
        <v>1372</v>
      </c>
      <c r="D51" s="299">
        <v>375</v>
      </c>
      <c r="E51" s="299">
        <v>996</v>
      </c>
      <c r="F51" s="298">
        <f>D51+E51</f>
        <v>1371</v>
      </c>
      <c r="G51" s="293">
        <v>115</v>
      </c>
      <c r="H51" s="293">
        <v>396</v>
      </c>
      <c r="I51" s="293">
        <f>G51+H51</f>
        <v>511</v>
      </c>
      <c r="J51" s="293">
        <v>230</v>
      </c>
      <c r="K51" s="293">
        <v>782</v>
      </c>
      <c r="L51" s="293">
        <f>J51+K51</f>
        <v>1012</v>
      </c>
      <c r="M51" s="61"/>
      <c r="O51" s="61"/>
    </row>
    <row r="52" spans="2:16" ht="26.25" customHeight="1" x14ac:dyDescent="0.25">
      <c r="B52" s="199" t="s">
        <v>1373</v>
      </c>
      <c r="C52" s="1940"/>
      <c r="D52" s="355">
        <v>125</v>
      </c>
      <c r="E52" s="355">
        <v>375</v>
      </c>
      <c r="F52" s="355">
        <f>D52+E52</f>
        <v>500</v>
      </c>
      <c r="G52" s="1941"/>
      <c r="H52" s="1942"/>
      <c r="I52" s="1943"/>
      <c r="J52" s="1941"/>
      <c r="K52" s="1942"/>
      <c r="L52" s="1943"/>
      <c r="M52" s="61"/>
      <c r="O52" s="61"/>
    </row>
    <row r="53" spans="2:16" ht="40.5" x14ac:dyDescent="0.25">
      <c r="B53" s="199" t="s">
        <v>984</v>
      </c>
      <c r="C53" s="469" t="s">
        <v>1374</v>
      </c>
      <c r="D53" s="300">
        <v>0.123</v>
      </c>
      <c r="E53" s="300">
        <v>0.121</v>
      </c>
      <c r="F53" s="300">
        <v>0.122</v>
      </c>
      <c r="G53" s="1944">
        <v>0.11550000000000001</v>
      </c>
      <c r="H53" s="1945"/>
      <c r="I53" s="1946"/>
      <c r="J53" s="1944">
        <v>8.2000000000000003E-2</v>
      </c>
      <c r="K53" s="1945"/>
      <c r="L53" s="1946"/>
      <c r="M53" s="61"/>
      <c r="O53" s="61"/>
    </row>
    <row r="54" spans="2:16" ht="28.5" customHeight="1" x14ac:dyDescent="0.25">
      <c r="B54" s="199" t="s">
        <v>1099</v>
      </c>
      <c r="C54" s="1940" t="s">
        <v>1375</v>
      </c>
      <c r="D54" s="300">
        <v>0.10299999999999999</v>
      </c>
      <c r="E54" s="300">
        <v>0.111</v>
      </c>
      <c r="F54" s="300">
        <v>0.109</v>
      </c>
      <c r="G54" s="1944">
        <v>3.7900000000000003E-2</v>
      </c>
      <c r="H54" s="1945"/>
      <c r="I54" s="1946"/>
      <c r="J54" s="1944">
        <v>7.4999999999999997E-2</v>
      </c>
      <c r="K54" s="1945"/>
      <c r="L54" s="1946"/>
      <c r="M54" s="61"/>
      <c r="O54" s="61"/>
    </row>
    <row r="55" spans="2:16" ht="35.15" customHeight="1" x14ac:dyDescent="0.25">
      <c r="B55" s="199" t="s">
        <v>1376</v>
      </c>
      <c r="C55" s="1940"/>
      <c r="D55" s="356">
        <v>3.4000000000000002E-2</v>
      </c>
      <c r="E55" s="356">
        <v>3.7999999999999999E-2</v>
      </c>
      <c r="F55" s="356">
        <v>3.6999999999999998E-2</v>
      </c>
      <c r="G55" s="1947">
        <v>3.8199999999999998E-2</v>
      </c>
      <c r="H55" s="1948"/>
      <c r="I55" s="1949"/>
      <c r="J55" s="1950">
        <v>7.5999999999999998E-2</v>
      </c>
      <c r="K55" s="1951"/>
      <c r="L55" s="1952"/>
      <c r="M55" s="61"/>
      <c r="O55" s="61"/>
    </row>
    <row r="56" spans="2:16" ht="30" customHeight="1" x14ac:dyDescent="0.25">
      <c r="B56" s="199" t="s">
        <v>1377</v>
      </c>
      <c r="C56" s="1953" t="s">
        <v>1378</v>
      </c>
      <c r="D56" s="300">
        <f>D53+D54</f>
        <v>0.22599999999999998</v>
      </c>
      <c r="E56" s="300">
        <f>E53+E54</f>
        <v>0.23199999999999998</v>
      </c>
      <c r="F56" s="300">
        <f>F53+F54</f>
        <v>0.23099999999999998</v>
      </c>
      <c r="G56" s="1955">
        <f>G53+G54</f>
        <v>0.15340000000000001</v>
      </c>
      <c r="H56" s="1956"/>
      <c r="I56" s="1957"/>
      <c r="J56" s="1955">
        <f>J53+J54</f>
        <v>0.157</v>
      </c>
      <c r="K56" s="1956"/>
      <c r="L56" s="1957"/>
      <c r="M56" s="61"/>
      <c r="O56" s="61"/>
    </row>
    <row r="57" spans="2:16" ht="30" customHeight="1" x14ac:dyDescent="0.25">
      <c r="B57" s="199" t="s">
        <v>1379</v>
      </c>
      <c r="C57" s="1954"/>
      <c r="D57" s="356">
        <f>D53+D55</f>
        <v>0.157</v>
      </c>
      <c r="E57" s="356">
        <f>E53+E55</f>
        <v>0.159</v>
      </c>
      <c r="F57" s="356">
        <f>F53+F55</f>
        <v>0.159</v>
      </c>
      <c r="G57" s="1947">
        <f>G53+G55</f>
        <v>0.1537</v>
      </c>
      <c r="H57" s="1948"/>
      <c r="I57" s="1949"/>
      <c r="J57" s="1947">
        <f>J53+J55</f>
        <v>0.158</v>
      </c>
      <c r="K57" s="1948"/>
      <c r="L57" s="1949"/>
      <c r="M57" s="61"/>
      <c r="O57" s="61"/>
    </row>
    <row r="58" spans="2:16" x14ac:dyDescent="0.25">
      <c r="B58" s="62" t="s">
        <v>1380</v>
      </c>
      <c r="C58" s="95"/>
      <c r="D58" s="63"/>
      <c r="E58" s="63"/>
      <c r="F58" s="63"/>
      <c r="G58" s="63"/>
      <c r="H58" s="63"/>
      <c r="I58" s="63"/>
      <c r="J58" s="63"/>
      <c r="K58" s="63"/>
      <c r="L58" s="63"/>
      <c r="M58" s="63"/>
      <c r="O58" s="61"/>
      <c r="P58" s="61"/>
    </row>
    <row r="59" spans="2:16" x14ac:dyDescent="0.25">
      <c r="B59" s="61"/>
      <c r="C59" s="61"/>
      <c r="D59" s="61"/>
      <c r="E59" s="61"/>
      <c r="F59" s="61"/>
      <c r="G59" s="61"/>
      <c r="H59" s="61"/>
      <c r="I59" s="61"/>
      <c r="J59" s="61"/>
      <c r="K59" s="61"/>
      <c r="L59" s="61"/>
      <c r="M59" s="61"/>
      <c r="O59" s="61"/>
    </row>
    <row r="60" spans="2:16" s="80" customFormat="1" ht="17.899999999999999" hidden="1" customHeight="1" x14ac:dyDescent="0.25">
      <c r="B60" s="74" t="s">
        <v>1381</v>
      </c>
      <c r="C60" s="75" t="s">
        <v>1356</v>
      </c>
      <c r="D60" s="76" t="s">
        <v>462</v>
      </c>
      <c r="E60" s="76" t="s">
        <v>463</v>
      </c>
      <c r="F60" s="76" t="s">
        <v>464</v>
      </c>
      <c r="G60" s="77"/>
      <c r="H60" s="78"/>
      <c r="I60" s="78"/>
      <c r="J60" s="77"/>
      <c r="K60" s="78"/>
      <c r="L60" s="78"/>
      <c r="M60" s="79"/>
      <c r="O60" s="79"/>
    </row>
    <row r="61" spans="2:16" s="80" customFormat="1" ht="17.899999999999999" hidden="1" customHeight="1" x14ac:dyDescent="0.25">
      <c r="B61" s="81" t="s">
        <v>1382</v>
      </c>
      <c r="C61" s="75"/>
      <c r="D61" s="82"/>
      <c r="E61" s="82"/>
      <c r="F61" s="82"/>
      <c r="G61" s="77"/>
      <c r="H61" s="78"/>
      <c r="I61" s="78"/>
      <c r="J61" s="77"/>
      <c r="K61" s="78"/>
      <c r="L61" s="78"/>
      <c r="M61" s="79"/>
      <c r="O61" s="79"/>
    </row>
    <row r="62" spans="2:16" s="80" customFormat="1" ht="17.899999999999999" hidden="1" customHeight="1" x14ac:dyDescent="0.25">
      <c r="B62" s="83" t="s">
        <v>911</v>
      </c>
      <c r="C62" s="1937" t="s">
        <v>1383</v>
      </c>
      <c r="D62" s="84"/>
      <c r="E62" s="84"/>
      <c r="F62" s="84"/>
      <c r="G62" s="79"/>
      <c r="H62" s="79"/>
      <c r="I62" s="79"/>
      <c r="J62" s="79"/>
      <c r="K62" s="79"/>
      <c r="L62" s="79"/>
      <c r="M62" s="79"/>
      <c r="O62" s="79"/>
    </row>
    <row r="63" spans="2:16" s="80" customFormat="1" ht="17.899999999999999" hidden="1" customHeight="1" x14ac:dyDescent="0.25">
      <c r="B63" s="83" t="s">
        <v>912</v>
      </c>
      <c r="C63" s="1937"/>
      <c r="D63" s="84"/>
      <c r="E63" s="84"/>
      <c r="F63" s="84"/>
      <c r="G63" s="79"/>
      <c r="H63" s="79"/>
      <c r="I63" s="79"/>
      <c r="J63" s="79"/>
      <c r="K63" s="79"/>
      <c r="L63" s="79"/>
      <c r="M63" s="79"/>
      <c r="O63" s="79"/>
    </row>
    <row r="64" spans="2:16" s="80" customFormat="1" ht="17.899999999999999" hidden="1" customHeight="1" x14ac:dyDescent="0.25">
      <c r="B64" s="83" t="s">
        <v>913</v>
      </c>
      <c r="C64" s="1937"/>
      <c r="D64" s="84"/>
      <c r="E64" s="84"/>
      <c r="F64" s="84"/>
      <c r="G64" s="79"/>
      <c r="H64" s="79"/>
      <c r="I64" s="79"/>
      <c r="J64" s="79"/>
      <c r="K64" s="79"/>
      <c r="L64" s="79"/>
      <c r="M64" s="79"/>
      <c r="O64" s="79"/>
    </row>
    <row r="65" spans="2:15" s="80" customFormat="1" ht="17.899999999999999" hidden="1" customHeight="1" x14ac:dyDescent="0.25">
      <c r="B65" s="83" t="s">
        <v>914</v>
      </c>
      <c r="C65" s="1937"/>
      <c r="D65" s="84"/>
      <c r="E65" s="84"/>
      <c r="F65" s="84"/>
      <c r="G65" s="79"/>
      <c r="H65" s="79"/>
      <c r="I65" s="79"/>
      <c r="J65" s="79"/>
      <c r="K65" s="79"/>
      <c r="L65" s="79"/>
      <c r="M65" s="79"/>
      <c r="O65" s="79"/>
    </row>
    <row r="66" spans="2:15" s="80" customFormat="1" ht="17.899999999999999" hidden="1" customHeight="1" x14ac:dyDescent="0.25">
      <c r="B66" s="83" t="s">
        <v>915</v>
      </c>
      <c r="C66" s="1937"/>
      <c r="D66" s="84"/>
      <c r="E66" s="84"/>
      <c r="F66" s="84"/>
      <c r="G66" s="79"/>
      <c r="H66" s="79"/>
      <c r="I66" s="79"/>
      <c r="J66" s="79"/>
      <c r="K66" s="79"/>
      <c r="L66" s="79"/>
      <c r="M66" s="79"/>
      <c r="O66" s="79"/>
    </row>
    <row r="67" spans="2:15" s="80" customFormat="1" ht="17.899999999999999" hidden="1" customHeight="1" x14ac:dyDescent="0.25">
      <c r="B67" s="85" t="s">
        <v>916</v>
      </c>
      <c r="C67" s="1937"/>
      <c r="D67" s="84">
        <f>SUM(D62:D66)</f>
        <v>0</v>
      </c>
      <c r="E67" s="84">
        <f>SUM(E62:E66)</f>
        <v>0</v>
      </c>
      <c r="F67" s="84">
        <f>SUM(F62:F66)</f>
        <v>0</v>
      </c>
      <c r="G67" s="79"/>
      <c r="H67" s="79"/>
      <c r="I67" s="79"/>
      <c r="J67" s="79"/>
      <c r="K67" s="79"/>
      <c r="L67" s="79"/>
      <c r="M67" s="79"/>
      <c r="O67" s="79"/>
    </row>
    <row r="68" spans="2:15" s="80" customFormat="1" ht="17.899999999999999" hidden="1" customHeight="1" x14ac:dyDescent="0.25">
      <c r="B68" s="86" t="s">
        <v>1384</v>
      </c>
      <c r="C68" s="471"/>
      <c r="D68" s="84"/>
      <c r="E68" s="84"/>
      <c r="F68" s="84"/>
      <c r="G68" s="79"/>
      <c r="H68" s="79"/>
      <c r="I68" s="79"/>
      <c r="J68" s="79"/>
      <c r="K68" s="79"/>
      <c r="L68" s="79"/>
      <c r="M68" s="79"/>
      <c r="O68" s="79"/>
    </row>
    <row r="69" spans="2:15" s="80" customFormat="1" ht="17.899999999999999" hidden="1" customHeight="1" x14ac:dyDescent="0.25">
      <c r="B69" s="83" t="s">
        <v>911</v>
      </c>
      <c r="C69" s="1937" t="s">
        <v>1385</v>
      </c>
      <c r="D69" s="84">
        <v>376</v>
      </c>
      <c r="E69" s="84"/>
      <c r="F69" s="84"/>
      <c r="G69" s="79"/>
      <c r="H69" s="79"/>
      <c r="I69" s="79"/>
      <c r="J69" s="79"/>
      <c r="K69" s="79"/>
      <c r="L69" s="79"/>
      <c r="M69" s="79"/>
      <c r="O69" s="79"/>
    </row>
    <row r="70" spans="2:15" s="80" customFormat="1" ht="17.899999999999999" hidden="1" customHeight="1" x14ac:dyDescent="0.25">
      <c r="B70" s="83" t="s">
        <v>912</v>
      </c>
      <c r="C70" s="1937"/>
      <c r="D70" s="84">
        <v>316</v>
      </c>
      <c r="E70" s="84"/>
      <c r="F70" s="84"/>
      <c r="G70" s="79"/>
      <c r="H70" s="79"/>
      <c r="I70" s="79"/>
      <c r="J70" s="79"/>
      <c r="K70" s="79"/>
      <c r="L70" s="79"/>
      <c r="M70" s="79"/>
      <c r="O70" s="79"/>
    </row>
    <row r="71" spans="2:15" s="80" customFormat="1" ht="17.899999999999999" hidden="1" customHeight="1" x14ac:dyDescent="0.25">
      <c r="B71" s="83" t="s">
        <v>913</v>
      </c>
      <c r="C71" s="1937"/>
      <c r="D71" s="84">
        <v>72</v>
      </c>
      <c r="E71" s="84"/>
      <c r="F71" s="84"/>
      <c r="G71" s="79"/>
      <c r="H71" s="79"/>
      <c r="I71" s="79"/>
      <c r="J71" s="79"/>
      <c r="K71" s="79"/>
      <c r="L71" s="79"/>
      <c r="M71" s="79"/>
      <c r="O71" s="79"/>
    </row>
    <row r="72" spans="2:15" s="80" customFormat="1" ht="17.899999999999999" hidden="1" customHeight="1" x14ac:dyDescent="0.25">
      <c r="B72" s="83" t="s">
        <v>914</v>
      </c>
      <c r="C72" s="1937"/>
      <c r="D72" s="84">
        <v>142</v>
      </c>
      <c r="E72" s="84"/>
      <c r="F72" s="84"/>
      <c r="G72" s="79"/>
      <c r="H72" s="79"/>
      <c r="I72" s="79"/>
      <c r="J72" s="79"/>
      <c r="K72" s="79"/>
      <c r="L72" s="79"/>
      <c r="M72" s="79"/>
      <c r="O72" s="79"/>
    </row>
    <row r="73" spans="2:15" s="80" customFormat="1" ht="17.899999999999999" hidden="1" customHeight="1" x14ac:dyDescent="0.25">
      <c r="B73" s="83" t="s">
        <v>915</v>
      </c>
      <c r="C73" s="1937"/>
      <c r="D73" s="84">
        <v>43</v>
      </c>
      <c r="E73" s="84"/>
      <c r="F73" s="84"/>
      <c r="G73" s="79"/>
      <c r="H73" s="79"/>
      <c r="I73" s="79"/>
      <c r="J73" s="79"/>
      <c r="K73" s="79"/>
      <c r="L73" s="79"/>
      <c r="M73" s="79"/>
      <c r="O73" s="79"/>
    </row>
    <row r="74" spans="2:15" s="80" customFormat="1" ht="17.899999999999999" hidden="1" customHeight="1" x14ac:dyDescent="0.25">
      <c r="B74" s="85" t="s">
        <v>916</v>
      </c>
      <c r="C74" s="1937"/>
      <c r="D74" s="84">
        <f>SUM(D69:D73)</f>
        <v>949</v>
      </c>
      <c r="E74" s="84">
        <f>SUM(E69:E73)</f>
        <v>0</v>
      </c>
      <c r="F74" s="84">
        <f>SUM(F69:F73)</f>
        <v>0</v>
      </c>
      <c r="G74" s="79"/>
      <c r="H74" s="79"/>
      <c r="I74" s="79"/>
      <c r="J74" s="79"/>
      <c r="K74" s="79"/>
      <c r="L74" s="79"/>
      <c r="M74" s="79"/>
      <c r="O74" s="79"/>
    </row>
    <row r="75" spans="2:15" s="80" customFormat="1" ht="17.899999999999999" hidden="1" customHeight="1" x14ac:dyDescent="0.25">
      <c r="B75" s="86" t="s">
        <v>1386</v>
      </c>
      <c r="C75" s="471"/>
      <c r="D75" s="84"/>
      <c r="E75" s="84"/>
      <c r="F75" s="84"/>
      <c r="G75" s="79"/>
      <c r="H75" s="79"/>
      <c r="I75" s="79"/>
      <c r="J75" s="79"/>
      <c r="K75" s="79"/>
      <c r="L75" s="79"/>
      <c r="M75" s="79"/>
      <c r="O75" s="79"/>
    </row>
    <row r="76" spans="2:15" s="80" customFormat="1" ht="17.899999999999999" hidden="1" customHeight="1" x14ac:dyDescent="0.25">
      <c r="B76" s="83" t="s">
        <v>911</v>
      </c>
      <c r="C76" s="1937" t="s">
        <v>1387</v>
      </c>
      <c r="D76" s="84"/>
      <c r="E76" s="84"/>
      <c r="F76" s="84"/>
      <c r="G76" s="79"/>
      <c r="H76" s="79"/>
      <c r="I76" s="79"/>
      <c r="J76" s="79"/>
      <c r="K76" s="79"/>
      <c r="L76" s="79"/>
      <c r="M76" s="79"/>
      <c r="O76" s="79"/>
    </row>
    <row r="77" spans="2:15" s="80" customFormat="1" ht="17.899999999999999" hidden="1" customHeight="1" x14ac:dyDescent="0.25">
      <c r="B77" s="83" t="s">
        <v>912</v>
      </c>
      <c r="C77" s="1937"/>
      <c r="D77" s="84"/>
      <c r="E77" s="84"/>
      <c r="F77" s="84"/>
      <c r="G77" s="79"/>
      <c r="H77" s="79"/>
      <c r="I77" s="79"/>
      <c r="J77" s="79"/>
      <c r="K77" s="79"/>
      <c r="L77" s="79"/>
      <c r="M77" s="79"/>
      <c r="O77" s="79"/>
    </row>
    <row r="78" spans="2:15" s="80" customFormat="1" ht="17.899999999999999" hidden="1" customHeight="1" x14ac:dyDescent="0.25">
      <c r="B78" s="83" t="s">
        <v>913</v>
      </c>
      <c r="C78" s="1937"/>
      <c r="D78" s="84"/>
      <c r="E78" s="84"/>
      <c r="F78" s="84"/>
      <c r="G78" s="79"/>
      <c r="H78" s="79"/>
      <c r="I78" s="79"/>
      <c r="J78" s="79"/>
      <c r="K78" s="79"/>
      <c r="L78" s="79"/>
      <c r="M78" s="79"/>
      <c r="O78" s="79"/>
    </row>
    <row r="79" spans="2:15" s="80" customFormat="1" ht="17.899999999999999" hidden="1" customHeight="1" x14ac:dyDescent="0.25">
      <c r="B79" s="83" t="s">
        <v>914</v>
      </c>
      <c r="C79" s="1937"/>
      <c r="D79" s="84"/>
      <c r="E79" s="84"/>
      <c r="F79" s="84"/>
      <c r="G79" s="79"/>
      <c r="H79" s="79"/>
      <c r="I79" s="79"/>
      <c r="J79" s="79"/>
      <c r="K79" s="79"/>
      <c r="L79" s="79"/>
      <c r="M79" s="79"/>
      <c r="O79" s="79"/>
    </row>
    <row r="80" spans="2:15" s="80" customFormat="1" ht="17.899999999999999" hidden="1" customHeight="1" x14ac:dyDescent="0.25">
      <c r="B80" s="83" t="s">
        <v>915</v>
      </c>
      <c r="C80" s="1937"/>
      <c r="D80" s="84"/>
      <c r="E80" s="84"/>
      <c r="F80" s="84"/>
      <c r="G80" s="79"/>
      <c r="H80" s="79"/>
      <c r="I80" s="79"/>
      <c r="J80" s="79"/>
      <c r="K80" s="79"/>
      <c r="L80" s="79"/>
      <c r="M80" s="79"/>
      <c r="O80" s="79"/>
    </row>
    <row r="81" spans="1:15" s="80" customFormat="1" ht="17.899999999999999" hidden="1" customHeight="1" x14ac:dyDescent="0.25">
      <c r="B81" s="85" t="s">
        <v>916</v>
      </c>
      <c r="C81" s="1937"/>
      <c r="D81" s="84">
        <f>SUM(D76:D80)</f>
        <v>0</v>
      </c>
      <c r="E81" s="84">
        <f>SUM(E76:E80)</f>
        <v>0</v>
      </c>
      <c r="F81" s="84">
        <f>SUM(F76:F80)</f>
        <v>0</v>
      </c>
      <c r="G81" s="79"/>
      <c r="H81" s="79"/>
      <c r="I81" s="79"/>
      <c r="J81" s="79"/>
      <c r="K81" s="79"/>
      <c r="L81" s="79"/>
      <c r="M81" s="79"/>
      <c r="O81" s="79"/>
    </row>
    <row r="82" spans="1:15" s="80" customFormat="1" ht="17.899999999999999" hidden="1" customHeight="1" x14ac:dyDescent="0.25">
      <c r="B82" s="87" t="s">
        <v>1388</v>
      </c>
      <c r="C82" s="471"/>
      <c r="D82" s="84">
        <f>D67+D74+D81</f>
        <v>949</v>
      </c>
      <c r="E82" s="84">
        <f>E67+E74+E81</f>
        <v>0</v>
      </c>
      <c r="F82" s="84">
        <f>F67+F74+F81</f>
        <v>0</v>
      </c>
      <c r="G82" s="79"/>
      <c r="H82" s="79"/>
      <c r="I82" s="79"/>
      <c r="J82" s="79"/>
      <c r="K82" s="79"/>
      <c r="L82" s="79"/>
      <c r="M82" s="79"/>
      <c r="O82" s="79"/>
    </row>
    <row r="83" spans="1:15" ht="23.15" customHeight="1" x14ac:dyDescent="0.25">
      <c r="A83" s="1938" t="s">
        <v>1389</v>
      </c>
      <c r="B83" s="306" t="s">
        <v>1381</v>
      </c>
      <c r="C83" s="308" t="s">
        <v>1356</v>
      </c>
      <c r="D83" s="475" t="s">
        <v>462</v>
      </c>
      <c r="E83" s="475" t="s">
        <v>463</v>
      </c>
      <c r="F83" s="475" t="s">
        <v>464</v>
      </c>
      <c r="G83" s="61"/>
      <c r="H83" s="61"/>
      <c r="I83" s="61"/>
      <c r="J83" s="61"/>
      <c r="K83" s="61"/>
      <c r="L83" s="61"/>
      <c r="M83" s="61"/>
      <c r="O83" s="61"/>
    </row>
    <row r="84" spans="1:15" x14ac:dyDescent="0.25">
      <c r="A84" s="1938"/>
      <c r="B84" s="286" t="s">
        <v>911</v>
      </c>
      <c r="C84" s="1939" t="s">
        <v>1390</v>
      </c>
      <c r="D84" s="301">
        <v>376</v>
      </c>
      <c r="E84" s="302"/>
      <c r="F84" s="302"/>
      <c r="G84" s="61"/>
      <c r="H84" s="61"/>
      <c r="I84" s="61"/>
      <c r="J84" s="61"/>
      <c r="K84" s="61"/>
      <c r="L84" s="61"/>
      <c r="M84" s="61"/>
      <c r="O84" s="61"/>
    </row>
    <row r="85" spans="1:15" x14ac:dyDescent="0.25">
      <c r="A85" s="1938"/>
      <c r="B85" s="286" t="s">
        <v>912</v>
      </c>
      <c r="C85" s="1939"/>
      <c r="D85" s="301">
        <v>316</v>
      </c>
      <c r="E85" s="302"/>
      <c r="F85" s="302"/>
      <c r="G85" s="61"/>
      <c r="H85" s="61"/>
      <c r="I85" s="61"/>
      <c r="J85" s="61"/>
      <c r="K85" s="61"/>
      <c r="L85" s="61"/>
      <c r="M85" s="61"/>
      <c r="O85" s="61"/>
    </row>
    <row r="86" spans="1:15" x14ac:dyDescent="0.25">
      <c r="A86" s="1938"/>
      <c r="B86" s="286" t="s">
        <v>913</v>
      </c>
      <c r="C86" s="1939"/>
      <c r="D86" s="301">
        <v>72</v>
      </c>
      <c r="E86" s="302"/>
      <c r="F86" s="302"/>
      <c r="G86" s="61"/>
      <c r="H86" s="61"/>
      <c r="I86" s="61"/>
      <c r="J86" s="61"/>
      <c r="K86" s="61"/>
      <c r="L86" s="61"/>
      <c r="M86" s="61"/>
      <c r="O86" s="61"/>
    </row>
    <row r="87" spans="1:15" x14ac:dyDescent="0.25">
      <c r="A87" s="1938"/>
      <c r="B87" s="286" t="s">
        <v>914</v>
      </c>
      <c r="C87" s="1939"/>
      <c r="D87" s="301">
        <v>142</v>
      </c>
      <c r="E87" s="302"/>
      <c r="F87" s="302"/>
      <c r="G87" s="61"/>
      <c r="H87" s="61"/>
      <c r="I87" s="61"/>
      <c r="J87" s="61"/>
      <c r="K87" s="61"/>
      <c r="L87" s="61"/>
      <c r="M87" s="61"/>
      <c r="O87" s="61"/>
    </row>
    <row r="88" spans="1:15" x14ac:dyDescent="0.25">
      <c r="A88" s="1938"/>
      <c r="B88" s="286" t="s">
        <v>915</v>
      </c>
      <c r="C88" s="1939"/>
      <c r="D88" s="301">
        <v>43</v>
      </c>
      <c r="E88" s="302"/>
      <c r="F88" s="302"/>
      <c r="G88" s="61"/>
      <c r="H88" s="61"/>
      <c r="I88" s="61"/>
      <c r="J88" s="61"/>
      <c r="K88" s="61"/>
      <c r="L88" s="61"/>
      <c r="M88" s="61"/>
      <c r="O88" s="61"/>
    </row>
    <row r="89" spans="1:15" x14ac:dyDescent="0.25">
      <c r="A89" s="1938"/>
      <c r="B89" s="287" t="s">
        <v>916</v>
      </c>
      <c r="C89" s="1939"/>
      <c r="D89" s="301">
        <f>SUM(D84:D88)</f>
        <v>949</v>
      </c>
      <c r="E89" s="302">
        <f>SUM(E84:E88)</f>
        <v>0</v>
      </c>
      <c r="F89" s="302">
        <f>SUM(F84:F88)</f>
        <v>0</v>
      </c>
      <c r="G89" s="61"/>
      <c r="H89" s="61"/>
      <c r="I89" s="61"/>
      <c r="J89" s="61"/>
      <c r="K89" s="61"/>
      <c r="L89" s="61"/>
      <c r="M89" s="61"/>
      <c r="O89" s="61"/>
    </row>
    <row r="90" spans="1:15" x14ac:dyDescent="0.25">
      <c r="C90" s="64"/>
      <c r="D90" s="470"/>
      <c r="E90" s="470"/>
      <c r="F90" s="470"/>
      <c r="G90" s="61"/>
      <c r="H90" s="61"/>
      <c r="I90" s="61"/>
      <c r="J90" s="61"/>
      <c r="K90" s="61"/>
      <c r="L90" s="61"/>
      <c r="M90" s="61"/>
      <c r="O90" s="61"/>
    </row>
    <row r="91" spans="1:15" ht="17.5" x14ac:dyDescent="0.25">
      <c r="B91" s="473" t="s">
        <v>1391</v>
      </c>
      <c r="C91" s="308" t="s">
        <v>1356</v>
      </c>
      <c r="D91" s="280" t="s">
        <v>462</v>
      </c>
      <c r="E91" s="280" t="s">
        <v>463</v>
      </c>
      <c r="F91" s="280" t="s">
        <v>464</v>
      </c>
      <c r="G91" s="61"/>
      <c r="H91" s="61"/>
      <c r="I91" s="61"/>
      <c r="J91" s="61"/>
      <c r="K91" s="61"/>
      <c r="L91" s="61"/>
      <c r="M91" s="61"/>
      <c r="O91" s="61"/>
    </row>
    <row r="92" spans="1:15" ht="27" x14ac:dyDescent="0.25">
      <c r="B92" s="323" t="s">
        <v>1392</v>
      </c>
      <c r="C92" s="303" t="s">
        <v>1393</v>
      </c>
      <c r="D92" s="350">
        <f>D89+F28</f>
        <v>13587</v>
      </c>
      <c r="E92" s="350">
        <f>E89+I28</f>
        <v>13430</v>
      </c>
      <c r="F92" s="351">
        <f>F89+L28</f>
        <v>13641</v>
      </c>
      <c r="G92" s="61"/>
      <c r="H92" s="61"/>
      <c r="I92" s="61"/>
      <c r="J92" s="61"/>
      <c r="K92" s="61"/>
      <c r="L92" s="61"/>
      <c r="M92" s="61"/>
      <c r="O92" s="61"/>
    </row>
    <row r="93" spans="1:15" x14ac:dyDescent="0.25">
      <c r="B93" s="166" t="s">
        <v>1394</v>
      </c>
      <c r="C93" s="305" t="s">
        <v>1362</v>
      </c>
      <c r="D93" s="171">
        <v>12666</v>
      </c>
      <c r="E93" s="171">
        <v>13497</v>
      </c>
      <c r="F93" s="171">
        <v>13546</v>
      </c>
      <c r="G93" s="61"/>
      <c r="H93" s="61"/>
      <c r="I93" s="61"/>
      <c r="J93" s="61"/>
      <c r="K93" s="61"/>
      <c r="L93" s="61"/>
      <c r="M93" s="61"/>
      <c r="O93" s="61"/>
    </row>
    <row r="94" spans="1:15" x14ac:dyDescent="0.25">
      <c r="B94" s="166" t="s">
        <v>1395</v>
      </c>
      <c r="C94" s="305" t="s">
        <v>1362</v>
      </c>
      <c r="D94" s="314">
        <v>12510</v>
      </c>
      <c r="E94" s="345"/>
      <c r="F94" s="345"/>
      <c r="G94" s="61"/>
      <c r="H94" s="61"/>
      <c r="I94" s="61"/>
      <c r="J94" s="61"/>
      <c r="K94" s="61"/>
      <c r="L94" s="61"/>
      <c r="M94" s="61"/>
      <c r="O94" s="61"/>
    </row>
    <row r="95" spans="1:15" x14ac:dyDescent="0.25">
      <c r="B95" s="61"/>
      <c r="C95" s="61"/>
      <c r="D95" s="61"/>
      <c r="E95" s="61"/>
      <c r="F95" s="61"/>
      <c r="G95" s="61"/>
      <c r="H95" s="61"/>
      <c r="I95" s="61"/>
      <c r="J95" s="61"/>
      <c r="K95" s="61"/>
      <c r="L95" s="61"/>
      <c r="M95" s="61"/>
      <c r="O95" s="61"/>
    </row>
    <row r="96" spans="1:15" ht="17.5" x14ac:dyDescent="0.25">
      <c r="B96" s="473" t="s">
        <v>1396</v>
      </c>
      <c r="C96" s="308" t="s">
        <v>1356</v>
      </c>
      <c r="D96" s="1932" t="s">
        <v>462</v>
      </c>
      <c r="E96" s="1932"/>
      <c r="F96" s="1932"/>
      <c r="G96" s="1932" t="s">
        <v>463</v>
      </c>
      <c r="H96" s="1932"/>
      <c r="I96" s="1932"/>
      <c r="J96" s="1932" t="s">
        <v>464</v>
      </c>
      <c r="K96" s="1932"/>
      <c r="L96" s="1933"/>
      <c r="M96" s="61"/>
      <c r="O96" s="61"/>
    </row>
    <row r="97" spans="1:15" ht="27" x14ac:dyDescent="0.25">
      <c r="B97" s="283" t="s">
        <v>905</v>
      </c>
      <c r="C97" s="284" t="s">
        <v>1359</v>
      </c>
      <c r="D97" s="285" t="s">
        <v>906</v>
      </c>
      <c r="E97" s="285" t="s">
        <v>907</v>
      </c>
      <c r="F97" s="285" t="s">
        <v>757</v>
      </c>
      <c r="G97" s="285" t="s">
        <v>906</v>
      </c>
      <c r="H97" s="285" t="s">
        <v>907</v>
      </c>
      <c r="I97" s="285" t="s">
        <v>757</v>
      </c>
      <c r="J97" s="285" t="s">
        <v>906</v>
      </c>
      <c r="K97" s="285" t="s">
        <v>907</v>
      </c>
      <c r="L97" s="319" t="s">
        <v>757</v>
      </c>
      <c r="M97" s="61"/>
      <c r="O97" s="61"/>
    </row>
    <row r="98" spans="1:15" x14ac:dyDescent="0.25">
      <c r="A98" s="73"/>
      <c r="B98" s="191" t="s">
        <v>903</v>
      </c>
      <c r="C98" s="288"/>
      <c r="D98" s="468"/>
      <c r="E98" s="468"/>
      <c r="F98" s="468"/>
      <c r="G98" s="468"/>
      <c r="H98" s="468"/>
      <c r="I98" s="468"/>
      <c r="J98" s="468"/>
      <c r="K98" s="468"/>
      <c r="L98" s="468"/>
      <c r="M98" s="61"/>
      <c r="O98" s="61"/>
    </row>
    <row r="99" spans="1:15" x14ac:dyDescent="0.25">
      <c r="A99" s="73"/>
      <c r="B99" s="286" t="s">
        <v>911</v>
      </c>
      <c r="C99" s="1934" t="s">
        <v>1298</v>
      </c>
      <c r="D99" s="1935">
        <v>289</v>
      </c>
      <c r="E99" s="1935">
        <v>270</v>
      </c>
      <c r="F99" s="1935">
        <f>SUM(D99:E99)</f>
        <v>559</v>
      </c>
      <c r="G99" s="1922">
        <v>342</v>
      </c>
      <c r="H99" s="1922">
        <v>407</v>
      </c>
      <c r="I99" s="1922">
        <f>SUM(G99:H99)</f>
        <v>749</v>
      </c>
      <c r="J99" s="1922">
        <v>258</v>
      </c>
      <c r="K99" s="1922">
        <v>476</v>
      </c>
      <c r="L99" s="1922">
        <v>734</v>
      </c>
      <c r="M99" s="61"/>
      <c r="O99" s="61"/>
    </row>
    <row r="100" spans="1:15" x14ac:dyDescent="0.25">
      <c r="A100" s="73"/>
      <c r="B100" s="286" t="s">
        <v>912</v>
      </c>
      <c r="C100" s="1934"/>
      <c r="D100" s="1936"/>
      <c r="E100" s="1936"/>
      <c r="F100" s="1936"/>
      <c r="G100" s="1922"/>
      <c r="H100" s="1922"/>
      <c r="I100" s="1922"/>
      <c r="J100" s="1922"/>
      <c r="K100" s="1922"/>
      <c r="L100" s="1922"/>
      <c r="M100" s="61"/>
      <c r="O100" s="61"/>
    </row>
    <row r="101" spans="1:15" x14ac:dyDescent="0.25">
      <c r="A101" s="73"/>
      <c r="B101" s="286" t="s">
        <v>913</v>
      </c>
      <c r="C101" s="1934"/>
      <c r="D101" s="292">
        <v>21</v>
      </c>
      <c r="E101" s="292">
        <v>49</v>
      </c>
      <c r="F101" s="292">
        <f>SUM(D101:E101)</f>
        <v>70</v>
      </c>
      <c r="G101" s="468">
        <v>3</v>
      </c>
      <c r="H101" s="468">
        <v>8</v>
      </c>
      <c r="I101" s="468">
        <f>SUM(G101:H101)</f>
        <v>11</v>
      </c>
      <c r="J101" s="468">
        <v>12</v>
      </c>
      <c r="K101" s="468">
        <v>26</v>
      </c>
      <c r="L101" s="468">
        <v>38</v>
      </c>
      <c r="M101" s="61"/>
      <c r="O101" s="61"/>
    </row>
    <row r="102" spans="1:15" x14ac:dyDescent="0.25">
      <c r="A102" s="73"/>
      <c r="B102" s="286" t="s">
        <v>914</v>
      </c>
      <c r="C102" s="1934"/>
      <c r="D102" s="292">
        <v>16</v>
      </c>
      <c r="E102" s="292">
        <v>235</v>
      </c>
      <c r="F102" s="292">
        <f>SUM(D102:E102)</f>
        <v>251</v>
      </c>
      <c r="G102" s="468">
        <v>18</v>
      </c>
      <c r="H102" s="468">
        <v>124</v>
      </c>
      <c r="I102" s="468">
        <f>SUM(G102:H102)</f>
        <v>142</v>
      </c>
      <c r="J102" s="468">
        <v>34</v>
      </c>
      <c r="K102" s="468">
        <v>135</v>
      </c>
      <c r="L102" s="468">
        <v>169</v>
      </c>
      <c r="M102" s="61"/>
      <c r="O102" s="61"/>
    </row>
    <row r="103" spans="1:15" x14ac:dyDescent="0.25">
      <c r="A103" s="73"/>
      <c r="B103" s="286" t="s">
        <v>915</v>
      </c>
      <c r="C103" s="1934"/>
      <c r="D103" s="292">
        <v>1</v>
      </c>
      <c r="E103" s="292">
        <v>4</v>
      </c>
      <c r="F103" s="292">
        <f>SUM(D103:E103)</f>
        <v>5</v>
      </c>
      <c r="G103" s="468">
        <v>4</v>
      </c>
      <c r="H103" s="468">
        <v>9</v>
      </c>
      <c r="I103" s="468">
        <f>SUM(G103:H103)</f>
        <v>13</v>
      </c>
      <c r="J103" s="468">
        <v>1</v>
      </c>
      <c r="K103" s="468"/>
      <c r="L103" s="468">
        <v>1</v>
      </c>
      <c r="M103" s="61"/>
      <c r="O103" s="61"/>
    </row>
    <row r="104" spans="1:15" x14ac:dyDescent="0.25">
      <c r="A104" s="73"/>
      <c r="B104" s="287" t="s">
        <v>916</v>
      </c>
      <c r="C104" s="1934"/>
      <c r="D104" s="292">
        <f t="shared" ref="D104:L104" si="14">SUM(D99:D103)</f>
        <v>327</v>
      </c>
      <c r="E104" s="292">
        <f t="shared" si="14"/>
        <v>558</v>
      </c>
      <c r="F104" s="292">
        <f t="shared" si="14"/>
        <v>885</v>
      </c>
      <c r="G104" s="468">
        <f t="shared" si="14"/>
        <v>367</v>
      </c>
      <c r="H104" s="468">
        <f t="shared" si="14"/>
        <v>548</v>
      </c>
      <c r="I104" s="468">
        <f t="shared" si="14"/>
        <v>915</v>
      </c>
      <c r="J104" s="468">
        <f t="shared" si="14"/>
        <v>305</v>
      </c>
      <c r="K104" s="468">
        <f t="shared" si="14"/>
        <v>637</v>
      </c>
      <c r="L104" s="468">
        <f t="shared" si="14"/>
        <v>942</v>
      </c>
      <c r="M104" s="61"/>
      <c r="O104" s="61"/>
    </row>
    <row r="105" spans="1:15" x14ac:dyDescent="0.25">
      <c r="B105" s="61"/>
      <c r="C105" s="61"/>
      <c r="D105" s="61"/>
      <c r="E105" s="61"/>
      <c r="F105" s="61"/>
      <c r="G105" s="61"/>
      <c r="H105" s="61"/>
      <c r="I105" s="61"/>
      <c r="J105" s="61"/>
      <c r="K105" s="61"/>
      <c r="L105" s="61"/>
      <c r="M105" s="61"/>
      <c r="O105" s="61"/>
    </row>
    <row r="106" spans="1:15" x14ac:dyDescent="0.25">
      <c r="B106" s="1923" t="s">
        <v>989</v>
      </c>
      <c r="C106" s="1925" t="s">
        <v>1356</v>
      </c>
      <c r="D106" s="1927" t="s">
        <v>462</v>
      </c>
      <c r="E106" s="1928"/>
      <c r="F106" s="1929"/>
      <c r="G106" s="1930" t="s">
        <v>463</v>
      </c>
      <c r="H106" s="1931"/>
      <c r="I106" s="1930" t="s">
        <v>464</v>
      </c>
      <c r="J106" s="1931"/>
      <c r="K106" s="63"/>
      <c r="L106" s="63"/>
      <c r="M106" s="63"/>
      <c r="O106" s="63"/>
    </row>
    <row r="107" spans="1:15" ht="81" x14ac:dyDescent="0.25">
      <c r="B107" s="1924"/>
      <c r="C107" s="1926"/>
      <c r="D107" s="429" t="s">
        <v>1397</v>
      </c>
      <c r="E107" s="476" t="s">
        <v>991</v>
      </c>
      <c r="F107" s="476" t="s">
        <v>992</v>
      </c>
      <c r="G107" s="476" t="s">
        <v>991</v>
      </c>
      <c r="H107" s="476" t="s">
        <v>992</v>
      </c>
      <c r="I107" s="476" t="s">
        <v>991</v>
      </c>
      <c r="J107" s="476" t="s">
        <v>992</v>
      </c>
      <c r="K107" s="63"/>
      <c r="L107" s="63"/>
      <c r="O107" s="63"/>
    </row>
    <row r="108" spans="1:15" x14ac:dyDescent="0.25">
      <c r="B108" s="414" t="s">
        <v>911</v>
      </c>
      <c r="C108" s="1913" t="s">
        <v>1398</v>
      </c>
      <c r="D108" s="430">
        <v>4162</v>
      </c>
      <c r="E108" s="427">
        <v>893</v>
      </c>
      <c r="F108" s="431">
        <f t="shared" ref="F108:F113" si="15">E108/(D108)</f>
        <v>0.2145603075444498</v>
      </c>
      <c r="G108" s="1914">
        <v>2468</v>
      </c>
      <c r="H108" s="1915">
        <v>0.32</v>
      </c>
      <c r="I108" s="1917">
        <v>2134</v>
      </c>
      <c r="J108" s="1915">
        <v>0.27</v>
      </c>
      <c r="K108" s="63"/>
      <c r="L108" s="63"/>
      <c r="M108" s="63"/>
      <c r="N108" s="63"/>
      <c r="O108" s="63"/>
    </row>
    <row r="109" spans="1:15" x14ac:dyDescent="0.25">
      <c r="B109" s="414" t="s">
        <v>912</v>
      </c>
      <c r="C109" s="1913"/>
      <c r="D109" s="430">
        <v>2734</v>
      </c>
      <c r="E109" s="427">
        <v>668</v>
      </c>
      <c r="F109" s="431">
        <f t="shared" si="15"/>
        <v>0.24433065106071689</v>
      </c>
      <c r="G109" s="1914"/>
      <c r="H109" s="1916"/>
      <c r="I109" s="1918"/>
      <c r="J109" s="1916"/>
      <c r="K109" s="347"/>
      <c r="L109" s="63"/>
      <c r="M109" s="63"/>
      <c r="N109" s="63"/>
      <c r="O109" s="63"/>
    </row>
    <row r="110" spans="1:15" x14ac:dyDescent="0.25">
      <c r="B110" s="414" t="s">
        <v>913</v>
      </c>
      <c r="C110" s="1913"/>
      <c r="D110" s="430">
        <v>2271</v>
      </c>
      <c r="E110" s="427">
        <v>397</v>
      </c>
      <c r="F110" s="431">
        <f t="shared" si="15"/>
        <v>0.17481285777190664</v>
      </c>
      <c r="G110" s="472">
        <v>502</v>
      </c>
      <c r="H110" s="444">
        <v>0.18</v>
      </c>
      <c r="I110" s="472">
        <v>494</v>
      </c>
      <c r="J110" s="444">
        <v>0.21</v>
      </c>
      <c r="K110" s="347"/>
      <c r="L110" s="63"/>
      <c r="M110" s="63"/>
      <c r="N110" s="63"/>
      <c r="O110" s="63"/>
    </row>
    <row r="111" spans="1:15" x14ac:dyDescent="0.25">
      <c r="B111" s="414" t="s">
        <v>914</v>
      </c>
      <c r="C111" s="1913"/>
      <c r="D111" s="430">
        <v>2442</v>
      </c>
      <c r="E111" s="519">
        <v>660</v>
      </c>
      <c r="F111" s="431">
        <f t="shared" si="15"/>
        <v>0.27027027027027029</v>
      </c>
      <c r="G111" s="472">
        <v>149</v>
      </c>
      <c r="H111" s="444">
        <v>0.06</v>
      </c>
      <c r="I111" s="472">
        <v>118</v>
      </c>
      <c r="J111" s="444">
        <v>0.05</v>
      </c>
      <c r="K111" s="347"/>
      <c r="L111" s="63"/>
      <c r="M111" s="63"/>
      <c r="N111" s="63"/>
      <c r="O111" s="63"/>
    </row>
    <row r="112" spans="1:15" x14ac:dyDescent="0.25">
      <c r="B112" s="414" t="s">
        <v>915</v>
      </c>
      <c r="C112" s="1913"/>
      <c r="D112" s="430">
        <v>1057</v>
      </c>
      <c r="E112" s="427">
        <v>545</v>
      </c>
      <c r="F112" s="431">
        <f t="shared" si="15"/>
        <v>0.51561021759697256</v>
      </c>
      <c r="G112" s="472">
        <v>295</v>
      </c>
      <c r="H112" s="445">
        <v>0.49</v>
      </c>
      <c r="I112" s="446">
        <v>252</v>
      </c>
      <c r="J112" s="445">
        <v>0.4</v>
      </c>
      <c r="K112" s="347"/>
      <c r="L112" s="63"/>
      <c r="M112" s="63"/>
      <c r="N112" s="63"/>
      <c r="O112" s="63"/>
    </row>
    <row r="113" spans="1:15" x14ac:dyDescent="0.25">
      <c r="B113" s="428" t="s">
        <v>993</v>
      </c>
      <c r="C113" s="1913"/>
      <c r="D113" s="427">
        <f>SUM(D108:D112)</f>
        <v>12666</v>
      </c>
      <c r="E113" s="427">
        <f>SUM(E108:E112)</f>
        <v>3163</v>
      </c>
      <c r="F113" s="431">
        <f t="shared" si="15"/>
        <v>0.24972366966682458</v>
      </c>
      <c r="G113" s="472">
        <f>G108+G110+G111+G112</f>
        <v>3414</v>
      </c>
      <c r="H113" s="444">
        <v>0.25</v>
      </c>
      <c r="I113" s="472">
        <f>I108+I110+I111+I112</f>
        <v>2998</v>
      </c>
      <c r="J113" s="444">
        <v>0.22</v>
      </c>
      <c r="K113" s="347"/>
      <c r="L113" s="63"/>
      <c r="M113" s="63"/>
      <c r="N113" s="63"/>
      <c r="O113" s="63"/>
    </row>
    <row r="114" spans="1:15" x14ac:dyDescent="0.25">
      <c r="C114" s="90"/>
    </row>
    <row r="115" spans="1:15" ht="17.5" x14ac:dyDescent="0.25">
      <c r="B115" s="474" t="s">
        <v>1006</v>
      </c>
      <c r="C115" s="435" t="s">
        <v>1356</v>
      </c>
      <c r="D115" s="1919" t="s">
        <v>462</v>
      </c>
      <c r="E115" s="1920"/>
      <c r="F115" s="1920"/>
      <c r="G115" s="1921"/>
    </row>
    <row r="116" spans="1:15" ht="26.25" customHeight="1" x14ac:dyDescent="0.25">
      <c r="B116" s="372" t="s">
        <v>905</v>
      </c>
      <c r="C116" s="373" t="s">
        <v>1359</v>
      </c>
      <c r="D116" s="436" t="s">
        <v>906</v>
      </c>
      <c r="E116" s="436" t="s">
        <v>907</v>
      </c>
      <c r="F116" s="436" t="s">
        <v>757</v>
      </c>
      <c r="G116" s="436" t="s">
        <v>1399</v>
      </c>
    </row>
    <row r="117" spans="1:15" x14ac:dyDescent="0.25">
      <c r="B117" s="414" t="s">
        <v>911</v>
      </c>
      <c r="C117" s="1905" t="s">
        <v>1400</v>
      </c>
      <c r="D117" s="432">
        <v>215</v>
      </c>
      <c r="E117" s="432">
        <v>370</v>
      </c>
      <c r="F117" s="432">
        <v>585</v>
      </c>
      <c r="G117" s="437">
        <f t="shared" ref="G117:G122" si="16">F117/F23</f>
        <v>0.14341750429026723</v>
      </c>
    </row>
    <row r="118" spans="1:15" x14ac:dyDescent="0.25">
      <c r="B118" s="414" t="s">
        <v>912</v>
      </c>
      <c r="C118" s="1906"/>
      <c r="D118" s="432">
        <v>83</v>
      </c>
      <c r="E118" s="432">
        <v>102</v>
      </c>
      <c r="F118" s="432">
        <v>185</v>
      </c>
      <c r="G118" s="437">
        <f t="shared" si="16"/>
        <v>6.4730580825752268E-2</v>
      </c>
    </row>
    <row r="119" spans="1:15" x14ac:dyDescent="0.25">
      <c r="B119" s="414" t="s">
        <v>913</v>
      </c>
      <c r="C119" s="1906"/>
      <c r="D119" s="432">
        <v>99</v>
      </c>
      <c r="E119" s="432">
        <v>205</v>
      </c>
      <c r="F119" s="432">
        <v>304</v>
      </c>
      <c r="G119" s="437">
        <f t="shared" si="16"/>
        <v>0.13906678865507777</v>
      </c>
    </row>
    <row r="120" spans="1:15" x14ac:dyDescent="0.25">
      <c r="B120" s="414" t="s">
        <v>914</v>
      </c>
      <c r="C120" s="1906"/>
      <c r="D120" s="432">
        <v>42</v>
      </c>
      <c r="E120" s="432">
        <v>111</v>
      </c>
      <c r="F120" s="432">
        <v>153</v>
      </c>
      <c r="G120" s="437">
        <f t="shared" si="16"/>
        <v>6.2220414802765349E-2</v>
      </c>
    </row>
    <row r="121" spans="1:15" x14ac:dyDescent="0.25">
      <c r="B121" s="414" t="s">
        <v>915</v>
      </c>
      <c r="C121" s="1906"/>
      <c r="D121" s="432">
        <v>13</v>
      </c>
      <c r="E121" s="432">
        <v>38</v>
      </c>
      <c r="F121" s="432">
        <v>51</v>
      </c>
      <c r="G121" s="437">
        <f t="shared" si="16"/>
        <v>4.8295454545454544E-2</v>
      </c>
    </row>
    <row r="122" spans="1:15" x14ac:dyDescent="0.25">
      <c r="B122" s="428" t="s">
        <v>993</v>
      </c>
      <c r="C122" s="1906"/>
      <c r="D122" s="433">
        <f>SUM(D117:D121)</f>
        <v>452</v>
      </c>
      <c r="E122" s="433">
        <f>SUM(E117:E121)</f>
        <v>826</v>
      </c>
      <c r="F122" s="434">
        <f>SUM(F117:F121)</f>
        <v>1278</v>
      </c>
      <c r="G122" s="437">
        <f t="shared" si="16"/>
        <v>0.10112359550561797</v>
      </c>
    </row>
    <row r="123" spans="1:15" x14ac:dyDescent="0.25">
      <c r="C123" s="90"/>
    </row>
    <row r="124" spans="1:15" ht="17.5" x14ac:dyDescent="0.25">
      <c r="A124" s="2" t="s">
        <v>1401</v>
      </c>
      <c r="B124" s="447" t="s">
        <v>1007</v>
      </c>
      <c r="C124" s="454" t="s">
        <v>1356</v>
      </c>
      <c r="D124" s="1907" t="s">
        <v>462</v>
      </c>
      <c r="E124" s="1907"/>
      <c r="F124" s="1907"/>
    </row>
    <row r="125" spans="1:15" ht="27" x14ac:dyDescent="0.25">
      <c r="A125" s="9" t="s">
        <v>1402</v>
      </c>
      <c r="B125" s="455" t="s">
        <v>905</v>
      </c>
      <c r="C125" s="456" t="s">
        <v>1359</v>
      </c>
      <c r="D125" s="457" t="s">
        <v>906</v>
      </c>
      <c r="E125" s="457" t="s">
        <v>907</v>
      </c>
      <c r="F125" s="457" t="s">
        <v>757</v>
      </c>
    </row>
    <row r="126" spans="1:15" ht="27" x14ac:dyDescent="0.25">
      <c r="B126" s="458" t="s">
        <v>1403</v>
      </c>
      <c r="C126" s="459"/>
      <c r="D126" s="505"/>
      <c r="E126" s="505"/>
      <c r="F126" s="505"/>
    </row>
    <row r="127" spans="1:15" ht="27" x14ac:dyDescent="0.25">
      <c r="B127" s="458" t="s">
        <v>1008</v>
      </c>
      <c r="C127" s="459"/>
      <c r="D127" s="505">
        <v>20</v>
      </c>
      <c r="E127" s="505">
        <v>6</v>
      </c>
      <c r="F127" s="505">
        <v>26</v>
      </c>
    </row>
    <row r="128" spans="1:15" ht="37.5" customHeight="1" x14ac:dyDescent="0.25">
      <c r="B128" s="458" t="s">
        <v>1009</v>
      </c>
      <c r="C128" s="461" t="s">
        <v>1404</v>
      </c>
      <c r="D128" s="505">
        <v>0</v>
      </c>
      <c r="E128" s="505">
        <v>2</v>
      </c>
      <c r="F128" s="505">
        <v>2</v>
      </c>
    </row>
    <row r="129" spans="1:9" ht="49.4" customHeight="1" x14ac:dyDescent="0.25">
      <c r="B129" s="458" t="s">
        <v>1010</v>
      </c>
      <c r="C129" s="461" t="s">
        <v>1405</v>
      </c>
      <c r="D129" s="505"/>
      <c r="E129" s="505"/>
      <c r="F129" s="505"/>
    </row>
    <row r="130" spans="1:9" ht="27" x14ac:dyDescent="0.25">
      <c r="B130" s="458" t="s">
        <v>1011</v>
      </c>
      <c r="C130" s="461" t="s">
        <v>1404</v>
      </c>
      <c r="D130" s="506" t="s">
        <v>1406</v>
      </c>
      <c r="E130" s="506" t="s">
        <v>1407</v>
      </c>
      <c r="F130" s="505"/>
    </row>
    <row r="131" spans="1:9" ht="14.25" customHeight="1" x14ac:dyDescent="0.25">
      <c r="C131" s="90"/>
    </row>
    <row r="132" spans="1:9" ht="32.15" customHeight="1" x14ac:dyDescent="0.25">
      <c r="A132" s="2" t="s">
        <v>1401</v>
      </c>
      <c r="B132" s="447" t="s">
        <v>1014</v>
      </c>
      <c r="C132" s="507" t="s">
        <v>1356</v>
      </c>
      <c r="D132" s="1908" t="s">
        <v>462</v>
      </c>
      <c r="E132" s="1908"/>
      <c r="F132" s="1908"/>
      <c r="G132" s="1908" t="s">
        <v>462</v>
      </c>
      <c r="H132" s="1908"/>
      <c r="I132" s="1908"/>
    </row>
    <row r="133" spans="1:9" ht="27" x14ac:dyDescent="0.25">
      <c r="A133" s="1909" t="s">
        <v>1408</v>
      </c>
      <c r="B133" s="455" t="s">
        <v>905</v>
      </c>
      <c r="C133" s="456" t="s">
        <v>1359</v>
      </c>
      <c r="D133" s="457" t="s">
        <v>906</v>
      </c>
      <c r="E133" s="457" t="s">
        <v>907</v>
      </c>
      <c r="F133" s="457" t="s">
        <v>757</v>
      </c>
      <c r="G133" s="457" t="s">
        <v>906</v>
      </c>
      <c r="H133" s="457" t="s">
        <v>907</v>
      </c>
      <c r="I133" s="457" t="s">
        <v>757</v>
      </c>
    </row>
    <row r="134" spans="1:9" x14ac:dyDescent="0.25">
      <c r="A134" s="1909"/>
      <c r="B134" s="458" t="s">
        <v>1015</v>
      </c>
      <c r="C134" s="1910" t="s">
        <v>1409</v>
      </c>
      <c r="D134" s="460">
        <v>3509</v>
      </c>
      <c r="E134" s="460">
        <v>7737</v>
      </c>
      <c r="F134" s="460">
        <v>11246</v>
      </c>
      <c r="G134" s="504">
        <v>0.98199999999999998</v>
      </c>
      <c r="H134" s="504">
        <v>0.89900000000000002</v>
      </c>
      <c r="I134" s="504">
        <v>0.92300000000000004</v>
      </c>
    </row>
    <row r="135" spans="1:9" x14ac:dyDescent="0.25">
      <c r="B135" s="438" t="s">
        <v>1016</v>
      </c>
      <c r="C135" s="1911"/>
      <c r="D135" s="460">
        <v>182</v>
      </c>
      <c r="E135" s="460">
        <v>230</v>
      </c>
      <c r="F135" s="460">
        <v>412</v>
      </c>
      <c r="G135" s="504">
        <v>0.91900000000000004</v>
      </c>
      <c r="H135" s="504">
        <v>0.89800000000000002</v>
      </c>
      <c r="I135" s="504">
        <v>0.90700000000000003</v>
      </c>
    </row>
    <row r="136" spans="1:9" x14ac:dyDescent="0.25">
      <c r="B136" s="438" t="s">
        <v>1017</v>
      </c>
      <c r="C136" s="1912"/>
      <c r="D136" s="460">
        <v>3691</v>
      </c>
      <c r="E136" s="460">
        <v>7967</v>
      </c>
      <c r="F136" s="460">
        <v>11658</v>
      </c>
      <c r="G136" s="504">
        <v>0.97799999999999998</v>
      </c>
      <c r="H136" s="504">
        <v>0.89900000000000002</v>
      </c>
      <c r="I136" s="504">
        <v>0.92200000000000004</v>
      </c>
    </row>
    <row r="137" spans="1:9" ht="14.25" customHeight="1" x14ac:dyDescent="0.25">
      <c r="C137" s="90"/>
    </row>
    <row r="138" spans="1:9" ht="22.5" customHeight="1" x14ac:dyDescent="0.25">
      <c r="B138" s="1898" t="s">
        <v>1014</v>
      </c>
      <c r="C138" s="1900" t="s">
        <v>1356</v>
      </c>
      <c r="D138" s="1902" t="s">
        <v>462</v>
      </c>
      <c r="E138" s="1903"/>
      <c r="F138" s="63"/>
      <c r="G138" s="63"/>
    </row>
    <row r="139" spans="1:9" ht="22.5" customHeight="1" x14ac:dyDescent="0.25">
      <c r="B139" s="1899"/>
      <c r="C139" s="1901"/>
      <c r="D139" s="308" t="s">
        <v>757</v>
      </c>
      <c r="E139" s="308" t="s">
        <v>494</v>
      </c>
      <c r="F139" s="63"/>
      <c r="G139" s="63"/>
    </row>
    <row r="140" spans="1:9" ht="67.5" x14ac:dyDescent="0.25">
      <c r="B140" s="438" t="s">
        <v>925</v>
      </c>
      <c r="C140" s="510" t="s">
        <v>1410</v>
      </c>
      <c r="D140" s="508">
        <f>F28-980</f>
        <v>11658</v>
      </c>
      <c r="E140" s="509">
        <v>0.92200000000000004</v>
      </c>
      <c r="F140" s="463"/>
      <c r="G140" s="462"/>
      <c r="I140" s="462"/>
    </row>
    <row r="141" spans="1:9" ht="14.25" customHeight="1" x14ac:dyDescent="0.25">
      <c r="C141" s="90"/>
    </row>
    <row r="142" spans="1:9" ht="27" x14ac:dyDescent="0.25">
      <c r="A142" s="10" t="s">
        <v>1411</v>
      </c>
      <c r="B142" s="306" t="s">
        <v>1038</v>
      </c>
      <c r="C142" s="308" t="s">
        <v>1356</v>
      </c>
      <c r="D142" s="307" t="s">
        <v>462</v>
      </c>
      <c r="E142" s="307" t="s">
        <v>463</v>
      </c>
      <c r="F142" s="307" t="s">
        <v>464</v>
      </c>
      <c r="G142" s="307" t="s">
        <v>465</v>
      </c>
    </row>
    <row r="143" spans="1:9" x14ac:dyDescent="0.25">
      <c r="A143" s="2" t="s">
        <v>1412</v>
      </c>
      <c r="B143" s="269" t="s">
        <v>1039</v>
      </c>
      <c r="C143" s="469" t="s">
        <v>1413</v>
      </c>
      <c r="D143" s="304">
        <v>0.75</v>
      </c>
      <c r="E143" s="304" t="s">
        <v>1040</v>
      </c>
      <c r="F143" s="520">
        <v>0.74</v>
      </c>
      <c r="G143" s="520">
        <v>0.64</v>
      </c>
    </row>
    <row r="144" spans="1:9" x14ac:dyDescent="0.25">
      <c r="B144" s="296" t="s">
        <v>1041</v>
      </c>
      <c r="C144" s="469"/>
      <c r="D144" s="304"/>
      <c r="E144" s="304" t="s">
        <v>1040</v>
      </c>
      <c r="F144" s="520">
        <v>0.65</v>
      </c>
      <c r="G144" s="520">
        <v>0.63</v>
      </c>
    </row>
    <row r="145" spans="1:15" ht="27" x14ac:dyDescent="0.25">
      <c r="B145" s="296" t="s">
        <v>1042</v>
      </c>
      <c r="C145" s="469" t="s">
        <v>1313</v>
      </c>
      <c r="D145" s="296">
        <v>6.9</v>
      </c>
      <c r="E145" s="304" t="s">
        <v>1040</v>
      </c>
      <c r="F145" s="521"/>
      <c r="G145" s="521"/>
    </row>
    <row r="146" spans="1:15" x14ac:dyDescent="0.25">
      <c r="C146" s="64"/>
      <c r="O146" s="2"/>
    </row>
    <row r="147" spans="1:15" ht="17.5" x14ac:dyDescent="0.25">
      <c r="B147" s="306" t="s">
        <v>1019</v>
      </c>
      <c r="C147" s="308" t="s">
        <v>1356</v>
      </c>
      <c r="D147" s="307" t="s">
        <v>462</v>
      </c>
    </row>
    <row r="148" spans="1:15" ht="46.5" customHeight="1" x14ac:dyDescent="0.3">
      <c r="A148" s="310" t="s">
        <v>1414</v>
      </c>
      <c r="B148" s="335" t="s">
        <v>1415</v>
      </c>
      <c r="C148" s="326" t="s">
        <v>1416</v>
      </c>
      <c r="D148" s="346">
        <v>25.52</v>
      </c>
      <c r="N148" s="61"/>
      <c r="O148" s="61"/>
    </row>
    <row r="149" spans="1:15" x14ac:dyDescent="0.25">
      <c r="C149" s="90"/>
    </row>
    <row r="150" spans="1:15" ht="17.5" x14ac:dyDescent="0.25">
      <c r="A150" s="2" t="s">
        <v>1401</v>
      </c>
      <c r="B150" s="357" t="s">
        <v>1019</v>
      </c>
      <c r="C150" s="467" t="s">
        <v>1356</v>
      </c>
      <c r="D150" s="1904" t="s">
        <v>462</v>
      </c>
      <c r="E150" s="1904"/>
      <c r="F150" s="1904"/>
      <c r="G150" s="1904"/>
      <c r="H150" s="1904"/>
    </row>
    <row r="151" spans="1:15" ht="96" customHeight="1" x14ac:dyDescent="0.25">
      <c r="B151" s="358"/>
      <c r="C151" s="369"/>
      <c r="D151" s="511" t="s">
        <v>1417</v>
      </c>
      <c r="E151" s="511" t="s">
        <v>1418</v>
      </c>
      <c r="F151" s="511" t="s">
        <v>1419</v>
      </c>
      <c r="G151" s="359" t="s">
        <v>1420</v>
      </c>
      <c r="H151" s="359" t="s">
        <v>1029</v>
      </c>
    </row>
    <row r="152" spans="1:15" ht="14.5" hidden="1" x14ac:dyDescent="0.25">
      <c r="B152" s="358" t="s">
        <v>1421</v>
      </c>
      <c r="C152" s="370"/>
      <c r="D152" s="512">
        <v>20</v>
      </c>
      <c r="E152" s="512">
        <v>491</v>
      </c>
      <c r="F152" s="512">
        <v>42</v>
      </c>
      <c r="G152" s="358">
        <v>553</v>
      </c>
      <c r="H152" s="360">
        <f t="shared" ref="H152:H159" si="17">E152/G152</f>
        <v>0.88788426763110306</v>
      </c>
    </row>
    <row r="153" spans="1:15" ht="14.5" hidden="1" x14ac:dyDescent="0.25">
      <c r="B153" s="358" t="s">
        <v>1422</v>
      </c>
      <c r="C153" s="370"/>
      <c r="D153" s="512">
        <v>58</v>
      </c>
      <c r="E153" s="512">
        <v>648</v>
      </c>
      <c r="F153" s="512">
        <v>177</v>
      </c>
      <c r="G153" s="358">
        <v>883</v>
      </c>
      <c r="H153" s="360">
        <f t="shared" si="17"/>
        <v>0.73386183465458665</v>
      </c>
    </row>
    <row r="154" spans="1:15" ht="14.5" hidden="1" x14ac:dyDescent="0.25">
      <c r="B154" s="358" t="s">
        <v>1423</v>
      </c>
      <c r="C154" s="370"/>
      <c r="D154" s="512">
        <v>2</v>
      </c>
      <c r="E154" s="512">
        <v>562</v>
      </c>
      <c r="F154" s="512">
        <v>188</v>
      </c>
      <c r="G154" s="358">
        <v>752</v>
      </c>
      <c r="H154" s="360">
        <f t="shared" si="17"/>
        <v>0.74734042553191493</v>
      </c>
    </row>
    <row r="155" spans="1:15" ht="14.5" hidden="1" x14ac:dyDescent="0.25">
      <c r="B155" s="358" t="s">
        <v>1424</v>
      </c>
      <c r="C155" s="370"/>
      <c r="D155" s="512">
        <v>2</v>
      </c>
      <c r="E155" s="512">
        <v>86</v>
      </c>
      <c r="F155" s="512">
        <v>44</v>
      </c>
      <c r="G155" s="358">
        <v>132</v>
      </c>
      <c r="H155" s="360">
        <f t="shared" si="17"/>
        <v>0.65151515151515149</v>
      </c>
    </row>
    <row r="156" spans="1:15" ht="14.5" hidden="1" x14ac:dyDescent="0.25">
      <c r="B156" s="358" t="s">
        <v>1425</v>
      </c>
      <c r="C156" s="370"/>
      <c r="D156" s="512">
        <v>2</v>
      </c>
      <c r="E156" s="512">
        <v>270</v>
      </c>
      <c r="F156" s="512">
        <v>92</v>
      </c>
      <c r="G156" s="358">
        <v>364</v>
      </c>
      <c r="H156" s="360">
        <f t="shared" si="17"/>
        <v>0.74175824175824179</v>
      </c>
    </row>
    <row r="157" spans="1:15" ht="14.5" hidden="1" x14ac:dyDescent="0.25">
      <c r="B157" s="358" t="s">
        <v>1426</v>
      </c>
      <c r="C157" s="370"/>
      <c r="D157" s="512">
        <v>1</v>
      </c>
      <c r="E157" s="512">
        <v>113</v>
      </c>
      <c r="F157" s="512">
        <v>47</v>
      </c>
      <c r="G157" s="358">
        <v>161</v>
      </c>
      <c r="H157" s="360">
        <f t="shared" si="17"/>
        <v>0.70186335403726707</v>
      </c>
    </row>
    <row r="158" spans="1:15" ht="14.5" hidden="1" x14ac:dyDescent="0.25">
      <c r="B158" s="358" t="s">
        <v>1427</v>
      </c>
      <c r="C158" s="370"/>
      <c r="D158" s="512">
        <v>159</v>
      </c>
      <c r="E158" s="512">
        <v>149</v>
      </c>
      <c r="F158" s="512">
        <v>87</v>
      </c>
      <c r="G158" s="358">
        <v>395</v>
      </c>
      <c r="H158" s="360">
        <f t="shared" si="17"/>
        <v>0.37721518987341773</v>
      </c>
    </row>
    <row r="159" spans="1:15" ht="42.75" customHeight="1" x14ac:dyDescent="0.25">
      <c r="B159" s="438" t="s">
        <v>1428</v>
      </c>
      <c r="C159" s="438" t="s">
        <v>1429</v>
      </c>
      <c r="D159" s="439">
        <v>244</v>
      </c>
      <c r="E159" s="439">
        <v>2319</v>
      </c>
      <c r="F159" s="439">
        <v>677</v>
      </c>
      <c r="G159" s="439">
        <f t="shared" ref="G159:G181" si="18">SUM(D159:F159)</f>
        <v>3240</v>
      </c>
      <c r="H159" s="440">
        <f t="shared" si="17"/>
        <v>0.71574074074074079</v>
      </c>
    </row>
    <row r="160" spans="1:15" hidden="1" x14ac:dyDescent="0.25">
      <c r="B160" s="438"/>
      <c r="C160" s="438"/>
      <c r="D160" s="441"/>
      <c r="E160" s="441"/>
      <c r="F160" s="441"/>
      <c r="G160" s="439">
        <f t="shared" si="18"/>
        <v>0</v>
      </c>
      <c r="H160" s="442"/>
    </row>
    <row r="161" spans="2:8" hidden="1" x14ac:dyDescent="0.25">
      <c r="B161" s="438"/>
      <c r="C161" s="438"/>
      <c r="D161" s="441"/>
      <c r="E161" s="441"/>
      <c r="F161" s="441"/>
      <c r="G161" s="439">
        <f t="shared" si="18"/>
        <v>0</v>
      </c>
      <c r="H161" s="442"/>
    </row>
    <row r="162" spans="2:8" hidden="1" x14ac:dyDescent="0.25">
      <c r="B162" s="438"/>
      <c r="C162" s="438"/>
      <c r="D162" s="441"/>
      <c r="E162" s="441"/>
      <c r="F162" s="441"/>
      <c r="G162" s="439">
        <f t="shared" si="18"/>
        <v>0</v>
      </c>
      <c r="H162" s="442"/>
    </row>
    <row r="163" spans="2:8" hidden="1" x14ac:dyDescent="0.25">
      <c r="B163" s="443"/>
      <c r="C163" s="438"/>
      <c r="D163" s="441"/>
      <c r="E163" s="439" t="s">
        <v>1418</v>
      </c>
      <c r="F163" s="439" t="s">
        <v>1430</v>
      </c>
      <c r="G163" s="439">
        <f t="shared" si="18"/>
        <v>0</v>
      </c>
      <c r="H163" s="440"/>
    </row>
    <row r="164" spans="2:8" hidden="1" x14ac:dyDescent="0.25">
      <c r="B164" s="443" t="s">
        <v>1421</v>
      </c>
      <c r="C164" s="438"/>
      <c r="D164" s="441"/>
      <c r="E164" s="439">
        <v>617</v>
      </c>
      <c r="F164" s="439">
        <v>120</v>
      </c>
      <c r="G164" s="439">
        <f t="shared" si="18"/>
        <v>737</v>
      </c>
      <c r="H164" s="440">
        <v>83.7</v>
      </c>
    </row>
    <row r="165" spans="2:8" hidden="1" x14ac:dyDescent="0.25">
      <c r="B165" s="443" t="s">
        <v>1422</v>
      </c>
      <c r="C165" s="438"/>
      <c r="D165" s="441"/>
      <c r="E165" s="439">
        <v>1227</v>
      </c>
      <c r="F165" s="439">
        <v>462</v>
      </c>
      <c r="G165" s="439">
        <f t="shared" si="18"/>
        <v>1689</v>
      </c>
      <c r="H165" s="440">
        <v>72.599999999999994</v>
      </c>
    </row>
    <row r="166" spans="2:8" hidden="1" x14ac:dyDescent="0.25">
      <c r="B166" s="443" t="s">
        <v>1423</v>
      </c>
      <c r="C166" s="438"/>
      <c r="D166" s="441"/>
      <c r="E166" s="439">
        <v>518</v>
      </c>
      <c r="F166" s="439">
        <v>310</v>
      </c>
      <c r="G166" s="439">
        <f t="shared" si="18"/>
        <v>828</v>
      </c>
      <c r="H166" s="440">
        <v>62.6</v>
      </c>
    </row>
    <row r="167" spans="2:8" hidden="1" x14ac:dyDescent="0.25">
      <c r="B167" s="443" t="s">
        <v>1424</v>
      </c>
      <c r="C167" s="438"/>
      <c r="D167" s="441"/>
      <c r="E167" s="439">
        <v>91</v>
      </c>
      <c r="F167" s="439">
        <v>48</v>
      </c>
      <c r="G167" s="439">
        <f t="shared" si="18"/>
        <v>139</v>
      </c>
      <c r="H167" s="440">
        <v>65.5</v>
      </c>
    </row>
    <row r="168" spans="2:8" hidden="1" x14ac:dyDescent="0.25">
      <c r="B168" s="443" t="s">
        <v>1425</v>
      </c>
      <c r="C168" s="438"/>
      <c r="D168" s="441"/>
      <c r="E168" s="439">
        <v>435</v>
      </c>
      <c r="F168" s="439">
        <v>226</v>
      </c>
      <c r="G168" s="439">
        <f t="shared" si="18"/>
        <v>661</v>
      </c>
      <c r="H168" s="440">
        <v>65.8</v>
      </c>
    </row>
    <row r="169" spans="2:8" hidden="1" x14ac:dyDescent="0.25">
      <c r="B169" s="443" t="s">
        <v>1426</v>
      </c>
      <c r="C169" s="438"/>
      <c r="D169" s="441"/>
      <c r="E169" s="439">
        <v>264</v>
      </c>
      <c r="F169" s="439">
        <v>66</v>
      </c>
      <c r="G169" s="439">
        <f t="shared" si="18"/>
        <v>330</v>
      </c>
      <c r="H169" s="440">
        <v>80</v>
      </c>
    </row>
    <row r="170" spans="2:8" hidden="1" x14ac:dyDescent="0.25">
      <c r="B170" s="443" t="s">
        <v>1427</v>
      </c>
      <c r="C170" s="438"/>
      <c r="D170" s="441"/>
      <c r="E170" s="439">
        <v>754</v>
      </c>
      <c r="F170" s="439">
        <v>985</v>
      </c>
      <c r="G170" s="439">
        <f t="shared" si="18"/>
        <v>1739</v>
      </c>
      <c r="H170" s="440">
        <v>43.4</v>
      </c>
    </row>
    <row r="171" spans="2:8" ht="48" customHeight="1" x14ac:dyDescent="0.25">
      <c r="B171" s="443" t="s">
        <v>1031</v>
      </c>
      <c r="C171" s="438" t="s">
        <v>1431</v>
      </c>
      <c r="D171" s="441">
        <v>0</v>
      </c>
      <c r="E171" s="439">
        <v>3906</v>
      </c>
      <c r="F171" s="439">
        <v>2217</v>
      </c>
      <c r="G171" s="439">
        <f t="shared" si="18"/>
        <v>6123</v>
      </c>
      <c r="H171" s="440">
        <f>E171/G171</f>
        <v>0.63792258696717297</v>
      </c>
    </row>
    <row r="172" spans="2:8" hidden="1" x14ac:dyDescent="0.25">
      <c r="B172" s="369"/>
      <c r="C172" s="369"/>
      <c r="D172" s="441"/>
      <c r="E172" s="441"/>
      <c r="F172" s="441"/>
      <c r="G172" s="361">
        <f t="shared" si="18"/>
        <v>0</v>
      </c>
      <c r="H172" s="371"/>
    </row>
    <row r="173" spans="2:8" hidden="1" x14ac:dyDescent="0.25">
      <c r="B173" s="369"/>
      <c r="C173" s="369"/>
      <c r="D173" s="441"/>
      <c r="E173" s="441"/>
      <c r="F173" s="441"/>
      <c r="G173" s="361">
        <f t="shared" si="18"/>
        <v>0</v>
      </c>
      <c r="H173" s="371"/>
    </row>
    <row r="174" spans="2:8" ht="40.5" hidden="1" x14ac:dyDescent="0.25">
      <c r="B174" s="363"/>
      <c r="C174" s="369"/>
      <c r="D174" s="441" t="s">
        <v>1432</v>
      </c>
      <c r="E174" s="439" t="s">
        <v>1418</v>
      </c>
      <c r="F174" s="439" t="s">
        <v>1430</v>
      </c>
      <c r="G174" s="361">
        <f t="shared" si="18"/>
        <v>0</v>
      </c>
      <c r="H174" s="364"/>
    </row>
    <row r="175" spans="2:8" hidden="1" x14ac:dyDescent="0.25">
      <c r="B175" s="363" t="s">
        <v>1421</v>
      </c>
      <c r="C175" s="369"/>
      <c r="D175" s="513">
        <v>6</v>
      </c>
      <c r="E175" s="513">
        <v>1261</v>
      </c>
      <c r="F175" s="513">
        <v>138</v>
      </c>
      <c r="G175" s="361">
        <f t="shared" si="18"/>
        <v>1405</v>
      </c>
      <c r="H175" s="365">
        <v>0.897509</v>
      </c>
    </row>
    <row r="176" spans="2:8" hidden="1" x14ac:dyDescent="0.25">
      <c r="B176" s="363" t="s">
        <v>1422</v>
      </c>
      <c r="C176" s="369"/>
      <c r="D176" s="513">
        <v>8</v>
      </c>
      <c r="E176" s="513">
        <v>4043</v>
      </c>
      <c r="F176" s="513">
        <v>531</v>
      </c>
      <c r="G176" s="361">
        <f t="shared" si="18"/>
        <v>4582</v>
      </c>
      <c r="H176" s="365">
        <v>0.88236599999999998</v>
      </c>
    </row>
    <row r="177" spans="2:8" hidden="1" x14ac:dyDescent="0.25">
      <c r="B177" s="363" t="s">
        <v>1423</v>
      </c>
      <c r="C177" s="369"/>
      <c r="D177" s="513">
        <v>1</v>
      </c>
      <c r="E177" s="513">
        <v>1221</v>
      </c>
      <c r="F177" s="513">
        <v>168</v>
      </c>
      <c r="G177" s="361">
        <f t="shared" si="18"/>
        <v>1390</v>
      </c>
      <c r="H177" s="365">
        <v>0.878417</v>
      </c>
    </row>
    <row r="178" spans="2:8" hidden="1" x14ac:dyDescent="0.25">
      <c r="B178" s="363" t="s">
        <v>1424</v>
      </c>
      <c r="C178" s="369"/>
      <c r="D178" s="513">
        <v>53</v>
      </c>
      <c r="E178" s="513">
        <v>372</v>
      </c>
      <c r="F178" s="513">
        <v>77</v>
      </c>
      <c r="G178" s="361">
        <f t="shared" si="18"/>
        <v>502</v>
      </c>
      <c r="H178" s="365">
        <v>0.74103600000000003</v>
      </c>
    </row>
    <row r="179" spans="2:8" hidden="1" x14ac:dyDescent="0.25">
      <c r="B179" s="363" t="s">
        <v>1425</v>
      </c>
      <c r="C179" s="369"/>
      <c r="D179" s="513">
        <v>11</v>
      </c>
      <c r="E179" s="513">
        <v>1506</v>
      </c>
      <c r="F179" s="513">
        <v>183</v>
      </c>
      <c r="G179" s="361">
        <f t="shared" si="18"/>
        <v>1700</v>
      </c>
      <c r="H179" s="365">
        <v>0.88588199999999995</v>
      </c>
    </row>
    <row r="180" spans="2:8" hidden="1" x14ac:dyDescent="0.25">
      <c r="B180" s="363" t="s">
        <v>1426</v>
      </c>
      <c r="C180" s="369"/>
      <c r="D180" s="513">
        <v>19</v>
      </c>
      <c r="E180" s="513">
        <v>1232</v>
      </c>
      <c r="F180" s="513">
        <v>260</v>
      </c>
      <c r="G180" s="361">
        <f t="shared" si="18"/>
        <v>1511</v>
      </c>
      <c r="H180" s="365">
        <v>0.81535400000000002</v>
      </c>
    </row>
    <row r="181" spans="2:8" hidden="1" x14ac:dyDescent="0.25">
      <c r="B181" s="363" t="s">
        <v>1427</v>
      </c>
      <c r="C181" s="369"/>
      <c r="D181" s="439"/>
      <c r="E181" s="513">
        <v>12</v>
      </c>
      <c r="F181" s="439"/>
      <c r="G181" s="361">
        <f t="shared" si="18"/>
        <v>12</v>
      </c>
      <c r="H181" s="365">
        <v>1</v>
      </c>
    </row>
    <row r="182" spans="2:8" ht="32.25" customHeight="1" x14ac:dyDescent="0.25">
      <c r="B182" s="363" t="s">
        <v>1433</v>
      </c>
      <c r="C182" s="369" t="s">
        <v>1434</v>
      </c>
      <c r="D182" s="513"/>
      <c r="E182" s="513"/>
      <c r="F182" s="513"/>
      <c r="G182" s="361"/>
      <c r="H182" s="362"/>
    </row>
  </sheetData>
  <mergeCells count="92">
    <mergeCell ref="B2:R2"/>
    <mergeCell ref="B4:O4"/>
    <mergeCell ref="D6:F6"/>
    <mergeCell ref="G6:I6"/>
    <mergeCell ref="J6:L6"/>
    <mergeCell ref="M6:M7"/>
    <mergeCell ref="N6:N7"/>
    <mergeCell ref="L9:L10"/>
    <mergeCell ref="N9:N10"/>
    <mergeCell ref="O9:O10"/>
    <mergeCell ref="C16:C21"/>
    <mergeCell ref="G16:G17"/>
    <mergeCell ref="H16:H17"/>
    <mergeCell ref="I16:I17"/>
    <mergeCell ref="J16:J17"/>
    <mergeCell ref="K16:K17"/>
    <mergeCell ref="L16:L17"/>
    <mergeCell ref="C9:C14"/>
    <mergeCell ref="G9:G10"/>
    <mergeCell ref="H9:H10"/>
    <mergeCell ref="I9:I10"/>
    <mergeCell ref="J9:J10"/>
    <mergeCell ref="K9:K10"/>
    <mergeCell ref="L23:L24"/>
    <mergeCell ref="N29:N30"/>
    <mergeCell ref="C43:C46"/>
    <mergeCell ref="G44:G45"/>
    <mergeCell ref="H44:H45"/>
    <mergeCell ref="I44:I45"/>
    <mergeCell ref="J44:J45"/>
    <mergeCell ref="K44:K45"/>
    <mergeCell ref="L44:L45"/>
    <mergeCell ref="C23:C28"/>
    <mergeCell ref="G23:G24"/>
    <mergeCell ref="H23:H24"/>
    <mergeCell ref="I23:I24"/>
    <mergeCell ref="J23:J24"/>
    <mergeCell ref="K23:K24"/>
    <mergeCell ref="C62:C67"/>
    <mergeCell ref="C51:C52"/>
    <mergeCell ref="G52:I52"/>
    <mergeCell ref="J52:L52"/>
    <mergeCell ref="G53:I53"/>
    <mergeCell ref="J53:L53"/>
    <mergeCell ref="C54:C55"/>
    <mergeCell ref="G54:I54"/>
    <mergeCell ref="J54:L54"/>
    <mergeCell ref="G55:I55"/>
    <mergeCell ref="J55:L55"/>
    <mergeCell ref="C56:C57"/>
    <mergeCell ref="G56:I56"/>
    <mergeCell ref="J56:L56"/>
    <mergeCell ref="G57:I57"/>
    <mergeCell ref="J57:L57"/>
    <mergeCell ref="C69:C74"/>
    <mergeCell ref="C76:C81"/>
    <mergeCell ref="A83:A89"/>
    <mergeCell ref="C84:C89"/>
    <mergeCell ref="D96:F96"/>
    <mergeCell ref="J96:L96"/>
    <mergeCell ref="C99:C104"/>
    <mergeCell ref="D99:D100"/>
    <mergeCell ref="E99:E100"/>
    <mergeCell ref="F99:F100"/>
    <mergeCell ref="G99:G100"/>
    <mergeCell ref="H99:H100"/>
    <mergeCell ref="I99:I100"/>
    <mergeCell ref="J99:J100"/>
    <mergeCell ref="K99:K100"/>
    <mergeCell ref="G96:I96"/>
    <mergeCell ref="I108:I109"/>
    <mergeCell ref="J108:J109"/>
    <mergeCell ref="D115:G115"/>
    <mergeCell ref="L99:L100"/>
    <mergeCell ref="B106:B107"/>
    <mergeCell ref="C106:C107"/>
    <mergeCell ref="D106:F106"/>
    <mergeCell ref="G106:H106"/>
    <mergeCell ref="I106:J106"/>
    <mergeCell ref="A133:A134"/>
    <mergeCell ref="C134:C136"/>
    <mergeCell ref="C108:C113"/>
    <mergeCell ref="G108:G109"/>
    <mergeCell ref="H108:H109"/>
    <mergeCell ref="B138:B139"/>
    <mergeCell ref="C138:C139"/>
    <mergeCell ref="D138:E138"/>
    <mergeCell ref="D150:H150"/>
    <mergeCell ref="C117:C122"/>
    <mergeCell ref="D124:F124"/>
    <mergeCell ref="D132:F132"/>
    <mergeCell ref="G132:I132"/>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66A41-ED50-43B5-A130-FC4A49B00E30}">
  <sheetPr codeName="Sheet1">
    <tabColor theme="3"/>
    <pageSetUpPr fitToPage="1"/>
  </sheetPr>
  <dimension ref="A2:N21"/>
  <sheetViews>
    <sheetView zoomScale="90" zoomScaleNormal="90" workbookViewId="0"/>
  </sheetViews>
  <sheetFormatPr defaultColWidth="8.54296875" defaultRowHeight="13.5" x14ac:dyDescent="0.25"/>
  <cols>
    <col min="1" max="1" width="3" style="2" customWidth="1"/>
    <col min="2" max="2" width="49.54296875" style="2" customWidth="1"/>
    <col min="3" max="3" width="19" style="2" customWidth="1"/>
    <col min="4" max="4" width="14.453125" style="2" customWidth="1"/>
    <col min="5" max="5" width="37" style="2" customWidth="1"/>
    <col min="6" max="10" width="14.453125" style="2" customWidth="1"/>
    <col min="11" max="16384" width="8.54296875" style="2"/>
  </cols>
  <sheetData>
    <row r="2" spans="1:14" ht="31.4" customHeight="1" x14ac:dyDescent="0.25">
      <c r="B2" s="747" t="s">
        <v>15</v>
      </c>
      <c r="C2" s="748"/>
      <c r="D2" s="749"/>
      <c r="E2" s="749"/>
      <c r="F2" s="4"/>
      <c r="G2" s="4"/>
      <c r="H2" s="4"/>
      <c r="I2" s="4"/>
      <c r="J2" s="4"/>
      <c r="K2" s="4"/>
      <c r="L2" s="4"/>
      <c r="M2" s="4"/>
      <c r="N2" s="4"/>
    </row>
    <row r="3" spans="1:14" ht="8.15" customHeight="1" x14ac:dyDescent="0.25">
      <c r="B3" s="750"/>
      <c r="C3" s="751"/>
      <c r="D3" s="752"/>
      <c r="E3" s="752"/>
      <c r="F3" s="753"/>
      <c r="G3" s="753"/>
      <c r="H3" s="753"/>
      <c r="I3" s="753"/>
      <c r="J3" s="753"/>
    </row>
    <row r="4" spans="1:14" ht="18" customHeight="1" x14ac:dyDescent="0.25">
      <c r="A4" s="754"/>
      <c r="B4" s="755" t="s">
        <v>16</v>
      </c>
      <c r="C4" s="756"/>
      <c r="D4" s="756"/>
      <c r="E4" s="756"/>
    </row>
    <row r="5" spans="1:14" ht="18" customHeight="1" x14ac:dyDescent="0.25">
      <c r="A5" s="754"/>
      <c r="B5" s="757" t="s">
        <v>17</v>
      </c>
      <c r="C5" s="756"/>
      <c r="D5" s="756"/>
      <c r="E5" s="756"/>
    </row>
    <row r="6" spans="1:14" ht="18" customHeight="1" x14ac:dyDescent="0.25">
      <c r="A6" s="754"/>
      <c r="B6" s="757" t="s">
        <v>18</v>
      </c>
      <c r="C6" s="756"/>
      <c r="D6" s="756"/>
      <c r="E6" s="756"/>
    </row>
    <row r="7" spans="1:14" ht="18" customHeight="1" x14ac:dyDescent="0.25">
      <c r="A7" s="754"/>
      <c r="B7" s="757" t="s">
        <v>19</v>
      </c>
      <c r="C7" s="756"/>
      <c r="D7" s="756"/>
      <c r="E7" s="756"/>
    </row>
    <row r="8" spans="1:14" ht="18" customHeight="1" x14ac:dyDescent="0.25">
      <c r="A8" s="754"/>
      <c r="B8" s="757" t="s">
        <v>20</v>
      </c>
      <c r="C8" s="756"/>
      <c r="D8" s="756"/>
      <c r="E8" s="756"/>
    </row>
    <row r="9" spans="1:14" ht="18" customHeight="1" x14ac:dyDescent="0.25">
      <c r="A9" s="754"/>
      <c r="B9" s="757" t="s">
        <v>21</v>
      </c>
      <c r="C9" s="756"/>
      <c r="D9" s="756"/>
      <c r="E9" s="756"/>
    </row>
    <row r="10" spans="1:14" ht="18" customHeight="1" x14ac:dyDescent="0.25">
      <c r="A10" s="754"/>
      <c r="B10" s="757" t="s">
        <v>22</v>
      </c>
      <c r="C10" s="756"/>
      <c r="D10" s="756"/>
      <c r="E10" s="756"/>
    </row>
    <row r="11" spans="1:14" ht="18" customHeight="1" x14ac:dyDescent="0.25">
      <c r="A11" s="754"/>
      <c r="B11" s="757" t="s">
        <v>23</v>
      </c>
      <c r="C11" s="756"/>
      <c r="D11" s="756"/>
      <c r="E11" s="756"/>
    </row>
    <row r="12" spans="1:14" ht="18" customHeight="1" x14ac:dyDescent="0.25">
      <c r="A12" s="754"/>
      <c r="B12" s="757" t="s">
        <v>24</v>
      </c>
      <c r="C12" s="756"/>
      <c r="D12" s="756"/>
      <c r="E12" s="756"/>
    </row>
    <row r="13" spans="1:14" ht="18" customHeight="1" x14ac:dyDescent="0.25">
      <c r="A13" s="754"/>
      <c r="B13" s="757" t="s">
        <v>25</v>
      </c>
      <c r="C13" s="756"/>
      <c r="D13" s="756"/>
      <c r="E13" s="756"/>
    </row>
    <row r="14" spans="1:14" ht="18" customHeight="1" x14ac:dyDescent="0.25">
      <c r="A14" s="754"/>
      <c r="B14" s="757" t="s">
        <v>26</v>
      </c>
      <c r="C14" s="756"/>
      <c r="D14" s="756"/>
      <c r="E14" s="756"/>
    </row>
    <row r="15" spans="1:14" ht="18" customHeight="1" x14ac:dyDescent="0.25">
      <c r="A15" s="754"/>
      <c r="B15" s="757" t="s">
        <v>27</v>
      </c>
      <c r="C15" s="756"/>
      <c r="D15" s="756"/>
      <c r="E15" s="756"/>
    </row>
    <row r="16" spans="1:14" ht="18" customHeight="1" x14ac:dyDescent="0.25">
      <c r="A16" s="754"/>
      <c r="B16" s="757" t="s">
        <v>28</v>
      </c>
      <c r="C16" s="756"/>
      <c r="D16" s="756"/>
      <c r="E16" s="756"/>
    </row>
    <row r="17" spans="1:5" ht="18" customHeight="1" x14ac:dyDescent="0.25">
      <c r="A17" s="754"/>
      <c r="B17" s="757" t="s">
        <v>29</v>
      </c>
      <c r="C17" s="756"/>
      <c r="D17" s="756"/>
      <c r="E17" s="756"/>
    </row>
    <row r="18" spans="1:5" ht="18" customHeight="1" x14ac:dyDescent="0.25">
      <c r="A18" s="754"/>
      <c r="B18" s="757" t="s">
        <v>30</v>
      </c>
      <c r="C18" s="756"/>
      <c r="D18" s="756"/>
      <c r="E18" s="756"/>
    </row>
    <row r="19" spans="1:5" ht="18" customHeight="1" x14ac:dyDescent="0.25">
      <c r="A19" s="754"/>
      <c r="B19" s="757" t="s">
        <v>31</v>
      </c>
      <c r="C19" s="756"/>
      <c r="D19" s="756"/>
      <c r="E19" s="756"/>
    </row>
    <row r="20" spans="1:5" ht="18" customHeight="1" x14ac:dyDescent="0.25">
      <c r="A20" s="754"/>
      <c r="B20" s="757" t="s">
        <v>32</v>
      </c>
      <c r="C20" s="756"/>
      <c r="D20" s="756"/>
      <c r="E20" s="756"/>
    </row>
    <row r="21" spans="1:5" ht="14.9" customHeight="1" x14ac:dyDescent="0.25">
      <c r="B21" s="748"/>
      <c r="C21" s="748"/>
      <c r="D21" s="748"/>
      <c r="E21" s="748"/>
    </row>
  </sheetData>
  <sheetProtection algorithmName="SHA-512" hashValue="Ah1nG/Zs/pz7392Qo9A9Oy34cYgTkVDWe8hBgN2prnTyxYxBZyp9H0j3P4N2MfC2mBQK/ktzxaIWIplu3xNd6g==" saltValue="r3hzLxEOmPp+YUGstIW4YA==" spinCount="100000" sheet="1" objects="1" scenarios="1"/>
  <hyperlinks>
    <hyperlink ref="B5" location="'GRI Content index in accordance'!A1" display="GRI Content Index in accordance" xr:uid="{8D2EFBFF-FF3D-42C9-B5CA-34738D8771FB}"/>
    <hyperlink ref="B6" location="'SASB Index'!A1" display="SASB Index" xr:uid="{17121517-8509-4771-90C1-7A2F7342FE44}"/>
    <hyperlink ref="B7" location="'TCFD Compliance Table'!A1" display="TCFD Compliance Table" xr:uid="{6C3BCB9F-A543-41F5-899F-141FE8656A40}"/>
    <hyperlink ref="B8" location="'PAI statement'!A1" display="PAI Statement" xr:uid="{5D28B98B-3480-4A2F-8F2B-BBAAD6C3B1C4}"/>
    <hyperlink ref="B10" location="'ERM CVS assured metrics'!Print_Area" display="ERM CVS Assured metrics" xr:uid="{49690D03-2898-4D5E-8E94-AE448F05BC7A}"/>
    <hyperlink ref="B11" location="'2030 targets'!A1" display="2030 targets" xr:uid="{02173E1F-8A60-4F6B-BCA4-CB261D010E7E}"/>
    <hyperlink ref="B13" location="Environment!A1" display="Environment" xr:uid="{42938915-0129-44A8-B217-F056697C3497}"/>
    <hyperlink ref="B15" location="'Health and Safety'!A1" display="Health and Safety" xr:uid="{E96B8DD8-6ECD-4953-94D4-E3068425092F}"/>
    <hyperlink ref="B14" location="People!A1" display="People" xr:uid="{1038F524-88A7-44FD-A859-F10D9920168A}"/>
    <hyperlink ref="B16" location="'Ethics and Compliance'!A1" display="Ethics and Compliance" xr:uid="{270A4C38-FBD3-4423-8C30-A9A1E7C8EAB1}"/>
    <hyperlink ref="B17" location="'Community Investment'!A1" display="Community Investment" xr:uid="{16C3A090-6430-4457-92DB-F25D54566F39}"/>
    <hyperlink ref="B18" location="'Responsible Sourcing'!A1" display="Responsible Sourcing" xr:uid="{9B216C1F-BAE5-4343-B0A4-0E92040B89D4}"/>
    <hyperlink ref="B4" location="'Material Topics'!A1" display="Material Topics" xr:uid="{FBE55905-562F-4E03-9E48-6C4F26FD640E}"/>
    <hyperlink ref="B9" location="'UK SECR'!Print_Area" display="UK SECR" xr:uid="{668116C1-952F-401D-9C8A-A98C21C5D4D2}"/>
    <hyperlink ref="B12" location="'UN SDGs'!A1" display="UN SDGs" xr:uid="{8CDD49DB-9574-45BC-92B3-A68D36ABB8F4}"/>
    <hyperlink ref="B19" location="'Product Stewardship'!Print_Area" display="Product Stewardship" xr:uid="{5098FC8D-63B1-4F3C-97C9-90D812EDF5B1}"/>
    <hyperlink ref="B20" location="'Basis of reporting'!A1" display="Basis of reporting" xr:uid="{3F1E19C4-C95B-4EE1-B439-A77A61F836B3}"/>
  </hyperlinks>
  <pageMargins left="0.70866141732283472" right="0.70866141732283472" top="0.74803149606299213" bottom="0.74803149606299213"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6062-0188-4294-AD95-F2474916B3D0}">
  <sheetPr codeName="Sheet8">
    <tabColor theme="3"/>
    <pageSetUpPr fitToPage="1"/>
  </sheetPr>
  <dimension ref="B2:P16"/>
  <sheetViews>
    <sheetView zoomScale="90" zoomScaleNormal="90" workbookViewId="0"/>
  </sheetViews>
  <sheetFormatPr defaultColWidth="8.54296875" defaultRowHeight="13.5" x14ac:dyDescent="0.25"/>
  <cols>
    <col min="1" max="1" width="2.453125" style="2" customWidth="1"/>
    <col min="2" max="2" width="11.54296875" style="2" customWidth="1"/>
    <col min="3" max="3" width="12.453125" style="2" customWidth="1"/>
    <col min="4" max="16" width="8.54296875" style="2"/>
    <col min="17" max="17" width="6.54296875" style="2" customWidth="1"/>
    <col min="18" max="16384" width="8.54296875" style="2"/>
  </cols>
  <sheetData>
    <row r="2" spans="2:16" ht="24.5" x14ac:dyDescent="0.25">
      <c r="B2" s="1043" t="s">
        <v>16</v>
      </c>
      <c r="C2" s="560"/>
      <c r="D2" s="560"/>
    </row>
    <row r="4" spans="2:16" ht="87" customHeight="1" x14ac:dyDescent="0.25">
      <c r="B4" s="1635" t="s">
        <v>33</v>
      </c>
      <c r="C4" s="1635"/>
      <c r="D4" s="1635"/>
      <c r="E4" s="1635"/>
      <c r="F4" s="1635"/>
      <c r="G4" s="1635"/>
      <c r="H4" s="1635"/>
      <c r="I4" s="1635"/>
      <c r="J4" s="1635"/>
      <c r="K4" s="1635"/>
      <c r="L4" s="1635"/>
      <c r="M4" s="1635"/>
      <c r="N4" s="1635"/>
      <c r="O4" s="1635"/>
      <c r="P4" s="1635"/>
    </row>
    <row r="5" spans="2:16" x14ac:dyDescent="0.25">
      <c r="B5" s="71" t="s">
        <v>34</v>
      </c>
      <c r="C5" s="71"/>
      <c r="D5" s="71"/>
      <c r="E5" s="71"/>
    </row>
    <row r="6" spans="2:16" ht="4.5" customHeight="1" x14ac:dyDescent="0.25"/>
    <row r="7" spans="2:16" ht="31.4" customHeight="1" x14ac:dyDescent="0.25">
      <c r="B7" s="1636" t="s">
        <v>35</v>
      </c>
      <c r="C7" s="595" t="s">
        <v>36</v>
      </c>
      <c r="D7" s="575"/>
      <c r="E7" s="575"/>
      <c r="F7" s="575"/>
      <c r="G7" s="576"/>
      <c r="H7" s="577"/>
      <c r="I7" s="577"/>
      <c r="J7" s="577"/>
      <c r="K7" s="577"/>
      <c r="L7" s="577"/>
      <c r="M7" s="577"/>
      <c r="N7" s="577"/>
      <c r="O7" s="577"/>
      <c r="P7" s="578"/>
    </row>
    <row r="8" spans="2:16" ht="31.4" customHeight="1" x14ac:dyDescent="0.25">
      <c r="B8" s="1637"/>
      <c r="C8" s="596" t="s">
        <v>37</v>
      </c>
      <c r="D8" s="579"/>
      <c r="E8" s="579"/>
      <c r="F8" s="579"/>
      <c r="G8" s="580"/>
      <c r="H8" s="581"/>
      <c r="I8" s="581"/>
      <c r="J8" s="581"/>
      <c r="K8" s="581"/>
      <c r="L8" s="581"/>
      <c r="M8" s="581"/>
      <c r="N8" s="581"/>
      <c r="O8" s="581"/>
      <c r="P8" s="582"/>
    </row>
    <row r="9" spans="2:16" ht="31.4" customHeight="1" x14ac:dyDescent="0.25">
      <c r="B9" s="1637"/>
      <c r="C9" s="596" t="s">
        <v>38</v>
      </c>
      <c r="D9" s="579"/>
      <c r="E9" s="579"/>
      <c r="F9" s="579"/>
      <c r="G9" s="580"/>
      <c r="H9" s="581"/>
      <c r="I9" s="581"/>
      <c r="J9" s="581"/>
      <c r="K9" s="581"/>
      <c r="L9" s="581"/>
      <c r="M9" s="581"/>
      <c r="N9" s="581"/>
      <c r="O9" s="581"/>
      <c r="P9" s="582"/>
    </row>
    <row r="10" spans="2:16" ht="31.4" customHeight="1" x14ac:dyDescent="0.25">
      <c r="B10" s="1637"/>
      <c r="C10" s="596" t="s">
        <v>39</v>
      </c>
      <c r="D10" s="579"/>
      <c r="E10" s="579"/>
      <c r="F10" s="579"/>
      <c r="G10" s="580"/>
      <c r="H10" s="581"/>
      <c r="I10" s="581"/>
      <c r="J10" s="581"/>
      <c r="K10" s="581"/>
      <c r="L10" s="581"/>
      <c r="M10" s="581"/>
      <c r="N10" s="581"/>
      <c r="O10" s="581"/>
      <c r="P10" s="582"/>
    </row>
    <row r="11" spans="2:16" ht="31.4" customHeight="1" x14ac:dyDescent="0.25">
      <c r="B11" s="1638"/>
      <c r="C11" s="597" t="s">
        <v>40</v>
      </c>
      <c r="D11" s="583"/>
      <c r="E11" s="583"/>
      <c r="F11" s="583"/>
      <c r="G11" s="584"/>
      <c r="H11" s="585"/>
      <c r="I11" s="585"/>
      <c r="J11" s="585"/>
      <c r="K11" s="585"/>
      <c r="L11" s="585"/>
      <c r="M11" s="585"/>
      <c r="N11" s="585"/>
      <c r="O11" s="585"/>
      <c r="P11" s="586"/>
    </row>
    <row r="12" spans="2:16" ht="31.4" customHeight="1" x14ac:dyDescent="0.25">
      <c r="B12" s="1639" t="s">
        <v>26</v>
      </c>
      <c r="C12" s="598" t="s">
        <v>41</v>
      </c>
      <c r="D12" s="587"/>
      <c r="E12" s="587"/>
      <c r="F12" s="587"/>
      <c r="G12" s="588"/>
      <c r="H12" s="589"/>
      <c r="I12" s="589"/>
      <c r="J12" s="589"/>
      <c r="K12" s="589"/>
      <c r="L12" s="589"/>
      <c r="M12" s="589"/>
      <c r="N12" s="589"/>
      <c r="O12" s="589"/>
      <c r="P12" s="590"/>
    </row>
    <row r="13" spans="2:16" ht="31.4" customHeight="1" x14ac:dyDescent="0.25">
      <c r="B13" s="1640"/>
      <c r="C13" s="599" t="s">
        <v>42</v>
      </c>
      <c r="D13" s="572"/>
      <c r="E13" s="572"/>
      <c r="F13" s="572"/>
      <c r="G13" s="573"/>
      <c r="H13" s="574"/>
      <c r="I13" s="574"/>
      <c r="J13" s="574"/>
      <c r="K13" s="574"/>
      <c r="L13" s="574"/>
      <c r="M13" s="574"/>
      <c r="N13" s="574"/>
      <c r="O13" s="574"/>
      <c r="P13" s="591"/>
    </row>
    <row r="14" spans="2:16" ht="31.4" customHeight="1" x14ac:dyDescent="0.25">
      <c r="B14" s="1640"/>
      <c r="C14" s="599" t="s">
        <v>43</v>
      </c>
      <c r="D14" s="572"/>
      <c r="E14" s="572"/>
      <c r="F14" s="572"/>
      <c r="G14" s="573"/>
      <c r="H14" s="574"/>
      <c r="I14" s="574"/>
      <c r="J14" s="574"/>
      <c r="K14" s="574"/>
      <c r="L14" s="574"/>
      <c r="M14" s="574"/>
      <c r="N14" s="574"/>
      <c r="O14" s="574"/>
      <c r="P14" s="591"/>
    </row>
    <row r="15" spans="2:16" ht="31.4" customHeight="1" x14ac:dyDescent="0.25">
      <c r="B15" s="1640"/>
      <c r="C15" s="599" t="s">
        <v>44</v>
      </c>
      <c r="D15" s="572"/>
      <c r="E15" s="572"/>
      <c r="F15" s="572"/>
      <c r="G15" s="573"/>
      <c r="H15" s="574"/>
      <c r="I15" s="574"/>
      <c r="J15" s="574"/>
      <c r="K15" s="574"/>
      <c r="L15" s="574"/>
      <c r="M15" s="574"/>
      <c r="N15" s="574"/>
      <c r="O15" s="574"/>
      <c r="P15" s="591"/>
    </row>
    <row r="16" spans="2:16" ht="31.4" customHeight="1" x14ac:dyDescent="0.25">
      <c r="B16" s="1641" t="s">
        <v>45</v>
      </c>
      <c r="C16" s="1642"/>
      <c r="D16" s="1642"/>
      <c r="E16" s="1642"/>
      <c r="F16" s="1642"/>
      <c r="G16" s="592"/>
      <c r="H16" s="593"/>
      <c r="I16" s="593"/>
      <c r="J16" s="593"/>
      <c r="K16" s="593"/>
      <c r="L16" s="593"/>
      <c r="M16" s="593"/>
      <c r="N16" s="593"/>
      <c r="O16" s="593"/>
      <c r="P16" s="594"/>
    </row>
  </sheetData>
  <sheetProtection algorithmName="SHA-512" hashValue="zgZxfEs9A38/A9JTOAV8zkr73FvF0Rg9Ze5wW2Gmo7lFBm6renfoHxE/dWSkFezpfSGBIQ6iVASFCU5nQdUBNw==" saltValue="nTGRX1nwhfhtM6kZ6Cba/w==" spinCount="100000" sheet="1" objects="1" scenarios="1"/>
  <mergeCells count="4">
    <mergeCell ref="B4:P4"/>
    <mergeCell ref="B7:B11"/>
    <mergeCell ref="B12:B15"/>
    <mergeCell ref="B16:F16"/>
  </mergeCells>
  <pageMargins left="0.70866141732283472" right="0.70866141732283472" top="0.74803149606299213" bottom="0.74803149606299213" header="0.31496062992125984" footer="0.31496062992125984"/>
  <pageSetup paperSize="9" scale="9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B7F17-A6F8-43F6-BF93-4BD458D1BEB8}">
  <sheetPr codeName="Sheet11"/>
  <dimension ref="A2:BK249"/>
  <sheetViews>
    <sheetView zoomScale="90" zoomScaleNormal="90" zoomScaleSheetLayoutView="30" workbookViewId="0"/>
  </sheetViews>
  <sheetFormatPr defaultColWidth="9.453125" defaultRowHeight="17.5" x14ac:dyDescent="0.35"/>
  <cols>
    <col min="1" max="1" width="4.453125" style="58" customWidth="1"/>
    <col min="2" max="2" width="22.453125" style="758" customWidth="1"/>
    <col min="3" max="3" width="48.54296875" style="758" customWidth="1"/>
    <col min="4" max="4" width="83.453125" style="58" customWidth="1"/>
    <col min="5" max="5" width="64.54296875" style="59" customWidth="1"/>
    <col min="6" max="6" width="22.453125" style="58" customWidth="1"/>
    <col min="7" max="7" width="26.1796875" style="58" customWidth="1"/>
    <col min="8" max="8" width="37.54296875" style="58" customWidth="1"/>
    <col min="9" max="9" width="13" style="58" customWidth="1"/>
    <col min="10" max="10" width="47.453125" style="58" customWidth="1"/>
    <col min="11" max="16384" width="9.453125" style="58"/>
  </cols>
  <sheetData>
    <row r="2" spans="2:18" ht="33.5" customHeight="1" x14ac:dyDescent="0.35">
      <c r="B2" s="1687" t="s">
        <v>46</v>
      </c>
      <c r="C2" s="1687"/>
      <c r="D2" s="1687"/>
      <c r="E2" s="1687"/>
      <c r="F2" s="1687"/>
      <c r="G2" s="1687"/>
      <c r="H2" s="1687"/>
      <c r="I2" s="1687"/>
    </row>
    <row r="4" spans="2:18" ht="15" x14ac:dyDescent="0.35">
      <c r="B4" s="1695" t="s">
        <v>47</v>
      </c>
      <c r="C4" s="1695"/>
      <c r="D4" s="1693" t="s">
        <v>48</v>
      </c>
      <c r="E4" s="1693"/>
    </row>
    <row r="5" spans="2:18" ht="15" x14ac:dyDescent="0.35">
      <c r="B5" s="1696" t="s">
        <v>49</v>
      </c>
      <c r="C5" s="1696"/>
      <c r="D5" s="1694" t="s">
        <v>50</v>
      </c>
      <c r="E5" s="1694"/>
    </row>
    <row r="6" spans="2:18" x14ac:dyDescent="0.35">
      <c r="C6" s="759"/>
      <c r="D6" s="491"/>
      <c r="F6"/>
      <c r="G6" s="491"/>
      <c r="H6" s="491"/>
      <c r="I6" s="448"/>
    </row>
    <row r="7" spans="2:18" ht="13.5" x14ac:dyDescent="0.35">
      <c r="B7" s="725" t="s">
        <v>51</v>
      </c>
      <c r="C7" s="58"/>
      <c r="D7" s="725"/>
      <c r="F7" s="491"/>
      <c r="G7" s="491"/>
      <c r="H7" s="491"/>
      <c r="I7" s="448"/>
      <c r="M7" s="1713"/>
      <c r="N7" s="1713"/>
      <c r="O7" s="1713"/>
      <c r="P7" s="1713"/>
      <c r="Q7" s="1713"/>
      <c r="R7" s="1713"/>
    </row>
    <row r="8" spans="2:18" ht="13.5" x14ac:dyDescent="0.35">
      <c r="B8" s="5" t="s">
        <v>52</v>
      </c>
      <c r="C8" s="58"/>
      <c r="D8" s="725"/>
      <c r="E8" s="760"/>
      <c r="F8" s="491"/>
      <c r="G8" s="491"/>
      <c r="H8" s="491"/>
      <c r="I8" s="448"/>
      <c r="M8" s="1713"/>
      <c r="N8" s="1713"/>
      <c r="O8" s="1713"/>
      <c r="P8" s="1713"/>
      <c r="Q8" s="1713"/>
      <c r="R8" s="1713"/>
    </row>
    <row r="9" spans="2:18" ht="13.5" x14ac:dyDescent="0.35">
      <c r="B9" s="5" t="s">
        <v>53</v>
      </c>
      <c r="C9" s="58"/>
      <c r="D9" s="725"/>
      <c r="E9" s="760"/>
      <c r="F9" s="491"/>
      <c r="G9" s="491"/>
      <c r="H9" s="491"/>
      <c r="I9" s="448"/>
      <c r="M9" s="1713"/>
      <c r="N9" s="1713"/>
      <c r="O9" s="1713"/>
      <c r="P9" s="1713"/>
      <c r="Q9" s="1713"/>
      <c r="R9" s="1713"/>
    </row>
    <row r="10" spans="2:18" ht="0.65" customHeight="1" x14ac:dyDescent="0.35">
      <c r="C10" s="759"/>
      <c r="D10" s="491"/>
      <c r="E10" s="760"/>
      <c r="F10" s="491"/>
      <c r="G10" s="491"/>
      <c r="H10" s="491"/>
      <c r="I10" s="448"/>
      <c r="M10" s="1713"/>
      <c r="N10" s="1713"/>
      <c r="O10" s="1713"/>
      <c r="P10" s="1713"/>
      <c r="Q10" s="1713"/>
      <c r="R10" s="1713"/>
    </row>
    <row r="11" spans="2:18" ht="14.9" customHeight="1" x14ac:dyDescent="0.35">
      <c r="B11" s="1697" t="s">
        <v>54</v>
      </c>
      <c r="C11" s="1716" t="s">
        <v>55</v>
      </c>
      <c r="D11" s="1716" t="s">
        <v>56</v>
      </c>
      <c r="E11" s="1718" t="s">
        <v>57</v>
      </c>
      <c r="F11" s="1719" t="s">
        <v>58</v>
      </c>
      <c r="G11" s="1719"/>
      <c r="H11" s="1719"/>
      <c r="I11" s="1716" t="s">
        <v>59</v>
      </c>
      <c r="M11" s="1713"/>
      <c r="N11" s="1713"/>
      <c r="O11" s="1713"/>
      <c r="P11" s="1713"/>
      <c r="Q11" s="1713"/>
      <c r="R11" s="1713"/>
    </row>
    <row r="12" spans="2:18" ht="30" customHeight="1" x14ac:dyDescent="0.35">
      <c r="B12" s="1697"/>
      <c r="C12" s="1716"/>
      <c r="D12" s="1716"/>
      <c r="E12" s="1718"/>
      <c r="F12" s="761" t="s">
        <v>60</v>
      </c>
      <c r="G12" s="761" t="s">
        <v>61</v>
      </c>
      <c r="H12" s="761" t="s">
        <v>62</v>
      </c>
      <c r="I12" s="1716"/>
      <c r="M12" s="1713"/>
      <c r="N12" s="1713"/>
      <c r="O12" s="1713"/>
      <c r="P12" s="1713"/>
      <c r="Q12" s="1713"/>
      <c r="R12" s="1713"/>
    </row>
    <row r="13" spans="2:18" x14ac:dyDescent="0.35">
      <c r="B13" s="762"/>
      <c r="C13" s="1707" t="s">
        <v>63</v>
      </c>
      <c r="D13" s="1707"/>
      <c r="E13" s="1707"/>
      <c r="F13" s="1707"/>
      <c r="G13" s="1707"/>
      <c r="H13" s="1707"/>
      <c r="I13" s="1717"/>
      <c r="M13" s="1713"/>
      <c r="N13" s="1713"/>
      <c r="O13" s="1713"/>
      <c r="P13" s="1713"/>
      <c r="Q13" s="1713"/>
      <c r="R13" s="1713"/>
    </row>
    <row r="14" spans="2:18" ht="13.5" x14ac:dyDescent="0.35">
      <c r="B14" s="1700"/>
      <c r="C14" s="1682" t="s">
        <v>64</v>
      </c>
      <c r="D14" s="720" t="s">
        <v>1545</v>
      </c>
      <c r="E14" s="1419" t="s">
        <v>1435</v>
      </c>
      <c r="F14" s="1720" t="s">
        <v>65</v>
      </c>
      <c r="G14" s="1720"/>
      <c r="H14" s="1720"/>
      <c r="I14" s="1720"/>
    </row>
    <row r="15" spans="2:18" ht="18" customHeight="1" x14ac:dyDescent="0.35">
      <c r="B15" s="1700"/>
      <c r="C15" s="1682"/>
      <c r="D15" s="720" t="s">
        <v>66</v>
      </c>
      <c r="E15" s="1419" t="s">
        <v>1436</v>
      </c>
      <c r="F15" s="1720"/>
      <c r="G15" s="1720"/>
      <c r="H15" s="1720"/>
      <c r="I15" s="1720"/>
    </row>
    <row r="16" spans="2:18" ht="18" customHeight="1" x14ac:dyDescent="0.35">
      <c r="B16" s="1700"/>
      <c r="C16" s="1682"/>
      <c r="D16" s="720" t="s">
        <v>67</v>
      </c>
      <c r="E16" s="1419" t="s">
        <v>1437</v>
      </c>
      <c r="F16" s="1720"/>
      <c r="G16" s="1720"/>
      <c r="H16" s="1720"/>
      <c r="I16" s="1720"/>
      <c r="J16" s="500"/>
    </row>
    <row r="17" spans="2:9" ht="62.15" customHeight="1" x14ac:dyDescent="0.35">
      <c r="B17" s="1700"/>
      <c r="C17" s="1682"/>
      <c r="D17" s="720" t="s">
        <v>68</v>
      </c>
      <c r="E17" s="1419" t="s">
        <v>1438</v>
      </c>
      <c r="F17" s="1720"/>
      <c r="G17" s="1720"/>
      <c r="H17" s="1720"/>
      <c r="I17" s="1720"/>
    </row>
    <row r="18" spans="2:9" ht="18" customHeight="1" x14ac:dyDescent="0.35">
      <c r="B18" s="1700"/>
      <c r="C18" s="1682"/>
      <c r="D18" s="720" t="s">
        <v>69</v>
      </c>
      <c r="E18" s="1419" t="s">
        <v>1439</v>
      </c>
      <c r="F18" s="1720"/>
      <c r="G18" s="1720"/>
      <c r="H18" s="1720"/>
      <c r="I18" s="1720"/>
    </row>
    <row r="19" spans="2:9" ht="18" customHeight="1" x14ac:dyDescent="0.35">
      <c r="B19" s="1700"/>
      <c r="C19" s="1682"/>
      <c r="D19" s="720" t="s">
        <v>70</v>
      </c>
      <c r="E19" s="1419" t="s">
        <v>1440</v>
      </c>
      <c r="F19" s="779"/>
      <c r="G19" s="779"/>
      <c r="H19" s="779"/>
      <c r="I19" s="1683"/>
    </row>
    <row r="20" spans="2:9" ht="29.4" customHeight="1" x14ac:dyDescent="0.35">
      <c r="B20" s="1700"/>
      <c r="C20" s="1682"/>
      <c r="D20" s="720" t="s">
        <v>71</v>
      </c>
      <c r="E20" s="1419" t="s">
        <v>1441</v>
      </c>
      <c r="F20" s="779"/>
      <c r="G20" s="779"/>
      <c r="H20" s="779"/>
      <c r="I20" s="1683"/>
    </row>
    <row r="21" spans="2:9" ht="18" customHeight="1" x14ac:dyDescent="0.35">
      <c r="B21" s="1700"/>
      <c r="C21" s="1682"/>
      <c r="D21" s="720" t="s">
        <v>72</v>
      </c>
      <c r="E21" s="1419" t="s">
        <v>73</v>
      </c>
      <c r="F21" s="779"/>
      <c r="G21" s="779"/>
      <c r="H21" s="779"/>
      <c r="I21" s="1683"/>
    </row>
    <row r="22" spans="2:9" ht="31.75" customHeight="1" x14ac:dyDescent="0.35">
      <c r="B22" s="1700"/>
      <c r="C22" s="1682"/>
      <c r="D22" s="1666" t="s">
        <v>74</v>
      </c>
      <c r="E22" s="1419" t="s">
        <v>1443</v>
      </c>
      <c r="F22" s="1645"/>
      <c r="G22" s="1645"/>
      <c r="H22" s="1645"/>
      <c r="I22" s="1683"/>
    </row>
    <row r="23" spans="2:9" ht="19.25" customHeight="1" x14ac:dyDescent="0.35">
      <c r="B23" s="1700"/>
      <c r="C23" s="1682"/>
      <c r="D23" s="1667"/>
      <c r="E23" s="1420" t="s">
        <v>1442</v>
      </c>
      <c r="F23" s="1646"/>
      <c r="G23" s="1646"/>
      <c r="H23" s="1646"/>
      <c r="I23" s="1683"/>
    </row>
    <row r="24" spans="2:9" ht="18" customHeight="1" x14ac:dyDescent="0.35">
      <c r="B24" s="1700"/>
      <c r="C24" s="1682"/>
      <c r="D24" s="765" t="s">
        <v>75</v>
      </c>
      <c r="E24" s="1419" t="s">
        <v>1444</v>
      </c>
      <c r="F24" s="779"/>
      <c r="G24" s="779"/>
      <c r="H24" s="779"/>
      <c r="I24" s="1683"/>
    </row>
    <row r="25" spans="2:9" ht="18" customHeight="1" x14ac:dyDescent="0.35">
      <c r="B25" s="1700"/>
      <c r="C25" s="1682"/>
      <c r="D25" s="765" t="s">
        <v>76</v>
      </c>
      <c r="E25" s="1419" t="s">
        <v>1445</v>
      </c>
      <c r="F25" s="779"/>
      <c r="G25" s="779"/>
      <c r="H25" s="779"/>
      <c r="I25" s="1683"/>
    </row>
    <row r="26" spans="2:9" ht="13.5" x14ac:dyDescent="0.35">
      <c r="B26" s="1700"/>
      <c r="C26" s="1682"/>
      <c r="D26" s="765" t="s">
        <v>77</v>
      </c>
      <c r="E26" s="1419" t="s">
        <v>1446</v>
      </c>
      <c r="F26" s="779"/>
      <c r="G26" s="779"/>
      <c r="H26" s="779"/>
      <c r="I26" s="1683"/>
    </row>
    <row r="27" spans="2:9" ht="18" customHeight="1" x14ac:dyDescent="0.35">
      <c r="B27" s="1700"/>
      <c r="C27" s="1682"/>
      <c r="D27" s="765" t="s">
        <v>78</v>
      </c>
      <c r="E27" s="1419" t="s">
        <v>1447</v>
      </c>
      <c r="F27" s="779"/>
      <c r="G27" s="779"/>
      <c r="H27" s="779"/>
      <c r="I27" s="1683"/>
    </row>
    <row r="28" spans="2:9" ht="18" customHeight="1" x14ac:dyDescent="0.35">
      <c r="B28" s="1700"/>
      <c r="C28" s="1682"/>
      <c r="D28" s="765" t="s">
        <v>79</v>
      </c>
      <c r="E28" s="1419" t="s">
        <v>1448</v>
      </c>
      <c r="F28" s="779"/>
      <c r="G28" s="779"/>
      <c r="H28" s="779"/>
      <c r="I28" s="1683"/>
    </row>
    <row r="29" spans="2:9" ht="18" customHeight="1" x14ac:dyDescent="0.35">
      <c r="B29" s="1700"/>
      <c r="C29" s="1682"/>
      <c r="D29" s="1681" t="s">
        <v>80</v>
      </c>
      <c r="E29" s="1419" t="s">
        <v>1449</v>
      </c>
      <c r="F29" s="1654"/>
      <c r="G29" s="1654"/>
      <c r="H29" s="1654"/>
      <c r="I29" s="1683"/>
    </row>
    <row r="30" spans="2:9" ht="18" customHeight="1" x14ac:dyDescent="0.35">
      <c r="B30" s="1700"/>
      <c r="C30" s="1682"/>
      <c r="D30" s="1681"/>
      <c r="E30" s="1421" t="s">
        <v>81</v>
      </c>
      <c r="F30" s="1654"/>
      <c r="G30" s="1654"/>
      <c r="H30" s="1654"/>
      <c r="I30" s="1683"/>
    </row>
    <row r="31" spans="2:9" ht="29.9" customHeight="1" x14ac:dyDescent="0.35">
      <c r="B31" s="1700"/>
      <c r="C31" s="1682"/>
      <c r="D31" s="1685" t="s">
        <v>82</v>
      </c>
      <c r="E31" s="1419" t="s">
        <v>1453</v>
      </c>
      <c r="F31" s="1645"/>
      <c r="G31" s="1645"/>
      <c r="H31" s="1645"/>
      <c r="I31" s="1683"/>
    </row>
    <row r="32" spans="2:9" ht="21" customHeight="1" x14ac:dyDescent="0.35">
      <c r="B32" s="1700"/>
      <c r="C32" s="1682"/>
      <c r="D32" s="1686"/>
      <c r="E32" s="1420" t="s">
        <v>95</v>
      </c>
      <c r="F32" s="1646"/>
      <c r="G32" s="1646"/>
      <c r="H32" s="1646"/>
      <c r="I32" s="1683"/>
    </row>
    <row r="33" spans="2:9" ht="18" customHeight="1" x14ac:dyDescent="0.35">
      <c r="B33" s="1700"/>
      <c r="C33" s="1682"/>
      <c r="D33" s="765" t="s">
        <v>83</v>
      </c>
      <c r="E33" s="1419" t="s">
        <v>1450</v>
      </c>
      <c r="F33" s="779"/>
      <c r="G33" s="779"/>
      <c r="H33" s="779"/>
      <c r="I33" s="1683"/>
    </row>
    <row r="34" spans="2:9" ht="18" customHeight="1" x14ac:dyDescent="0.35">
      <c r="B34" s="1700"/>
      <c r="C34" s="1682"/>
      <c r="D34" s="765" t="s">
        <v>84</v>
      </c>
      <c r="E34" s="1419" t="s">
        <v>1451</v>
      </c>
      <c r="F34" s="779"/>
      <c r="G34" s="779"/>
      <c r="H34" s="779"/>
      <c r="I34" s="1683"/>
    </row>
    <row r="35" spans="2:9" ht="18" customHeight="1" x14ac:dyDescent="0.35">
      <c r="B35" s="1700"/>
      <c r="C35" s="1682"/>
      <c r="D35" s="765" t="s">
        <v>85</v>
      </c>
      <c r="E35" s="1419" t="s">
        <v>1452</v>
      </c>
      <c r="F35" s="779"/>
      <c r="G35" s="779"/>
      <c r="H35" s="779"/>
      <c r="I35" s="1683"/>
    </row>
    <row r="36" spans="2:9" ht="18" customHeight="1" x14ac:dyDescent="0.35">
      <c r="B36" s="1700"/>
      <c r="C36" s="1682"/>
      <c r="D36" s="765" t="s">
        <v>86</v>
      </c>
      <c r="E36" s="1419" t="s">
        <v>1454</v>
      </c>
      <c r="F36" s="763"/>
      <c r="G36" s="779"/>
      <c r="H36" s="763"/>
      <c r="I36" s="1683"/>
    </row>
    <row r="37" spans="2:9" ht="31.25" customHeight="1" x14ac:dyDescent="0.35">
      <c r="B37" s="1700"/>
      <c r="C37" s="1682"/>
      <c r="D37" s="765" t="s">
        <v>87</v>
      </c>
      <c r="E37" s="1419" t="s">
        <v>1455</v>
      </c>
      <c r="F37" s="763"/>
      <c r="G37" s="779"/>
      <c r="H37" s="763"/>
      <c r="I37" s="1683"/>
    </row>
    <row r="38" spans="2:9" ht="13.5" x14ac:dyDescent="0.35">
      <c r="B38" s="1700"/>
      <c r="C38" s="1682"/>
      <c r="D38" s="1681" t="s">
        <v>88</v>
      </c>
      <c r="E38" s="1419" t="s">
        <v>1456</v>
      </c>
      <c r="F38" s="1735"/>
      <c r="G38" s="1645"/>
      <c r="H38" s="1735"/>
      <c r="I38" s="1683"/>
    </row>
    <row r="39" spans="2:9" ht="13.5" x14ac:dyDescent="0.35">
      <c r="B39" s="1700"/>
      <c r="C39" s="1682"/>
      <c r="D39" s="1681"/>
      <c r="E39" s="1422" t="s">
        <v>89</v>
      </c>
      <c r="F39" s="1736"/>
      <c r="G39" s="1646"/>
      <c r="H39" s="1736"/>
      <c r="I39" s="1683"/>
    </row>
    <row r="40" spans="2:9" ht="18" customHeight="1" x14ac:dyDescent="0.35">
      <c r="B40" s="1700"/>
      <c r="C40" s="1682"/>
      <c r="D40" s="1681" t="s">
        <v>90</v>
      </c>
      <c r="E40" s="1419" t="s">
        <v>1457</v>
      </c>
      <c r="F40" s="1680"/>
      <c r="G40" s="1654"/>
      <c r="H40" s="1680"/>
      <c r="I40" s="1683"/>
    </row>
    <row r="41" spans="2:9" ht="18" customHeight="1" x14ac:dyDescent="0.35">
      <c r="B41" s="1700"/>
      <c r="C41" s="1682"/>
      <c r="D41" s="1681"/>
      <c r="E41" s="1421" t="s">
        <v>91</v>
      </c>
      <c r="F41" s="1680"/>
      <c r="G41" s="1654"/>
      <c r="H41" s="1680"/>
      <c r="I41" s="1683"/>
    </row>
    <row r="42" spans="2:9" ht="18" customHeight="1" x14ac:dyDescent="0.35">
      <c r="B42" s="1700"/>
      <c r="C42" s="1682"/>
      <c r="D42" s="1681" t="s">
        <v>92</v>
      </c>
      <c r="E42" s="1419" t="s">
        <v>1458</v>
      </c>
      <c r="F42" s="1735"/>
      <c r="G42" s="1645"/>
      <c r="H42" s="1735"/>
      <c r="I42" s="1683"/>
    </row>
    <row r="43" spans="2:9" ht="18" customHeight="1" x14ac:dyDescent="0.35">
      <c r="B43" s="1700"/>
      <c r="C43" s="1682"/>
      <c r="D43" s="1681"/>
      <c r="E43" s="1421" t="s">
        <v>91</v>
      </c>
      <c r="F43" s="1736"/>
      <c r="G43" s="1646"/>
      <c r="H43" s="1736"/>
      <c r="I43" s="1683"/>
    </row>
    <row r="44" spans="2:9" ht="18" customHeight="1" x14ac:dyDescent="0.35">
      <c r="B44" s="1700"/>
      <c r="C44" s="1682"/>
      <c r="D44" s="1681" t="s">
        <v>93</v>
      </c>
      <c r="E44" s="1419" t="s">
        <v>94</v>
      </c>
      <c r="F44" s="1735"/>
      <c r="G44" s="1645"/>
      <c r="H44" s="1735"/>
      <c r="I44" s="1683"/>
    </row>
    <row r="45" spans="2:9" ht="18" customHeight="1" x14ac:dyDescent="0.35">
      <c r="B45" s="1700"/>
      <c r="C45" s="1682"/>
      <c r="D45" s="1681"/>
      <c r="E45" s="1422" t="s">
        <v>95</v>
      </c>
      <c r="F45" s="1745"/>
      <c r="G45" s="1665"/>
      <c r="H45" s="1745"/>
      <c r="I45" s="1683"/>
    </row>
    <row r="46" spans="2:9" ht="18" customHeight="1" x14ac:dyDescent="0.35">
      <c r="B46" s="1700"/>
      <c r="C46" s="1682"/>
      <c r="D46" s="1681"/>
      <c r="E46" s="1422" t="s">
        <v>96</v>
      </c>
      <c r="F46" s="1736"/>
      <c r="G46" s="1646"/>
      <c r="H46" s="1736"/>
      <c r="I46" s="1683"/>
    </row>
    <row r="47" spans="2:9" ht="30" customHeight="1" x14ac:dyDescent="0.35">
      <c r="B47" s="1700"/>
      <c r="C47" s="1682"/>
      <c r="D47" s="1681" t="s">
        <v>97</v>
      </c>
      <c r="E47" s="1419" t="s">
        <v>1459</v>
      </c>
      <c r="F47" s="1735"/>
      <c r="G47" s="1645"/>
      <c r="H47" s="1735"/>
      <c r="I47" s="1683"/>
    </row>
    <row r="48" spans="2:9" ht="18" customHeight="1" x14ac:dyDescent="0.35">
      <c r="B48" s="1700"/>
      <c r="C48" s="1682"/>
      <c r="D48" s="1681"/>
      <c r="E48" s="1422" t="s">
        <v>95</v>
      </c>
      <c r="F48" s="1745"/>
      <c r="G48" s="1665"/>
      <c r="H48" s="1745"/>
      <c r="I48" s="1683"/>
    </row>
    <row r="49" spans="2:16" ht="18" customHeight="1" x14ac:dyDescent="0.35">
      <c r="B49" s="1700"/>
      <c r="C49" s="1682"/>
      <c r="D49" s="1681"/>
      <c r="E49" s="1422" t="s">
        <v>98</v>
      </c>
      <c r="F49" s="1736"/>
      <c r="G49" s="1646"/>
      <c r="H49" s="1736"/>
      <c r="I49" s="1683"/>
    </row>
    <row r="50" spans="2:16" ht="61.75" customHeight="1" x14ac:dyDescent="0.35">
      <c r="B50" s="1700"/>
      <c r="C50" s="1682"/>
      <c r="D50" s="765" t="s">
        <v>99</v>
      </c>
      <c r="E50" s="1419" t="s">
        <v>1460</v>
      </c>
      <c r="F50" s="763"/>
      <c r="G50" s="779"/>
      <c r="H50" s="763"/>
      <c r="I50" s="1683"/>
    </row>
    <row r="51" spans="2:16" ht="32.9" customHeight="1" x14ac:dyDescent="0.35">
      <c r="B51" s="1700"/>
      <c r="C51" s="1682"/>
      <c r="D51" s="1681" t="s">
        <v>100</v>
      </c>
      <c r="E51" s="1422" t="s">
        <v>101</v>
      </c>
      <c r="F51" s="1735"/>
      <c r="G51" s="1645"/>
      <c r="H51" s="1735"/>
      <c r="I51" s="1683"/>
      <c r="L51" s="1715"/>
      <c r="M51" s="1715"/>
      <c r="N51" s="1715"/>
      <c r="O51" s="1715"/>
      <c r="P51" s="1715"/>
    </row>
    <row r="52" spans="2:16" ht="18" customHeight="1" x14ac:dyDescent="0.35">
      <c r="B52" s="1700"/>
      <c r="C52" s="1682"/>
      <c r="D52" s="1681"/>
      <c r="E52" s="1422" t="s">
        <v>102</v>
      </c>
      <c r="F52" s="1736"/>
      <c r="G52" s="1646"/>
      <c r="H52" s="1736"/>
      <c r="I52" s="1683"/>
      <c r="L52" s="1715"/>
      <c r="M52" s="1715"/>
      <c r="N52" s="1715"/>
      <c r="O52" s="1715"/>
      <c r="P52" s="1715"/>
    </row>
    <row r="53" spans="2:16" ht="13.5" x14ac:dyDescent="0.35">
      <c r="B53" s="1700"/>
      <c r="C53" s="1682"/>
      <c r="D53" s="1681" t="s">
        <v>103</v>
      </c>
      <c r="E53" s="1419" t="s">
        <v>104</v>
      </c>
      <c r="F53" s="1735"/>
      <c r="G53" s="1645"/>
      <c r="H53" s="1735"/>
      <c r="I53" s="1683"/>
      <c r="L53" s="1715"/>
      <c r="M53" s="1715"/>
      <c r="N53" s="1715"/>
      <c r="O53" s="1715"/>
      <c r="P53" s="1715"/>
    </row>
    <row r="54" spans="2:16" ht="29.15" customHeight="1" x14ac:dyDescent="0.35">
      <c r="B54" s="1700"/>
      <c r="C54" s="1682"/>
      <c r="D54" s="1681"/>
      <c r="E54" s="1422" t="s">
        <v>101</v>
      </c>
      <c r="F54" s="1745"/>
      <c r="G54" s="1665"/>
      <c r="H54" s="1745"/>
      <c r="I54" s="1683"/>
      <c r="L54" s="1715"/>
      <c r="M54" s="1715"/>
      <c r="N54" s="1715"/>
      <c r="O54" s="1715"/>
      <c r="P54" s="1715"/>
    </row>
    <row r="55" spans="2:16" ht="13.5" x14ac:dyDescent="0.35">
      <c r="B55" s="1700"/>
      <c r="C55" s="1682"/>
      <c r="D55" s="1681"/>
      <c r="E55" s="1422" t="s">
        <v>1461</v>
      </c>
      <c r="F55" s="1736"/>
      <c r="G55" s="1646"/>
      <c r="H55" s="1736"/>
      <c r="I55" s="1683"/>
      <c r="L55" s="1715"/>
      <c r="M55" s="1715"/>
      <c r="N55" s="1715"/>
      <c r="O55" s="1715"/>
      <c r="P55" s="1715"/>
    </row>
    <row r="56" spans="2:16" ht="32.15" customHeight="1" x14ac:dyDescent="0.35">
      <c r="B56" s="1700"/>
      <c r="C56" s="1682"/>
      <c r="D56" s="1681" t="s">
        <v>105</v>
      </c>
      <c r="E56" s="1419" t="s">
        <v>1462</v>
      </c>
      <c r="F56" s="1735"/>
      <c r="G56" s="1645"/>
      <c r="H56" s="1735"/>
      <c r="I56" s="1683"/>
      <c r="L56" s="1715"/>
      <c r="M56" s="1715"/>
      <c r="N56" s="1715"/>
      <c r="O56" s="1715"/>
      <c r="P56" s="1715"/>
    </row>
    <row r="57" spans="2:16" ht="18.649999999999999" customHeight="1" x14ac:dyDescent="0.35">
      <c r="B57" s="769"/>
      <c r="C57" s="1682"/>
      <c r="D57" s="1681"/>
      <c r="E57" s="1422" t="s">
        <v>106</v>
      </c>
      <c r="F57" s="1736"/>
      <c r="G57" s="1646"/>
      <c r="H57" s="1736"/>
      <c r="I57" s="1683"/>
      <c r="L57" s="768"/>
      <c r="M57" s="768"/>
      <c r="N57" s="768"/>
      <c r="O57" s="768"/>
      <c r="P57" s="768"/>
    </row>
    <row r="58" spans="2:16" ht="23.15" customHeight="1" x14ac:dyDescent="0.35">
      <c r="B58" s="770"/>
      <c r="C58" s="771" t="s">
        <v>107</v>
      </c>
      <c r="D58" s="772"/>
      <c r="E58" s="773"/>
      <c r="F58" s="772"/>
      <c r="G58" s="772"/>
      <c r="H58" s="772"/>
      <c r="I58" s="774"/>
    </row>
    <row r="59" spans="2:16" ht="17.899999999999999" customHeight="1" x14ac:dyDescent="0.35">
      <c r="B59" s="1729"/>
      <c r="C59" s="1656" t="s">
        <v>108</v>
      </c>
      <c r="D59" s="765" t="s">
        <v>109</v>
      </c>
      <c r="E59" s="1419" t="s">
        <v>1464</v>
      </c>
      <c r="F59" s="1721" t="s">
        <v>65</v>
      </c>
      <c r="G59" s="1721"/>
      <c r="H59" s="1721"/>
      <c r="I59" s="1722"/>
      <c r="J59" s="500"/>
    </row>
    <row r="60" spans="2:16" ht="29.15" customHeight="1" x14ac:dyDescent="0.35">
      <c r="B60" s="1730"/>
      <c r="C60" s="1725"/>
      <c r="D60" s="775" t="s">
        <v>110</v>
      </c>
      <c r="E60" s="1419" t="s">
        <v>1463</v>
      </c>
      <c r="F60" s="1723"/>
      <c r="G60" s="1723"/>
      <c r="H60" s="1723"/>
      <c r="I60" s="1724"/>
      <c r="L60" s="1714"/>
      <c r="M60" s="1714"/>
      <c r="N60" s="1714"/>
      <c r="O60" s="1714"/>
    </row>
    <row r="61" spans="2:16" ht="13.5" customHeight="1" x14ac:dyDescent="0.35">
      <c r="B61" s="1732" t="s">
        <v>111</v>
      </c>
      <c r="C61" s="1652" t="s">
        <v>112</v>
      </c>
      <c r="D61" s="1652"/>
      <c r="E61" s="1652"/>
      <c r="F61" s="1652"/>
      <c r="G61" s="1652"/>
      <c r="H61" s="1652"/>
      <c r="I61" s="1652"/>
    </row>
    <row r="62" spans="2:16" ht="20.149999999999999" customHeight="1" x14ac:dyDescent="0.35">
      <c r="B62" s="1733"/>
      <c r="C62" s="777" t="s">
        <v>108</v>
      </c>
      <c r="D62" s="720" t="s">
        <v>113</v>
      </c>
      <c r="E62" s="1419" t="s">
        <v>1465</v>
      </c>
      <c r="F62" s="763"/>
      <c r="G62" s="763"/>
      <c r="H62" s="763"/>
      <c r="I62" s="763"/>
    </row>
    <row r="63" spans="2:16" ht="33.65" customHeight="1" x14ac:dyDescent="0.35">
      <c r="B63" s="1733"/>
      <c r="C63" s="1679" t="s">
        <v>114</v>
      </c>
      <c r="D63" s="720" t="s">
        <v>115</v>
      </c>
      <c r="E63" s="1419" t="s">
        <v>1467</v>
      </c>
      <c r="F63" s="763"/>
      <c r="G63" s="763"/>
      <c r="H63" s="763"/>
      <c r="I63" s="763"/>
    </row>
    <row r="64" spans="2:16" ht="29.15" customHeight="1" x14ac:dyDescent="0.35">
      <c r="B64" s="1733"/>
      <c r="C64" s="1679"/>
      <c r="D64" s="720" t="s">
        <v>116</v>
      </c>
      <c r="E64" s="1419" t="s">
        <v>1466</v>
      </c>
      <c r="F64" s="1237"/>
      <c r="G64" s="763"/>
      <c r="H64" s="763"/>
      <c r="I64" s="763"/>
    </row>
    <row r="65" spans="2:14" ht="18" customHeight="1" x14ac:dyDescent="0.35">
      <c r="B65" s="1733"/>
      <c r="C65" s="1679"/>
      <c r="D65" s="720" t="s">
        <v>117</v>
      </c>
      <c r="E65" s="1423" t="s">
        <v>1468</v>
      </c>
      <c r="F65" s="763"/>
      <c r="G65" s="763"/>
      <c r="H65" s="763"/>
      <c r="I65" s="763"/>
    </row>
    <row r="66" spans="2:14" ht="17.149999999999999" customHeight="1" x14ac:dyDescent="0.35">
      <c r="B66" s="1733"/>
      <c r="C66" s="1679"/>
      <c r="D66" s="633" t="s">
        <v>118</v>
      </c>
      <c r="E66" s="1419" t="s">
        <v>1469</v>
      </c>
      <c r="F66" s="763"/>
      <c r="G66" s="763"/>
      <c r="H66" s="763"/>
      <c r="I66" s="763"/>
    </row>
    <row r="67" spans="2:14" ht="17.899999999999999" customHeight="1" x14ac:dyDescent="0.35">
      <c r="B67" s="1733"/>
      <c r="C67" s="1651" t="s">
        <v>119</v>
      </c>
      <c r="D67" s="1652"/>
      <c r="E67" s="1652"/>
      <c r="F67" s="1652"/>
      <c r="G67" s="1652"/>
      <c r="H67" s="1652"/>
      <c r="I67" s="1652"/>
    </row>
    <row r="68" spans="2:14" ht="18.649999999999999" customHeight="1" x14ac:dyDescent="0.35">
      <c r="B68" s="1733"/>
      <c r="C68" s="1643" t="s">
        <v>108</v>
      </c>
      <c r="D68" s="1666" t="s">
        <v>113</v>
      </c>
      <c r="E68" s="1424" t="s">
        <v>1471</v>
      </c>
      <c r="F68" s="1737"/>
      <c r="G68" s="1737"/>
      <c r="H68" s="1737"/>
      <c r="I68" s="1737"/>
    </row>
    <row r="69" spans="2:14" ht="18.649999999999999" customHeight="1" x14ac:dyDescent="0.35">
      <c r="B69" s="1733"/>
      <c r="C69" s="1644"/>
      <c r="D69" s="1667"/>
      <c r="E69" s="1425" t="s">
        <v>1472</v>
      </c>
      <c r="F69" s="1738"/>
      <c r="G69" s="1738"/>
      <c r="H69" s="1738"/>
      <c r="I69" s="1738"/>
    </row>
    <row r="70" spans="2:14" ht="24" customHeight="1" x14ac:dyDescent="0.35">
      <c r="B70" s="1733"/>
      <c r="C70" s="780" t="s">
        <v>121</v>
      </c>
      <c r="D70" s="720" t="s">
        <v>122</v>
      </c>
      <c r="E70" s="1419" t="s">
        <v>123</v>
      </c>
      <c r="F70" s="781"/>
      <c r="G70" s="781"/>
      <c r="H70" s="781"/>
      <c r="I70" s="781"/>
    </row>
    <row r="71" spans="2:14" ht="13.5" customHeight="1" x14ac:dyDescent="0.35">
      <c r="B71" s="1733"/>
      <c r="C71" s="1652" t="s">
        <v>124</v>
      </c>
      <c r="D71" s="1652"/>
      <c r="E71" s="1652"/>
      <c r="F71" s="1652"/>
      <c r="G71" s="1652"/>
      <c r="H71" s="1652"/>
      <c r="I71" s="1652"/>
      <c r="L71" s="776"/>
      <c r="M71" s="776"/>
      <c r="N71" s="776"/>
    </row>
    <row r="72" spans="2:14" ht="19.5" x14ac:dyDescent="0.35">
      <c r="B72" s="1733"/>
      <c r="C72" s="1643" t="s">
        <v>108</v>
      </c>
      <c r="D72" s="1666" t="s">
        <v>113</v>
      </c>
      <c r="E72" s="1419" t="s">
        <v>1470</v>
      </c>
      <c r="F72" s="1645"/>
      <c r="G72" s="1645"/>
      <c r="H72" s="1645"/>
      <c r="I72" s="1645"/>
      <c r="L72" s="776"/>
      <c r="M72" s="776"/>
      <c r="N72" s="776"/>
    </row>
    <row r="73" spans="2:14" ht="19.5" x14ac:dyDescent="0.35">
      <c r="B73" s="1733"/>
      <c r="C73" s="1740"/>
      <c r="D73" s="1739"/>
      <c r="E73" s="1421" t="s">
        <v>1474</v>
      </c>
      <c r="F73" s="1665"/>
      <c r="G73" s="1665"/>
      <c r="H73" s="1665"/>
      <c r="I73" s="1665"/>
      <c r="L73" s="776"/>
      <c r="M73" s="776"/>
      <c r="N73" s="776"/>
    </row>
    <row r="74" spans="2:14" ht="19.5" x14ac:dyDescent="0.35">
      <c r="B74" s="1733"/>
      <c r="C74" s="1644"/>
      <c r="D74" s="1667"/>
      <c r="E74" s="1420" t="s">
        <v>98</v>
      </c>
      <c r="F74" s="1646"/>
      <c r="G74" s="1646"/>
      <c r="H74" s="1646"/>
      <c r="I74" s="1646"/>
      <c r="L74" s="776"/>
      <c r="M74" s="776"/>
      <c r="N74" s="776"/>
    </row>
    <row r="75" spans="2:14" ht="19.5" x14ac:dyDescent="0.35">
      <c r="B75" s="1733"/>
      <c r="C75" s="1647" t="s">
        <v>125</v>
      </c>
      <c r="D75" s="767" t="s">
        <v>126</v>
      </c>
      <c r="E75" s="1419" t="s">
        <v>94</v>
      </c>
      <c r="F75" s="779"/>
      <c r="G75" s="779"/>
      <c r="H75" s="779"/>
      <c r="I75" s="779"/>
      <c r="L75" s="776"/>
      <c r="M75" s="776"/>
      <c r="N75" s="776"/>
    </row>
    <row r="76" spans="2:14" ht="19.5" x14ac:dyDescent="0.35">
      <c r="B76" s="1733"/>
      <c r="C76" s="1647"/>
      <c r="D76" s="767" t="s">
        <v>127</v>
      </c>
      <c r="E76" s="1419" t="s">
        <v>73</v>
      </c>
      <c r="F76" s="779"/>
      <c r="G76" s="779"/>
      <c r="H76" s="779"/>
      <c r="I76" s="779"/>
      <c r="L76" s="776"/>
      <c r="M76" s="776"/>
      <c r="N76" s="776"/>
    </row>
    <row r="77" spans="2:14" ht="19.5" x14ac:dyDescent="0.35">
      <c r="B77" s="1733"/>
      <c r="C77" s="1679"/>
      <c r="D77" s="767" t="s">
        <v>128</v>
      </c>
      <c r="E77" s="1419" t="s">
        <v>94</v>
      </c>
      <c r="F77" s="779"/>
      <c r="G77" s="779"/>
      <c r="H77" s="779"/>
      <c r="I77" s="779"/>
      <c r="L77" s="776"/>
      <c r="M77" s="776"/>
      <c r="N77" s="776"/>
    </row>
    <row r="78" spans="2:14" ht="17.899999999999999" customHeight="1" x14ac:dyDescent="0.35">
      <c r="B78" s="1733"/>
      <c r="C78" s="1688" t="s">
        <v>129</v>
      </c>
      <c r="D78" s="1689"/>
      <c r="E78" s="1689"/>
      <c r="F78" s="1689"/>
      <c r="G78" s="1689"/>
      <c r="H78" s="1689"/>
      <c r="I78" s="1690"/>
    </row>
    <row r="79" spans="2:14" ht="21.65" customHeight="1" x14ac:dyDescent="0.35">
      <c r="B79" s="1733"/>
      <c r="C79" s="1643" t="s">
        <v>108</v>
      </c>
      <c r="D79" s="1666" t="s">
        <v>113</v>
      </c>
      <c r="E79" s="1419" t="s">
        <v>1471</v>
      </c>
      <c r="F79" s="1735"/>
      <c r="G79" s="1735"/>
      <c r="H79" s="1735"/>
      <c r="I79" s="1735"/>
    </row>
    <row r="80" spans="2:14" ht="21.65" customHeight="1" x14ac:dyDescent="0.35">
      <c r="B80" s="1733"/>
      <c r="C80" s="1644"/>
      <c r="D80" s="1667"/>
      <c r="E80" s="1420" t="s">
        <v>1473</v>
      </c>
      <c r="F80" s="1736"/>
      <c r="G80" s="1736"/>
      <c r="H80" s="1736"/>
      <c r="I80" s="1736"/>
    </row>
    <row r="81" spans="2:9" ht="33" customHeight="1" x14ac:dyDescent="0.35">
      <c r="B81" s="1733"/>
      <c r="C81" s="782" t="s">
        <v>130</v>
      </c>
      <c r="D81" s="720" t="s">
        <v>131</v>
      </c>
      <c r="E81" s="1419" t="s">
        <v>94</v>
      </c>
      <c r="F81" s="763"/>
      <c r="G81" s="763"/>
      <c r="H81" s="763"/>
      <c r="I81" s="763"/>
    </row>
    <row r="82" spans="2:9" ht="17.899999999999999" customHeight="1" x14ac:dyDescent="0.35">
      <c r="B82" s="1733"/>
      <c r="C82" s="1651" t="s">
        <v>132</v>
      </c>
      <c r="D82" s="1652"/>
      <c r="E82" s="1652"/>
      <c r="F82" s="1652"/>
      <c r="G82" s="1652"/>
      <c r="H82" s="1652"/>
      <c r="I82" s="1652"/>
    </row>
    <row r="83" spans="2:9" ht="17.899999999999999" customHeight="1" x14ac:dyDescent="0.35">
      <c r="B83" s="1733"/>
      <c r="C83" s="1643" t="s">
        <v>108</v>
      </c>
      <c r="D83" s="1666" t="s">
        <v>113</v>
      </c>
      <c r="E83" s="1423" t="s">
        <v>1471</v>
      </c>
      <c r="F83" s="1645"/>
      <c r="G83" s="1645"/>
      <c r="H83" s="1645"/>
      <c r="I83" s="1645"/>
    </row>
    <row r="84" spans="2:9" ht="27" x14ac:dyDescent="0.35">
      <c r="B84" s="1733"/>
      <c r="C84" s="1644"/>
      <c r="D84" s="1667"/>
      <c r="E84" s="1420" t="s">
        <v>101</v>
      </c>
      <c r="F84" s="1646"/>
      <c r="G84" s="1646"/>
      <c r="H84" s="1646"/>
      <c r="I84" s="1646"/>
    </row>
    <row r="85" spans="2:9" ht="17.899999999999999" customHeight="1" x14ac:dyDescent="0.35">
      <c r="B85" s="1734"/>
      <c r="C85" s="783" t="s">
        <v>133</v>
      </c>
      <c r="D85" s="720" t="s">
        <v>134</v>
      </c>
      <c r="E85" s="1423" t="s">
        <v>1475</v>
      </c>
      <c r="F85" s="779"/>
      <c r="G85" s="779"/>
      <c r="H85" s="779"/>
      <c r="I85" s="779"/>
    </row>
    <row r="86" spans="2:9" ht="13.5" x14ac:dyDescent="0.35">
      <c r="B86" s="1701" t="s">
        <v>40</v>
      </c>
      <c r="C86" s="1652" t="s">
        <v>135</v>
      </c>
      <c r="D86" s="1652"/>
      <c r="E86" s="1652"/>
      <c r="F86" s="1652"/>
      <c r="G86" s="1652"/>
      <c r="H86" s="1652"/>
      <c r="I86" s="1652"/>
    </row>
    <row r="87" spans="2:9" ht="20.149999999999999" customHeight="1" x14ac:dyDescent="0.35">
      <c r="B87" s="1702"/>
      <c r="C87" s="777" t="s">
        <v>108</v>
      </c>
      <c r="D87" s="767" t="s">
        <v>113</v>
      </c>
      <c r="E87" s="1419" t="s">
        <v>1477</v>
      </c>
      <c r="F87" s="779"/>
      <c r="G87" s="779"/>
      <c r="H87" s="779"/>
      <c r="I87" s="779"/>
    </row>
    <row r="88" spans="2:9" ht="27" x14ac:dyDescent="0.35">
      <c r="B88" s="1702"/>
      <c r="C88" s="1679" t="s">
        <v>136</v>
      </c>
      <c r="D88" s="633" t="s">
        <v>137</v>
      </c>
      <c r="E88" s="1419"/>
      <c r="F88" s="784" t="s">
        <v>138</v>
      </c>
      <c r="G88" s="785" t="s">
        <v>139</v>
      </c>
      <c r="H88" s="763" t="s">
        <v>1505</v>
      </c>
      <c r="I88" s="779"/>
    </row>
    <row r="89" spans="2:9" ht="20.149999999999999" customHeight="1" x14ac:dyDescent="0.35">
      <c r="B89" s="1702"/>
      <c r="C89" s="1679"/>
      <c r="D89" s="767" t="s">
        <v>140</v>
      </c>
      <c r="E89" s="1419" t="s">
        <v>1478</v>
      </c>
      <c r="F89" s="779"/>
      <c r="G89" s="779"/>
      <c r="H89" s="779"/>
      <c r="I89" s="779"/>
    </row>
    <row r="90" spans="2:9" ht="27" x14ac:dyDescent="0.35">
      <c r="B90" s="1699"/>
      <c r="C90" s="1679"/>
      <c r="D90" s="767" t="s">
        <v>141</v>
      </c>
      <c r="E90" s="1419" t="s">
        <v>1478</v>
      </c>
      <c r="F90" s="763" t="s">
        <v>142</v>
      </c>
      <c r="G90" s="763" t="s">
        <v>139</v>
      </c>
      <c r="H90" s="763" t="s">
        <v>1506</v>
      </c>
      <c r="I90" s="779"/>
    </row>
    <row r="91" spans="2:9" ht="13.5" x14ac:dyDescent="0.35">
      <c r="B91" s="1698" t="s">
        <v>36</v>
      </c>
      <c r="C91" s="1652" t="s">
        <v>143</v>
      </c>
      <c r="D91" s="1652"/>
      <c r="E91" s="1652"/>
      <c r="F91" s="1652"/>
      <c r="G91" s="1652"/>
      <c r="H91" s="1652"/>
      <c r="I91" s="1652"/>
    </row>
    <row r="92" spans="2:9" ht="20.9" customHeight="1" x14ac:dyDescent="0.35">
      <c r="B92" s="1699"/>
      <c r="C92" s="777" t="s">
        <v>108</v>
      </c>
      <c r="D92" s="720" t="s">
        <v>113</v>
      </c>
      <c r="E92" s="1419" t="s">
        <v>1479</v>
      </c>
      <c r="F92" s="779"/>
      <c r="G92" s="779"/>
      <c r="H92" s="779"/>
      <c r="I92" s="779"/>
    </row>
    <row r="93" spans="2:9" ht="29.9" customHeight="1" x14ac:dyDescent="0.35">
      <c r="B93" s="1699"/>
      <c r="C93" s="1679" t="s">
        <v>144</v>
      </c>
      <c r="D93" s="720" t="s">
        <v>145</v>
      </c>
      <c r="E93" s="1419" t="s">
        <v>1480</v>
      </c>
      <c r="F93" s="779"/>
      <c r="G93" s="779"/>
      <c r="H93" s="779"/>
      <c r="I93" s="779"/>
    </row>
    <row r="94" spans="2:9" ht="29.9" customHeight="1" x14ac:dyDescent="0.35">
      <c r="B94" s="1699"/>
      <c r="C94" s="1679"/>
      <c r="D94" s="720" t="s">
        <v>146</v>
      </c>
      <c r="E94" s="1419" t="s">
        <v>1481</v>
      </c>
      <c r="F94" s="779"/>
      <c r="G94" s="779"/>
      <c r="H94" s="779"/>
      <c r="I94" s="779"/>
    </row>
    <row r="95" spans="2:9" ht="29.9" customHeight="1" x14ac:dyDescent="0.35">
      <c r="B95" s="1699"/>
      <c r="C95" s="1679"/>
      <c r="D95" s="720" t="s">
        <v>147</v>
      </c>
      <c r="E95" s="1419" t="s">
        <v>1480</v>
      </c>
      <c r="F95" s="779"/>
      <c r="G95" s="779"/>
      <c r="H95" s="779"/>
      <c r="I95" s="779"/>
    </row>
    <row r="96" spans="2:9" ht="29.9" customHeight="1" x14ac:dyDescent="0.35">
      <c r="B96" s="1699"/>
      <c r="C96" s="1679"/>
      <c r="D96" s="720" t="s">
        <v>148</v>
      </c>
      <c r="E96" s="1419" t="s">
        <v>1480</v>
      </c>
      <c r="F96" s="779"/>
      <c r="G96" s="779"/>
      <c r="H96" s="779"/>
      <c r="I96" s="779"/>
    </row>
    <row r="97" spans="2:9" ht="32.15" customHeight="1" x14ac:dyDescent="0.35">
      <c r="B97" s="1699"/>
      <c r="C97" s="1679"/>
      <c r="D97" s="720" t="s">
        <v>149</v>
      </c>
      <c r="E97" s="1419"/>
      <c r="F97" s="786" t="s">
        <v>150</v>
      </c>
      <c r="G97" s="785" t="s">
        <v>139</v>
      </c>
      <c r="H97" s="763" t="s">
        <v>1505</v>
      </c>
      <c r="I97" s="779"/>
    </row>
    <row r="98" spans="2:9" ht="13.5" x14ac:dyDescent="0.35">
      <c r="B98" s="1698" t="s">
        <v>38</v>
      </c>
      <c r="C98" s="1652" t="s">
        <v>151</v>
      </c>
      <c r="D98" s="1652"/>
      <c r="E98" s="1652"/>
      <c r="F98" s="1652"/>
      <c r="G98" s="1652"/>
      <c r="H98" s="1652"/>
      <c r="I98" s="1652"/>
    </row>
    <row r="99" spans="2:9" ht="27.65" customHeight="1" x14ac:dyDescent="0.35">
      <c r="B99" s="1699"/>
      <c r="C99" s="777" t="s">
        <v>108</v>
      </c>
      <c r="D99" s="720" t="s">
        <v>113</v>
      </c>
      <c r="E99" s="1419" t="s">
        <v>1482</v>
      </c>
      <c r="F99" s="779"/>
      <c r="G99" s="779"/>
      <c r="H99" s="779"/>
      <c r="I99" s="779"/>
    </row>
    <row r="100" spans="2:9" ht="30" customHeight="1" x14ac:dyDescent="0.35">
      <c r="B100" s="1699"/>
      <c r="C100" s="1679" t="s">
        <v>152</v>
      </c>
      <c r="D100" s="720" t="s">
        <v>153</v>
      </c>
      <c r="E100" s="1419" t="s">
        <v>1483</v>
      </c>
      <c r="F100" s="779"/>
      <c r="G100" s="779"/>
      <c r="H100" s="779"/>
      <c r="I100" s="779"/>
    </row>
    <row r="101" spans="2:9" ht="30" customHeight="1" x14ac:dyDescent="0.35">
      <c r="B101" s="1699"/>
      <c r="C101" s="1679"/>
      <c r="D101" s="1666" t="s">
        <v>154</v>
      </c>
      <c r="E101" s="1419" t="s">
        <v>1483</v>
      </c>
      <c r="F101" s="1645"/>
      <c r="G101" s="1645"/>
      <c r="H101" s="1645"/>
      <c r="I101" s="1645"/>
    </row>
    <row r="102" spans="2:9" ht="30" customHeight="1" x14ac:dyDescent="0.35">
      <c r="B102" s="1699"/>
      <c r="C102" s="1679"/>
      <c r="D102" s="1667"/>
      <c r="E102" s="1420" t="s">
        <v>1485</v>
      </c>
      <c r="F102" s="1646"/>
      <c r="G102" s="1646"/>
      <c r="H102" s="1646"/>
      <c r="I102" s="1646"/>
    </row>
    <row r="103" spans="2:9" ht="30" customHeight="1" x14ac:dyDescent="0.35">
      <c r="B103" s="1699"/>
      <c r="C103" s="1679"/>
      <c r="D103" s="720" t="s">
        <v>155</v>
      </c>
      <c r="E103" s="1419" t="s">
        <v>1483</v>
      </c>
      <c r="F103" s="779"/>
      <c r="G103" s="779"/>
      <c r="H103" s="779"/>
      <c r="I103" s="779"/>
    </row>
    <row r="104" spans="2:9" ht="30" customHeight="1" x14ac:dyDescent="0.35">
      <c r="B104" s="1699"/>
      <c r="C104" s="1679"/>
      <c r="D104" s="720" t="s">
        <v>156</v>
      </c>
      <c r="E104" s="1419" t="s">
        <v>1483</v>
      </c>
      <c r="F104" s="779"/>
      <c r="G104" s="779"/>
      <c r="H104" s="779"/>
      <c r="I104" s="779"/>
    </row>
    <row r="105" spans="2:9" ht="30" customHeight="1" x14ac:dyDescent="0.35">
      <c r="B105" s="1699"/>
      <c r="C105" s="1679"/>
      <c r="D105" s="720" t="s">
        <v>157</v>
      </c>
      <c r="E105" s="1419" t="s">
        <v>1483</v>
      </c>
      <c r="F105" s="779"/>
      <c r="G105" s="779"/>
      <c r="H105" s="779"/>
      <c r="I105" s="779"/>
    </row>
    <row r="106" spans="2:9" ht="13.5" customHeight="1" x14ac:dyDescent="0.35">
      <c r="B106" s="1670" t="s">
        <v>37</v>
      </c>
      <c r="C106" s="1652" t="s">
        <v>158</v>
      </c>
      <c r="D106" s="1652"/>
      <c r="E106" s="1652"/>
      <c r="F106" s="1652"/>
      <c r="G106" s="1652"/>
      <c r="H106" s="1652"/>
      <c r="I106" s="1652"/>
    </row>
    <row r="107" spans="2:9" ht="30.65" customHeight="1" x14ac:dyDescent="0.35">
      <c r="B107" s="1671"/>
      <c r="C107" s="777" t="s">
        <v>108</v>
      </c>
      <c r="D107" s="720" t="s">
        <v>113</v>
      </c>
      <c r="E107" s="1419" t="s">
        <v>1486</v>
      </c>
      <c r="F107" s="779"/>
      <c r="G107" s="779"/>
      <c r="H107" s="779"/>
      <c r="I107" s="779"/>
    </row>
    <row r="108" spans="2:9" ht="30.65" customHeight="1" x14ac:dyDescent="0.35">
      <c r="B108" s="1671"/>
      <c r="C108" s="1679" t="s">
        <v>159</v>
      </c>
      <c r="D108" s="720" t="s">
        <v>160</v>
      </c>
      <c r="E108" s="1419" t="s">
        <v>1487</v>
      </c>
      <c r="F108" s="779"/>
      <c r="G108" s="779"/>
      <c r="H108" s="779"/>
      <c r="I108" s="779"/>
    </row>
    <row r="109" spans="2:9" ht="30.65" customHeight="1" x14ac:dyDescent="0.35">
      <c r="B109" s="1671"/>
      <c r="C109" s="1679"/>
      <c r="D109" s="720" t="s">
        <v>161</v>
      </c>
      <c r="E109" s="1419" t="s">
        <v>1487</v>
      </c>
      <c r="F109" s="779"/>
      <c r="G109" s="779"/>
      <c r="H109" s="779"/>
      <c r="I109" s="779"/>
    </row>
    <row r="110" spans="2:9" ht="30.65" customHeight="1" x14ac:dyDescent="0.35">
      <c r="B110" s="1671"/>
      <c r="C110" s="1679"/>
      <c r="D110" s="720" t="s">
        <v>162</v>
      </c>
      <c r="E110" s="1419" t="s">
        <v>1487</v>
      </c>
      <c r="F110" s="779"/>
      <c r="G110" s="779"/>
      <c r="H110" s="779"/>
      <c r="I110" s="779"/>
    </row>
    <row r="111" spans="2:9" ht="30.65" customHeight="1" x14ac:dyDescent="0.35">
      <c r="B111" s="1671"/>
      <c r="C111" s="1679"/>
      <c r="D111" s="720" t="s">
        <v>163</v>
      </c>
      <c r="E111" s="1419" t="s">
        <v>1487</v>
      </c>
      <c r="F111" s="779"/>
      <c r="G111" s="779"/>
      <c r="H111" s="779"/>
      <c r="I111" s="779"/>
    </row>
    <row r="112" spans="2:9" ht="30.65" customHeight="1" x14ac:dyDescent="0.35">
      <c r="B112" s="1671"/>
      <c r="C112" s="1679"/>
      <c r="D112" s="720" t="s">
        <v>164</v>
      </c>
      <c r="E112" s="1419" t="s">
        <v>1487</v>
      </c>
      <c r="F112" s="779"/>
      <c r="G112" s="779"/>
      <c r="H112" s="779"/>
      <c r="I112" s="779"/>
    </row>
    <row r="113" spans="2:10" ht="84" customHeight="1" x14ac:dyDescent="0.35">
      <c r="B113" s="1671"/>
      <c r="C113" s="1679"/>
      <c r="D113" s="720" t="s">
        <v>165</v>
      </c>
      <c r="E113" s="1419"/>
      <c r="F113" s="779" t="s">
        <v>166</v>
      </c>
      <c r="G113" s="779" t="s">
        <v>167</v>
      </c>
      <c r="H113" s="763" t="s">
        <v>1488</v>
      </c>
      <c r="I113" s="779"/>
    </row>
    <row r="114" spans="2:10" ht="28.25" customHeight="1" x14ac:dyDescent="0.35">
      <c r="B114" s="1671"/>
      <c r="C114" s="1679"/>
      <c r="D114" s="1743" t="s">
        <v>168</v>
      </c>
      <c r="E114" s="1419" t="s">
        <v>169</v>
      </c>
      <c r="F114" s="1645"/>
      <c r="G114" s="1645"/>
      <c r="H114" s="1735"/>
      <c r="I114" s="1645"/>
    </row>
    <row r="115" spans="2:10" ht="30.65" customHeight="1" x14ac:dyDescent="0.35">
      <c r="B115" s="1671"/>
      <c r="C115" s="1679"/>
      <c r="D115" s="1744"/>
      <c r="E115" s="1420" t="s">
        <v>1485</v>
      </c>
      <c r="F115" s="1646"/>
      <c r="G115" s="1646"/>
      <c r="H115" s="1736"/>
      <c r="I115" s="1646"/>
    </row>
    <row r="116" spans="2:10" ht="13.5" customHeight="1" x14ac:dyDescent="0.35">
      <c r="B116" s="1671"/>
      <c r="C116" s="1652" t="s">
        <v>170</v>
      </c>
      <c r="D116" s="1652"/>
      <c r="E116" s="1652"/>
      <c r="F116" s="1652"/>
      <c r="G116" s="1652"/>
      <c r="H116" s="1652"/>
      <c r="I116" s="1652"/>
    </row>
    <row r="117" spans="2:10" ht="15" x14ac:dyDescent="0.35">
      <c r="B117" s="1671"/>
      <c r="C117" s="777" t="s">
        <v>108</v>
      </c>
      <c r="D117" s="720" t="s">
        <v>113</v>
      </c>
      <c r="E117" s="1419" t="s">
        <v>1482</v>
      </c>
      <c r="F117" s="779"/>
      <c r="G117" s="779"/>
      <c r="H117" s="779"/>
      <c r="I117" s="779"/>
    </row>
    <row r="118" spans="2:10" ht="29.9" customHeight="1" x14ac:dyDescent="0.35">
      <c r="B118" s="1671"/>
      <c r="C118" s="1679" t="s">
        <v>171</v>
      </c>
      <c r="D118" s="720" t="s">
        <v>172</v>
      </c>
      <c r="E118" s="1419" t="s">
        <v>1483</v>
      </c>
      <c r="F118" s="779"/>
      <c r="G118" s="779"/>
      <c r="H118" s="779"/>
      <c r="I118" s="779"/>
    </row>
    <row r="119" spans="2:10" ht="29.9" customHeight="1" x14ac:dyDescent="0.35">
      <c r="B119" s="1671"/>
      <c r="C119" s="1679"/>
      <c r="D119" s="1666" t="s">
        <v>173</v>
      </c>
      <c r="E119" s="1419" t="s">
        <v>1483</v>
      </c>
      <c r="F119" s="1645"/>
      <c r="G119" s="1645"/>
      <c r="H119" s="1645"/>
      <c r="I119" s="1645"/>
    </row>
    <row r="120" spans="2:10" ht="29.9" customHeight="1" x14ac:dyDescent="0.35">
      <c r="B120" s="1671"/>
      <c r="C120" s="1679"/>
      <c r="D120" s="1667"/>
      <c r="E120" s="1420" t="s">
        <v>1485</v>
      </c>
      <c r="F120" s="1646"/>
      <c r="G120" s="1646"/>
      <c r="H120" s="1646"/>
      <c r="I120" s="1646"/>
    </row>
    <row r="121" spans="2:10" ht="29.9" customHeight="1" x14ac:dyDescent="0.35">
      <c r="B121" s="1671"/>
      <c r="C121" s="1679"/>
      <c r="D121" s="720" t="s">
        <v>174</v>
      </c>
      <c r="E121" s="1419" t="s">
        <v>1483</v>
      </c>
      <c r="F121" s="779"/>
      <c r="G121" s="779"/>
      <c r="H121" s="779"/>
      <c r="I121" s="779"/>
    </row>
    <row r="122" spans="2:10" ht="29.9" customHeight="1" x14ac:dyDescent="0.35">
      <c r="B122" s="1671"/>
      <c r="C122" s="1679"/>
      <c r="D122" s="720" t="s">
        <v>175</v>
      </c>
      <c r="E122" s="1419" t="s">
        <v>1483</v>
      </c>
      <c r="F122" s="779"/>
      <c r="G122" s="779"/>
      <c r="H122" s="779"/>
      <c r="I122" s="779"/>
    </row>
    <row r="123" spans="2:10" ht="29.9" customHeight="1" x14ac:dyDescent="0.35">
      <c r="B123" s="1672"/>
      <c r="C123" s="1679"/>
      <c r="D123" s="720" t="s">
        <v>176</v>
      </c>
      <c r="E123" s="1419" t="s">
        <v>1483</v>
      </c>
      <c r="F123" s="779"/>
      <c r="G123" s="779"/>
      <c r="H123" s="779"/>
      <c r="I123" s="779"/>
    </row>
    <row r="124" spans="2:10" ht="18" customHeight="1" x14ac:dyDescent="0.35">
      <c r="B124" s="1701" t="s">
        <v>39</v>
      </c>
      <c r="C124" s="1652" t="s">
        <v>39</v>
      </c>
      <c r="D124" s="1652"/>
      <c r="E124" s="1652"/>
      <c r="F124" s="1652"/>
      <c r="G124" s="1652"/>
      <c r="H124" s="1652"/>
      <c r="I124" s="1652"/>
    </row>
    <row r="125" spans="2:10" s="787" customFormat="1" ht="19.399999999999999" customHeight="1" x14ac:dyDescent="0.35">
      <c r="B125" s="1727"/>
      <c r="C125" s="780" t="s">
        <v>108</v>
      </c>
      <c r="D125" s="720" t="s">
        <v>113</v>
      </c>
      <c r="E125" s="1419" t="s">
        <v>1471</v>
      </c>
      <c r="F125" s="779"/>
      <c r="G125" s="779"/>
      <c r="H125" s="779"/>
      <c r="I125" s="779"/>
      <c r="J125" s="58"/>
    </row>
    <row r="126" spans="2:10" ht="21.65" customHeight="1" x14ac:dyDescent="0.35">
      <c r="B126" s="1727"/>
      <c r="C126" s="1655" t="s">
        <v>177</v>
      </c>
      <c r="D126" s="720" t="s">
        <v>178</v>
      </c>
      <c r="E126" s="1426" t="s">
        <v>179</v>
      </c>
      <c r="F126" s="779"/>
      <c r="G126" s="779"/>
      <c r="H126" s="779"/>
      <c r="I126" s="779"/>
    </row>
    <row r="127" spans="2:10" ht="21.65" customHeight="1" x14ac:dyDescent="0.35">
      <c r="B127" s="1727"/>
      <c r="C127" s="1655"/>
      <c r="D127" s="720" t="s">
        <v>180</v>
      </c>
      <c r="E127" s="1426" t="s">
        <v>179</v>
      </c>
      <c r="F127" s="779"/>
      <c r="G127" s="779"/>
      <c r="H127" s="779"/>
      <c r="I127" s="779"/>
    </row>
    <row r="128" spans="2:10" ht="32.4" customHeight="1" x14ac:dyDescent="0.35">
      <c r="B128" s="1727"/>
      <c r="C128" s="1655"/>
      <c r="D128" s="767" t="s">
        <v>181</v>
      </c>
      <c r="E128" s="1427"/>
      <c r="F128" s="1238" t="s">
        <v>182</v>
      </c>
      <c r="G128" s="1238" t="s">
        <v>139</v>
      </c>
      <c r="H128" s="1684" t="s">
        <v>1484</v>
      </c>
      <c r="I128" s="1238"/>
    </row>
    <row r="129" spans="2:62" ht="32.4" customHeight="1" x14ac:dyDescent="0.35">
      <c r="B129" s="1727"/>
      <c r="C129" s="1656"/>
      <c r="D129" s="767" t="s">
        <v>183</v>
      </c>
      <c r="E129" s="1427"/>
      <c r="F129" s="1238" t="s">
        <v>184</v>
      </c>
      <c r="G129" s="1238" t="s">
        <v>139</v>
      </c>
      <c r="H129" s="1684"/>
      <c r="I129" s="1238"/>
    </row>
    <row r="130" spans="2:62" ht="32.4" customHeight="1" x14ac:dyDescent="0.35">
      <c r="B130" s="1727"/>
      <c r="C130" s="1656"/>
      <c r="D130" s="767" t="s">
        <v>185</v>
      </c>
      <c r="E130" s="1427"/>
      <c r="F130" s="1238" t="s">
        <v>166</v>
      </c>
      <c r="G130" s="1238" t="s">
        <v>139</v>
      </c>
      <c r="H130" s="1684"/>
      <c r="I130" s="1238"/>
    </row>
    <row r="131" spans="2:62" ht="32.4" customHeight="1" x14ac:dyDescent="0.35">
      <c r="B131" s="1727"/>
      <c r="C131" s="1656"/>
      <c r="D131" s="767" t="s">
        <v>186</v>
      </c>
      <c r="E131" s="1427"/>
      <c r="F131" s="1238" t="s">
        <v>187</v>
      </c>
      <c r="G131" s="1238" t="s">
        <v>139</v>
      </c>
      <c r="H131" s="1684"/>
      <c r="I131" s="1238"/>
    </row>
    <row r="132" spans="2:62" ht="32.4" customHeight="1" x14ac:dyDescent="0.35">
      <c r="B132" s="1727"/>
      <c r="C132" s="1656"/>
      <c r="D132" s="767" t="s">
        <v>188</v>
      </c>
      <c r="E132" s="1427"/>
      <c r="F132" s="1238" t="s">
        <v>182</v>
      </c>
      <c r="G132" s="1238" t="s">
        <v>139</v>
      </c>
      <c r="H132" s="1684"/>
      <c r="I132" s="1238"/>
    </row>
    <row r="133" spans="2:62" ht="32.4" customHeight="1" x14ac:dyDescent="0.35">
      <c r="B133" s="1728"/>
      <c r="C133" s="1655"/>
      <c r="D133" s="720" t="s">
        <v>189</v>
      </c>
      <c r="E133" s="1423"/>
      <c r="F133" s="779" t="s">
        <v>182</v>
      </c>
      <c r="G133" s="1238" t="s">
        <v>139</v>
      </c>
      <c r="H133" s="1684"/>
      <c r="I133" s="779"/>
    </row>
    <row r="134" spans="2:62" ht="17.899999999999999" customHeight="1" x14ac:dyDescent="0.35">
      <c r="B134" s="1673" t="s">
        <v>190</v>
      </c>
      <c r="C134" s="1651" t="s">
        <v>191</v>
      </c>
      <c r="D134" s="1652"/>
      <c r="E134" s="1652"/>
      <c r="F134" s="1652"/>
      <c r="G134" s="1652"/>
      <c r="H134" s="1652"/>
      <c r="I134" s="1652"/>
    </row>
    <row r="135" spans="2:62" ht="15" customHeight="1" x14ac:dyDescent="0.35">
      <c r="B135" s="1674"/>
      <c r="C135" s="780" t="s">
        <v>108</v>
      </c>
      <c r="D135" s="720" t="s">
        <v>113</v>
      </c>
      <c r="E135" s="1419" t="s">
        <v>1489</v>
      </c>
      <c r="F135" s="763"/>
      <c r="G135" s="763"/>
      <c r="H135" s="767"/>
      <c r="I135" s="767"/>
    </row>
    <row r="136" spans="2:62" ht="20.9" customHeight="1" x14ac:dyDescent="0.35">
      <c r="B136" s="1674"/>
      <c r="C136" s="1691" t="s">
        <v>192</v>
      </c>
      <c r="D136" s="720" t="s">
        <v>193</v>
      </c>
      <c r="E136" s="1419" t="s">
        <v>73</v>
      </c>
      <c r="F136" s="763"/>
      <c r="G136" s="763"/>
      <c r="H136" s="767"/>
      <c r="I136" s="767"/>
    </row>
    <row r="137" spans="2:62" ht="29.9" customHeight="1" x14ac:dyDescent="0.35">
      <c r="B137" s="1674"/>
      <c r="C137" s="1691"/>
      <c r="D137" s="720" t="s">
        <v>194</v>
      </c>
      <c r="E137" s="1422" t="s">
        <v>1490</v>
      </c>
      <c r="F137" s="763"/>
      <c r="G137" s="763"/>
      <c r="H137" s="767"/>
      <c r="I137" s="767"/>
    </row>
    <row r="138" spans="2:62" ht="29.9" customHeight="1" x14ac:dyDescent="0.35">
      <c r="B138" s="1674"/>
      <c r="C138" s="1691"/>
      <c r="D138" s="1668" t="s">
        <v>195</v>
      </c>
      <c r="E138" s="1419" t="s">
        <v>73</v>
      </c>
      <c r="F138" s="1741"/>
      <c r="G138" s="1741"/>
      <c r="H138" s="1741"/>
      <c r="I138" s="1741"/>
    </row>
    <row r="139" spans="2:62" ht="20.9" customHeight="1" x14ac:dyDescent="0.35">
      <c r="B139" s="1674"/>
      <c r="C139" s="1691"/>
      <c r="D139" s="1669"/>
      <c r="E139" s="1422" t="s">
        <v>1491</v>
      </c>
      <c r="F139" s="1742"/>
      <c r="G139" s="1742"/>
      <c r="H139" s="1742"/>
      <c r="I139" s="1742"/>
    </row>
    <row r="140" spans="2:62" s="495" customFormat="1" ht="17.899999999999999" customHeight="1" x14ac:dyDescent="0.35">
      <c r="B140" s="1674"/>
      <c r="C140" s="1651" t="s">
        <v>196</v>
      </c>
      <c r="D140" s="1652"/>
      <c r="E140" s="1652"/>
      <c r="F140" s="1652"/>
      <c r="G140" s="1652"/>
      <c r="H140" s="1652"/>
      <c r="I140" s="1652"/>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row>
    <row r="141" spans="2:62" s="495" customFormat="1" ht="17.899999999999999" customHeight="1" x14ac:dyDescent="0.35">
      <c r="B141" s="1674"/>
      <c r="C141" s="780" t="s">
        <v>108</v>
      </c>
      <c r="D141" s="720" t="s">
        <v>113</v>
      </c>
      <c r="E141" s="1419" t="s">
        <v>1492</v>
      </c>
      <c r="F141" s="779"/>
      <c r="G141" s="779"/>
      <c r="H141" s="779"/>
      <c r="I141" s="779"/>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row>
    <row r="142" spans="2:62" s="495" customFormat="1" ht="30" x14ac:dyDescent="0.35">
      <c r="B142" s="1674"/>
      <c r="C142" s="780" t="s">
        <v>197</v>
      </c>
      <c r="D142" s="720" t="s">
        <v>198</v>
      </c>
      <c r="E142" s="1423"/>
      <c r="F142" s="779" t="s">
        <v>184</v>
      </c>
      <c r="G142" s="763" t="s">
        <v>199</v>
      </c>
      <c r="H142" s="763" t="s">
        <v>1507</v>
      </c>
      <c r="I142" s="779"/>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row>
    <row r="143" spans="2:62" ht="13.5" customHeight="1" x14ac:dyDescent="0.35">
      <c r="B143" s="1674"/>
      <c r="C143" s="1651" t="s">
        <v>200</v>
      </c>
      <c r="D143" s="1652"/>
      <c r="E143" s="1652"/>
      <c r="F143" s="1652"/>
      <c r="G143" s="1652"/>
      <c r="H143" s="1652"/>
      <c r="I143" s="1652"/>
    </row>
    <row r="144" spans="2:62" ht="16.25" customHeight="1" x14ac:dyDescent="0.35">
      <c r="B144" s="1674"/>
      <c r="C144" s="783" t="s">
        <v>108</v>
      </c>
      <c r="D144" s="788" t="s">
        <v>113</v>
      </c>
      <c r="E144" s="1428" t="s">
        <v>1493</v>
      </c>
      <c r="F144" s="796"/>
      <c r="G144" s="796"/>
      <c r="H144" s="796"/>
      <c r="I144" s="796"/>
    </row>
    <row r="145" spans="2:9" ht="13.5" x14ac:dyDescent="0.35">
      <c r="B145" s="1674"/>
      <c r="C145" s="1691" t="s">
        <v>201</v>
      </c>
      <c r="D145" s="1666" t="s">
        <v>202</v>
      </c>
      <c r="E145" s="1429" t="s">
        <v>1494</v>
      </c>
      <c r="F145" s="1645"/>
      <c r="G145" s="1645"/>
      <c r="H145" s="1645"/>
      <c r="I145" s="1645"/>
    </row>
    <row r="146" spans="2:9" ht="27" x14ac:dyDescent="0.35">
      <c r="B146" s="1674"/>
      <c r="C146" s="1691"/>
      <c r="D146" s="1739"/>
      <c r="E146" s="1430" t="s">
        <v>203</v>
      </c>
      <c r="F146" s="1665"/>
      <c r="G146" s="1665"/>
      <c r="H146" s="1665"/>
      <c r="I146" s="1665"/>
    </row>
    <row r="147" spans="2:9" ht="16.25" customHeight="1" x14ac:dyDescent="0.35">
      <c r="B147" s="1674"/>
      <c r="C147" s="1691"/>
      <c r="D147" s="1667"/>
      <c r="E147" s="1431" t="s">
        <v>209</v>
      </c>
      <c r="F147" s="1646"/>
      <c r="G147" s="1646"/>
      <c r="H147" s="1646"/>
      <c r="I147" s="1646"/>
    </row>
    <row r="148" spans="2:9" ht="16.25" customHeight="1" x14ac:dyDescent="0.35">
      <c r="B148" s="1674"/>
      <c r="C148" s="1691"/>
      <c r="D148" s="1649" t="s">
        <v>204</v>
      </c>
      <c r="E148" s="1429" t="s">
        <v>1494</v>
      </c>
      <c r="F148" s="1645"/>
      <c r="G148" s="1645"/>
      <c r="H148" s="1645"/>
      <c r="I148" s="1645"/>
    </row>
    <row r="149" spans="2:9" ht="27" x14ac:dyDescent="0.35">
      <c r="B149" s="1674"/>
      <c r="C149" s="1691"/>
      <c r="D149" s="1650"/>
      <c r="E149" s="1430" t="s">
        <v>203</v>
      </c>
      <c r="F149" s="1646"/>
      <c r="G149" s="1646"/>
      <c r="H149" s="1646"/>
      <c r="I149" s="1646"/>
    </row>
    <row r="150" spans="2:9" ht="16.25" customHeight="1" x14ac:dyDescent="0.35">
      <c r="B150" s="1674"/>
      <c r="C150" s="1691"/>
      <c r="D150" s="1649" t="s">
        <v>205</v>
      </c>
      <c r="E150" s="1429" t="s">
        <v>1494</v>
      </c>
      <c r="F150" s="1645"/>
      <c r="G150" s="1645"/>
      <c r="H150" s="1645"/>
      <c r="I150" s="1645"/>
    </row>
    <row r="151" spans="2:9" ht="27" x14ac:dyDescent="0.35">
      <c r="B151" s="1674"/>
      <c r="C151" s="1691"/>
      <c r="D151" s="1664"/>
      <c r="E151" s="1430" t="s">
        <v>203</v>
      </c>
      <c r="F151" s="1665"/>
      <c r="G151" s="1665"/>
      <c r="H151" s="1665"/>
      <c r="I151" s="1665"/>
    </row>
    <row r="152" spans="2:9" ht="16.25" customHeight="1" x14ac:dyDescent="0.35">
      <c r="B152" s="1674"/>
      <c r="C152" s="1691"/>
      <c r="D152" s="1650"/>
      <c r="E152" s="1432" t="s">
        <v>1490</v>
      </c>
      <c r="F152" s="1646"/>
      <c r="G152" s="1646"/>
      <c r="H152" s="1646"/>
      <c r="I152" s="1646"/>
    </row>
    <row r="153" spans="2:9" ht="16.25" customHeight="1" x14ac:dyDescent="0.35">
      <c r="B153" s="1674"/>
      <c r="C153" s="1691"/>
      <c r="D153" s="720" t="s">
        <v>206</v>
      </c>
      <c r="E153" s="1429" t="s">
        <v>1495</v>
      </c>
      <c r="F153" s="779"/>
      <c r="G153" s="779"/>
      <c r="H153" s="779"/>
      <c r="I153" s="779"/>
    </row>
    <row r="154" spans="2:9" ht="16.25" customHeight="1" x14ac:dyDescent="0.35">
      <c r="B154" s="1674"/>
      <c r="C154" s="1691"/>
      <c r="D154" s="1649" t="s">
        <v>207</v>
      </c>
      <c r="E154" s="1429" t="s">
        <v>1494</v>
      </c>
      <c r="F154" s="1645"/>
      <c r="G154" s="1645"/>
      <c r="H154" s="1645"/>
      <c r="I154" s="1645"/>
    </row>
    <row r="155" spans="2:9" ht="16.25" customHeight="1" x14ac:dyDescent="0.35">
      <c r="B155" s="1674"/>
      <c r="C155" s="1691"/>
      <c r="D155" s="1650"/>
      <c r="E155" s="1429" t="s">
        <v>73</v>
      </c>
      <c r="F155" s="1646"/>
      <c r="G155" s="1646"/>
      <c r="H155" s="1646"/>
      <c r="I155" s="1646"/>
    </row>
    <row r="156" spans="2:9" ht="16.25" customHeight="1" x14ac:dyDescent="0.35">
      <c r="B156" s="1674"/>
      <c r="C156" s="1691"/>
      <c r="D156" s="1666" t="s">
        <v>208</v>
      </c>
      <c r="E156" s="1429" t="s">
        <v>1494</v>
      </c>
      <c r="F156" s="1645"/>
      <c r="G156" s="1645"/>
      <c r="H156" s="1645"/>
      <c r="I156" s="1645"/>
    </row>
    <row r="157" spans="2:9" ht="16.25" customHeight="1" x14ac:dyDescent="0.35">
      <c r="B157" s="1674"/>
      <c r="C157" s="1691"/>
      <c r="D157" s="1739"/>
      <c r="E157" s="1432" t="s">
        <v>209</v>
      </c>
      <c r="F157" s="1665"/>
      <c r="G157" s="1665"/>
      <c r="H157" s="1665"/>
      <c r="I157" s="1665"/>
    </row>
    <row r="158" spans="2:9" ht="16.25" customHeight="1" x14ac:dyDescent="0.35">
      <c r="B158" s="1674"/>
      <c r="C158" s="1691"/>
      <c r="D158" s="1667"/>
      <c r="E158" s="1431" t="s">
        <v>1490</v>
      </c>
      <c r="F158" s="1646"/>
      <c r="G158" s="1646"/>
      <c r="H158" s="1646"/>
      <c r="I158" s="1646"/>
    </row>
    <row r="159" spans="2:9" ht="27" x14ac:dyDescent="0.35">
      <c r="B159" s="1674"/>
      <c r="C159" s="1691"/>
      <c r="D159" s="720" t="s">
        <v>210</v>
      </c>
      <c r="E159" s="1429" t="s">
        <v>1494</v>
      </c>
      <c r="F159" s="779"/>
      <c r="G159" s="779"/>
      <c r="H159" s="779"/>
      <c r="I159" s="779"/>
    </row>
    <row r="160" spans="2:9" ht="27" x14ac:dyDescent="0.35">
      <c r="B160" s="1674"/>
      <c r="C160" s="1691"/>
      <c r="D160" s="1649" t="s">
        <v>211</v>
      </c>
      <c r="E160" s="1429" t="s">
        <v>1496</v>
      </c>
      <c r="F160" s="1645"/>
      <c r="G160" s="1645"/>
      <c r="H160" s="1645"/>
      <c r="I160" s="1645"/>
    </row>
    <row r="161" spans="2:9" ht="27" x14ac:dyDescent="0.35">
      <c r="B161" s="1674"/>
      <c r="C161" s="1691"/>
      <c r="D161" s="1650"/>
      <c r="E161" s="1430" t="s">
        <v>203</v>
      </c>
      <c r="F161" s="1646"/>
      <c r="G161" s="1646"/>
      <c r="H161" s="1646"/>
      <c r="I161" s="1646"/>
    </row>
    <row r="162" spans="2:9" ht="16.25" customHeight="1" x14ac:dyDescent="0.35">
      <c r="B162" s="1674"/>
      <c r="C162" s="1691"/>
      <c r="D162" s="1666" t="s">
        <v>212</v>
      </c>
      <c r="E162" s="1429" t="s">
        <v>1500</v>
      </c>
      <c r="F162" s="1645"/>
      <c r="G162" s="1645"/>
      <c r="H162" s="1645"/>
      <c r="I162" s="1645"/>
    </row>
    <row r="163" spans="2:9" ht="16.25" customHeight="1" x14ac:dyDescent="0.35">
      <c r="B163" s="1674"/>
      <c r="C163" s="1691"/>
      <c r="D163" s="1667"/>
      <c r="E163" s="1433" t="s">
        <v>213</v>
      </c>
      <c r="F163" s="1646"/>
      <c r="G163" s="1646"/>
      <c r="H163" s="1646"/>
      <c r="I163" s="1646"/>
    </row>
    <row r="164" spans="2:9" ht="16.25" customHeight="1" x14ac:dyDescent="0.35">
      <c r="B164" s="1674"/>
      <c r="C164" s="1691"/>
      <c r="D164" s="1666" t="s">
        <v>214</v>
      </c>
      <c r="E164" s="1429" t="s">
        <v>1500</v>
      </c>
      <c r="F164" s="1645"/>
      <c r="G164" s="1645"/>
      <c r="H164" s="1645"/>
      <c r="I164" s="1645"/>
    </row>
    <row r="165" spans="2:9" ht="16.25" customHeight="1" x14ac:dyDescent="0.35">
      <c r="B165" s="1674"/>
      <c r="C165" s="1691"/>
      <c r="D165" s="1667"/>
      <c r="E165" s="1433" t="s">
        <v>213</v>
      </c>
      <c r="F165" s="1646"/>
      <c r="G165" s="1646"/>
      <c r="H165" s="1646"/>
      <c r="I165" s="1646"/>
    </row>
    <row r="166" spans="2:9" ht="13.5" customHeight="1" x14ac:dyDescent="0.35">
      <c r="B166" s="1674"/>
      <c r="C166" s="1651" t="s">
        <v>215</v>
      </c>
      <c r="D166" s="1652"/>
      <c r="E166" s="1652"/>
      <c r="F166" s="1652"/>
      <c r="G166" s="1652"/>
      <c r="H166" s="1652"/>
      <c r="I166" s="1652"/>
    </row>
    <row r="167" spans="2:9" ht="15" x14ac:dyDescent="0.35">
      <c r="B167" s="1674"/>
      <c r="C167" s="780" t="s">
        <v>108</v>
      </c>
      <c r="D167" s="720" t="s">
        <v>113</v>
      </c>
      <c r="E167" s="1419" t="s">
        <v>1471</v>
      </c>
      <c r="F167" s="763"/>
      <c r="G167" s="763"/>
      <c r="H167" s="763"/>
      <c r="I167" s="763"/>
    </row>
    <row r="168" spans="2:9" ht="19.25" customHeight="1" x14ac:dyDescent="0.35">
      <c r="B168" s="1674"/>
      <c r="C168" s="1691" t="s">
        <v>216</v>
      </c>
      <c r="D168" s="767" t="s">
        <v>217</v>
      </c>
      <c r="E168" s="1423" t="s">
        <v>73</v>
      </c>
      <c r="F168" s="779"/>
      <c r="G168" s="779"/>
      <c r="H168" s="779"/>
      <c r="I168" s="779"/>
    </row>
    <row r="169" spans="2:9" ht="21" customHeight="1" x14ac:dyDescent="0.35">
      <c r="B169" s="1674"/>
      <c r="C169" s="1691"/>
      <c r="D169" s="1703" t="s">
        <v>218</v>
      </c>
      <c r="E169" s="1422" t="s">
        <v>106</v>
      </c>
      <c r="F169" s="763"/>
      <c r="G169" s="763"/>
      <c r="H169" s="763"/>
      <c r="I169" s="763"/>
    </row>
    <row r="170" spans="2:9" ht="21" customHeight="1" x14ac:dyDescent="0.35">
      <c r="B170" s="1674"/>
      <c r="C170" s="1692"/>
      <c r="D170" s="1703"/>
      <c r="E170" s="1422" t="s">
        <v>1497</v>
      </c>
      <c r="F170" s="763"/>
      <c r="G170" s="763"/>
      <c r="H170" s="763"/>
      <c r="I170" s="763"/>
    </row>
    <row r="171" spans="2:9" ht="22.75" customHeight="1" x14ac:dyDescent="0.35">
      <c r="B171" s="1674"/>
      <c r="C171" s="1691"/>
      <c r="D171" s="767" t="s">
        <v>219</v>
      </c>
      <c r="E171" s="1419" t="s">
        <v>73</v>
      </c>
      <c r="F171" s="763"/>
      <c r="G171" s="763"/>
      <c r="H171" s="763"/>
      <c r="I171" s="763"/>
    </row>
    <row r="172" spans="2:9" ht="13.5" customHeight="1" x14ac:dyDescent="0.35">
      <c r="B172" s="1674"/>
      <c r="C172" s="1651" t="s">
        <v>220</v>
      </c>
      <c r="D172" s="1652"/>
      <c r="E172" s="1652"/>
      <c r="F172" s="1652"/>
      <c r="G172" s="1652"/>
      <c r="H172" s="1652"/>
      <c r="I172" s="1652"/>
    </row>
    <row r="173" spans="2:9" ht="15" x14ac:dyDescent="0.35">
      <c r="B173" s="1674"/>
      <c r="C173" s="780" t="s">
        <v>108</v>
      </c>
      <c r="D173" s="720" t="s">
        <v>113</v>
      </c>
      <c r="E173" s="1419" t="s">
        <v>1498</v>
      </c>
      <c r="F173" s="779"/>
      <c r="G173" s="779"/>
      <c r="H173" s="779"/>
      <c r="I173" s="779"/>
    </row>
    <row r="174" spans="2:9" ht="32.15" customHeight="1" x14ac:dyDescent="0.35">
      <c r="B174" s="1674"/>
      <c r="C174" s="1691" t="s">
        <v>221</v>
      </c>
      <c r="D174" s="720" t="s">
        <v>222</v>
      </c>
      <c r="E174" s="1419" t="s">
        <v>1499</v>
      </c>
      <c r="F174" s="779"/>
      <c r="G174" s="779"/>
      <c r="H174" s="779"/>
      <c r="I174" s="779"/>
    </row>
    <row r="175" spans="2:9" ht="19.75" customHeight="1" x14ac:dyDescent="0.35">
      <c r="B175" s="1674"/>
      <c r="C175" s="1691"/>
      <c r="D175" s="1703" t="s">
        <v>223</v>
      </c>
      <c r="E175" s="1419" t="s">
        <v>73</v>
      </c>
      <c r="F175" s="1704" t="s">
        <v>182</v>
      </c>
      <c r="G175" s="1653" t="s">
        <v>139</v>
      </c>
      <c r="H175" s="1653" t="s">
        <v>224</v>
      </c>
      <c r="I175" s="1654"/>
    </row>
    <row r="176" spans="2:9" ht="19.75" customHeight="1" x14ac:dyDescent="0.35">
      <c r="B176" s="1674"/>
      <c r="C176" s="1691"/>
      <c r="D176" s="1703"/>
      <c r="E176" s="1434" t="s">
        <v>445</v>
      </c>
      <c r="F176" s="1653"/>
      <c r="G176" s="1653"/>
      <c r="H176" s="1653"/>
      <c r="I176" s="1654"/>
    </row>
    <row r="177" spans="2:10" ht="13.5" customHeight="1" x14ac:dyDescent="0.35">
      <c r="B177" s="1674"/>
      <c r="C177" s="790" t="s">
        <v>225</v>
      </c>
      <c r="D177" s="791"/>
      <c r="E177" s="792"/>
      <c r="F177" s="793"/>
      <c r="G177" s="793"/>
      <c r="H177" s="793"/>
      <c r="I177" s="791"/>
    </row>
    <row r="178" spans="2:10" ht="15" x14ac:dyDescent="0.35">
      <c r="B178" s="1674"/>
      <c r="C178" s="780" t="s">
        <v>108</v>
      </c>
      <c r="D178" s="720" t="s">
        <v>113</v>
      </c>
      <c r="E178" s="1419" t="s">
        <v>1470</v>
      </c>
      <c r="F178" s="779"/>
      <c r="G178" s="779"/>
      <c r="H178" s="779"/>
      <c r="I178" s="764"/>
    </row>
    <row r="179" spans="2:10" ht="15" x14ac:dyDescent="0.35">
      <c r="B179" s="1674"/>
      <c r="C179" s="782" t="s">
        <v>226</v>
      </c>
      <c r="D179" s="794" t="s">
        <v>227</v>
      </c>
      <c r="E179" s="1424" t="s">
        <v>94</v>
      </c>
      <c r="F179" s="796"/>
      <c r="G179" s="796"/>
      <c r="H179" s="796"/>
      <c r="I179" s="797"/>
    </row>
    <row r="180" spans="2:10" ht="13.5" customHeight="1" x14ac:dyDescent="0.35">
      <c r="B180" s="1674"/>
      <c r="C180" s="1657" t="s">
        <v>228</v>
      </c>
      <c r="D180" s="1657"/>
      <c r="E180" s="798"/>
      <c r="F180" s="799"/>
      <c r="G180" s="799"/>
      <c r="H180" s="799"/>
      <c r="I180" s="800"/>
    </row>
    <row r="181" spans="2:10" ht="19.75" customHeight="1" x14ac:dyDescent="0.35">
      <c r="B181" s="1674"/>
      <c r="C181" s="777" t="s">
        <v>108</v>
      </c>
      <c r="D181" s="720" t="s">
        <v>113</v>
      </c>
      <c r="E181" s="1419" t="s">
        <v>1471</v>
      </c>
      <c r="F181" s="779"/>
      <c r="G181" s="779"/>
      <c r="H181" s="779"/>
      <c r="I181" s="764"/>
    </row>
    <row r="182" spans="2:10" ht="27" x14ac:dyDescent="0.35">
      <c r="B182" s="1674"/>
      <c r="C182" s="1647" t="s">
        <v>229</v>
      </c>
      <c r="D182" s="1662" t="s">
        <v>230</v>
      </c>
      <c r="E182" s="1424" t="s">
        <v>73</v>
      </c>
      <c r="F182" s="795" t="s">
        <v>142</v>
      </c>
      <c r="G182" s="795" t="s">
        <v>139</v>
      </c>
      <c r="H182" s="795" t="s">
        <v>1501</v>
      </c>
      <c r="I182" s="797"/>
      <c r="J182" s="801"/>
    </row>
    <row r="183" spans="2:10" ht="19.75" customHeight="1" x14ac:dyDescent="0.35">
      <c r="B183" s="1674"/>
      <c r="C183" s="1648"/>
      <c r="D183" s="1663"/>
      <c r="E183" s="1422" t="s">
        <v>106</v>
      </c>
      <c r="F183" s="763"/>
      <c r="G183" s="763"/>
      <c r="H183" s="763"/>
      <c r="I183" s="764"/>
      <c r="J183" s="801"/>
    </row>
    <row r="184" spans="2:10" ht="14.15" customHeight="1" x14ac:dyDescent="0.35">
      <c r="B184" s="1674"/>
      <c r="C184" s="800" t="s">
        <v>231</v>
      </c>
      <c r="D184" s="800"/>
      <c r="E184" s="798"/>
      <c r="F184" s="799"/>
      <c r="G184" s="799"/>
      <c r="H184" s="799"/>
      <c r="I184" s="800"/>
    </row>
    <row r="185" spans="2:10" ht="17.399999999999999" customHeight="1" x14ac:dyDescent="0.35">
      <c r="B185" s="1674"/>
      <c r="C185" s="777" t="s">
        <v>108</v>
      </c>
      <c r="D185" s="720" t="s">
        <v>113</v>
      </c>
      <c r="E185" s="1419" t="s">
        <v>1471</v>
      </c>
      <c r="F185" s="779"/>
      <c r="G185" s="779"/>
      <c r="H185" s="779"/>
      <c r="I185" s="779"/>
    </row>
    <row r="186" spans="2:10" ht="17.399999999999999" customHeight="1" x14ac:dyDescent="0.35">
      <c r="B186" s="1674"/>
      <c r="C186" s="1647" t="s">
        <v>232</v>
      </c>
      <c r="D186" s="1649" t="s">
        <v>233</v>
      </c>
      <c r="E186" s="1424" t="s">
        <v>123</v>
      </c>
      <c r="F186" s="796"/>
      <c r="G186" s="796"/>
      <c r="H186" s="796"/>
      <c r="I186" s="796"/>
    </row>
    <row r="187" spans="2:10" ht="17.399999999999999" customHeight="1" x14ac:dyDescent="0.35">
      <c r="B187" s="1674"/>
      <c r="C187" s="1661"/>
      <c r="D187" s="1664"/>
      <c r="E187" s="1422" t="s">
        <v>106</v>
      </c>
      <c r="F187" s="779"/>
      <c r="G187" s="779"/>
      <c r="H187" s="779"/>
      <c r="I187" s="779"/>
    </row>
    <row r="188" spans="2:10" ht="17.399999999999999" customHeight="1" x14ac:dyDescent="0.35">
      <c r="B188" s="1674"/>
      <c r="C188" s="1648"/>
      <c r="D188" s="1650"/>
      <c r="E188" s="1435" t="s">
        <v>234</v>
      </c>
      <c r="F188" s="802"/>
      <c r="G188" s="802"/>
      <c r="H188" s="802"/>
      <c r="I188" s="802"/>
    </row>
    <row r="189" spans="2:10" ht="14.15" customHeight="1" x14ac:dyDescent="0.35">
      <c r="B189" s="1674"/>
      <c r="C189" s="1652" t="s">
        <v>235</v>
      </c>
      <c r="D189" s="1652"/>
      <c r="E189" s="1652"/>
      <c r="F189" s="1652"/>
      <c r="G189" s="1652"/>
      <c r="H189" s="1652"/>
      <c r="I189" s="1652"/>
    </row>
    <row r="190" spans="2:10" ht="17.399999999999999" customHeight="1" x14ac:dyDescent="0.35">
      <c r="B190" s="1674"/>
      <c r="C190" s="777" t="s">
        <v>108</v>
      </c>
      <c r="D190" s="720" t="s">
        <v>113</v>
      </c>
      <c r="E190" s="1419" t="s">
        <v>1471</v>
      </c>
      <c r="F190" s="779"/>
      <c r="G190" s="779"/>
      <c r="H190" s="779"/>
      <c r="I190" s="779"/>
    </row>
    <row r="191" spans="2:10" ht="17.399999999999999" customHeight="1" x14ac:dyDescent="0.35">
      <c r="B191" s="1674"/>
      <c r="C191" s="1647" t="s">
        <v>236</v>
      </c>
      <c r="D191" s="1649" t="s">
        <v>237</v>
      </c>
      <c r="E191" s="1424" t="s">
        <v>123</v>
      </c>
      <c r="F191" s="796"/>
      <c r="G191" s="796"/>
      <c r="H191" s="796"/>
      <c r="I191" s="796"/>
    </row>
    <row r="192" spans="2:10" ht="17.399999999999999" customHeight="1" x14ac:dyDescent="0.35">
      <c r="B192" s="1674"/>
      <c r="C192" s="1661"/>
      <c r="D192" s="1664"/>
      <c r="E192" s="1422" t="s">
        <v>106</v>
      </c>
      <c r="F192" s="779"/>
      <c r="G192" s="779"/>
      <c r="H192" s="779"/>
      <c r="I192" s="779"/>
    </row>
    <row r="193" spans="2:9" ht="17.399999999999999" customHeight="1" x14ac:dyDescent="0.35">
      <c r="B193" s="1675"/>
      <c r="C193" s="1648"/>
      <c r="D193" s="1650"/>
      <c r="E193" s="1435" t="s">
        <v>234</v>
      </c>
      <c r="F193" s="802"/>
      <c r="G193" s="802"/>
      <c r="H193" s="802"/>
      <c r="I193" s="802"/>
    </row>
    <row r="194" spans="2:9" ht="14.15" customHeight="1" x14ac:dyDescent="0.35">
      <c r="B194" s="1676" t="s">
        <v>42</v>
      </c>
      <c r="C194" s="1652" t="s">
        <v>238</v>
      </c>
      <c r="D194" s="1652"/>
      <c r="E194" s="1652"/>
      <c r="F194" s="1652"/>
      <c r="G194" s="1652"/>
      <c r="H194" s="1652"/>
      <c r="I194" s="1652"/>
    </row>
    <row r="195" spans="2:9" ht="36.65" customHeight="1" x14ac:dyDescent="0.35">
      <c r="B195" s="1677"/>
      <c r="C195" s="777" t="s">
        <v>108</v>
      </c>
      <c r="D195" s="720" t="s">
        <v>113</v>
      </c>
      <c r="E195" s="1419" t="s">
        <v>1502</v>
      </c>
      <c r="F195" s="779"/>
      <c r="G195" s="779"/>
      <c r="H195" s="779"/>
      <c r="I195" s="764"/>
    </row>
    <row r="196" spans="2:9" ht="24" customHeight="1" x14ac:dyDescent="0.35">
      <c r="B196" s="1677"/>
      <c r="C196" s="1647" t="s">
        <v>239</v>
      </c>
      <c r="D196" s="1662" t="s">
        <v>240</v>
      </c>
      <c r="E196" s="1419" t="s">
        <v>123</v>
      </c>
      <c r="F196" s="779"/>
      <c r="G196" s="779"/>
      <c r="H196" s="779"/>
      <c r="I196" s="764"/>
    </row>
    <row r="197" spans="2:9" ht="24.65" customHeight="1" x14ac:dyDescent="0.35">
      <c r="B197" s="1677"/>
      <c r="C197" s="1661"/>
      <c r="D197" s="1663"/>
      <c r="E197" s="1436" t="s">
        <v>241</v>
      </c>
      <c r="F197" s="779"/>
      <c r="G197" s="796"/>
      <c r="H197" s="796"/>
      <c r="I197" s="797"/>
    </row>
    <row r="198" spans="2:9" ht="27.65" customHeight="1" x14ac:dyDescent="0.35">
      <c r="B198" s="1677"/>
      <c r="C198" s="1661"/>
      <c r="D198" s="1668" t="s">
        <v>242</v>
      </c>
      <c r="E198" s="1424" t="s">
        <v>123</v>
      </c>
      <c r="F198" s="1709" t="s">
        <v>243</v>
      </c>
      <c r="G198" s="1711" t="s">
        <v>139</v>
      </c>
      <c r="H198" s="1711" t="s">
        <v>1503</v>
      </c>
      <c r="I198" s="1659"/>
    </row>
    <row r="199" spans="2:9" ht="24.65" customHeight="1" x14ac:dyDescent="0.35">
      <c r="B199" s="1677"/>
      <c r="C199" s="1648"/>
      <c r="D199" s="1669"/>
      <c r="E199" s="1422" t="s">
        <v>241</v>
      </c>
      <c r="F199" s="1710"/>
      <c r="G199" s="1712"/>
      <c r="H199" s="1712"/>
      <c r="I199" s="1660"/>
    </row>
    <row r="200" spans="2:9" ht="13.5" customHeight="1" x14ac:dyDescent="0.35">
      <c r="B200" s="1677"/>
      <c r="C200" s="1652" t="s">
        <v>244</v>
      </c>
      <c r="D200" s="1652"/>
      <c r="E200" s="1652"/>
      <c r="F200" s="1652"/>
      <c r="G200" s="1652"/>
      <c r="H200" s="1652"/>
      <c r="I200" s="1652"/>
    </row>
    <row r="201" spans="2:9" ht="33.65" customHeight="1" x14ac:dyDescent="0.35">
      <c r="B201" s="1677"/>
      <c r="C201" s="777" t="s">
        <v>108</v>
      </c>
      <c r="D201" s="633" t="s">
        <v>113</v>
      </c>
      <c r="E201" s="1419" t="s">
        <v>1502</v>
      </c>
      <c r="F201" s="779"/>
      <c r="G201" s="779"/>
      <c r="H201" s="779"/>
      <c r="I201" s="779"/>
    </row>
    <row r="202" spans="2:9" ht="20.149999999999999" customHeight="1" x14ac:dyDescent="0.35">
      <c r="B202" s="1677"/>
      <c r="C202" s="1647" t="s">
        <v>245</v>
      </c>
      <c r="D202" s="1662" t="s">
        <v>246</v>
      </c>
      <c r="E202" s="1419" t="s">
        <v>123</v>
      </c>
      <c r="F202" s="779"/>
      <c r="G202" s="779"/>
      <c r="H202" s="779"/>
      <c r="I202" s="779"/>
    </row>
    <row r="203" spans="2:9" ht="20.149999999999999" customHeight="1" x14ac:dyDescent="0.35">
      <c r="B203" s="1677"/>
      <c r="C203" s="1661"/>
      <c r="D203" s="1663"/>
      <c r="E203" s="1436" t="s">
        <v>241</v>
      </c>
      <c r="F203" s="796"/>
      <c r="G203" s="796"/>
      <c r="H203" s="796"/>
      <c r="I203" s="796"/>
    </row>
    <row r="204" spans="2:9" ht="26.9" customHeight="1" x14ac:dyDescent="0.35">
      <c r="B204" s="1677"/>
      <c r="C204" s="1661"/>
      <c r="D204" s="1662" t="s">
        <v>247</v>
      </c>
      <c r="E204" s="1424" t="s">
        <v>123</v>
      </c>
      <c r="F204" s="1711" t="s">
        <v>248</v>
      </c>
      <c r="G204" s="1711" t="s">
        <v>139</v>
      </c>
      <c r="H204" s="1711" t="s">
        <v>1503</v>
      </c>
      <c r="I204" s="1731"/>
    </row>
    <row r="205" spans="2:9" ht="16.399999999999999" customHeight="1" x14ac:dyDescent="0.35">
      <c r="B205" s="1678"/>
      <c r="C205" s="1648"/>
      <c r="D205" s="1663"/>
      <c r="E205" s="1422" t="s">
        <v>241</v>
      </c>
      <c r="F205" s="1712"/>
      <c r="G205" s="1712"/>
      <c r="H205" s="1712"/>
      <c r="I205" s="1710"/>
    </row>
    <row r="206" spans="2:9" ht="17.899999999999999" customHeight="1" x14ac:dyDescent="0.35">
      <c r="B206" s="1676" t="s">
        <v>43</v>
      </c>
      <c r="C206" s="1651" t="s">
        <v>249</v>
      </c>
      <c r="D206" s="1652"/>
      <c r="E206" s="1652"/>
      <c r="F206" s="1652"/>
      <c r="G206" s="1652"/>
      <c r="H206" s="1652"/>
      <c r="I206" s="1652"/>
    </row>
    <row r="207" spans="2:9" ht="17.899999999999999" customHeight="1" x14ac:dyDescent="0.35">
      <c r="B207" s="1677"/>
      <c r="C207" s="780" t="s">
        <v>108</v>
      </c>
      <c r="D207" s="720" t="s">
        <v>113</v>
      </c>
      <c r="E207" s="1419" t="s">
        <v>1471</v>
      </c>
      <c r="F207" s="763"/>
      <c r="G207" s="763"/>
      <c r="H207" s="763"/>
      <c r="I207" s="763"/>
    </row>
    <row r="208" spans="2:9" ht="19.25" customHeight="1" x14ac:dyDescent="0.35">
      <c r="B208" s="1677"/>
      <c r="C208" s="1691" t="s">
        <v>250</v>
      </c>
      <c r="D208" s="720" t="s">
        <v>251</v>
      </c>
      <c r="E208" s="1421" t="s">
        <v>252</v>
      </c>
      <c r="F208" s="779"/>
      <c r="G208" s="779"/>
      <c r="H208" s="779"/>
      <c r="I208" s="779"/>
    </row>
    <row r="209" spans="2:63" ht="17.899999999999999" customHeight="1" x14ac:dyDescent="0.35">
      <c r="B209" s="1677"/>
      <c r="C209" s="1692"/>
      <c r="D209" s="720" t="s">
        <v>253</v>
      </c>
      <c r="E209" s="1423" t="s">
        <v>1504</v>
      </c>
      <c r="F209" s="779"/>
      <c r="G209" s="779"/>
      <c r="H209" s="779"/>
      <c r="I209" s="779"/>
    </row>
    <row r="210" spans="2:63" s="495" customFormat="1" ht="17.899999999999999" customHeight="1" x14ac:dyDescent="0.35">
      <c r="B210" s="1677"/>
      <c r="C210" s="1657" t="s">
        <v>254</v>
      </c>
      <c r="D210" s="1658"/>
      <c r="E210" s="1658"/>
      <c r="F210" s="1658"/>
      <c r="G210" s="1658"/>
      <c r="H210" s="1658"/>
      <c r="I210" s="1651"/>
      <c r="J210" s="58"/>
      <c r="K210" s="58"/>
      <c r="L210" s="58"/>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c r="AX210" s="58"/>
      <c r="AY210" s="58"/>
      <c r="AZ210" s="58"/>
      <c r="BA210" s="58"/>
      <c r="BB210" s="58"/>
      <c r="BC210" s="58"/>
      <c r="BD210" s="58"/>
      <c r="BE210" s="58"/>
      <c r="BF210" s="58"/>
      <c r="BG210" s="58"/>
      <c r="BH210" s="58"/>
      <c r="BI210" s="58"/>
      <c r="BJ210" s="58"/>
      <c r="BK210" s="58"/>
    </row>
    <row r="211" spans="2:63" s="495" customFormat="1" ht="17.899999999999999" customHeight="1" x14ac:dyDescent="0.35">
      <c r="B211" s="1677"/>
      <c r="C211" s="777" t="s">
        <v>108</v>
      </c>
      <c r="D211" s="720" t="s">
        <v>113</v>
      </c>
      <c r="E211" s="1429" t="s">
        <v>1471</v>
      </c>
      <c r="F211" s="779"/>
      <c r="G211" s="779"/>
      <c r="H211" s="779"/>
      <c r="I211" s="779"/>
      <c r="J211" s="58"/>
      <c r="K211" s="58"/>
      <c r="L211" s="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58"/>
      <c r="BH211" s="58"/>
      <c r="BI211" s="58"/>
      <c r="BJ211" s="58"/>
      <c r="BK211" s="58"/>
    </row>
    <row r="212" spans="2:63" s="495" customFormat="1" ht="19.75" customHeight="1" x14ac:dyDescent="0.35">
      <c r="B212" s="1677"/>
      <c r="C212" s="1643" t="s">
        <v>255</v>
      </c>
      <c r="D212" s="1666" t="s">
        <v>256</v>
      </c>
      <c r="E212" s="1437" t="s">
        <v>73</v>
      </c>
      <c r="F212" s="1645"/>
      <c r="G212" s="1645"/>
      <c r="H212" s="1645"/>
      <c r="I212" s="1645"/>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58"/>
      <c r="BJ212" s="58"/>
      <c r="BK212" s="58"/>
    </row>
    <row r="213" spans="2:63" s="495" customFormat="1" ht="19.75" customHeight="1" x14ac:dyDescent="0.35">
      <c r="B213" s="1677"/>
      <c r="C213" s="1644"/>
      <c r="D213" s="1667"/>
      <c r="E213" s="1420" t="s">
        <v>106</v>
      </c>
      <c r="F213" s="1646"/>
      <c r="G213" s="1646"/>
      <c r="H213" s="1646"/>
      <c r="I213" s="1646"/>
      <c r="J213" s="58"/>
      <c r="K213" s="58"/>
      <c r="L213" s="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58"/>
      <c r="BJ213" s="58"/>
      <c r="BK213" s="58"/>
    </row>
    <row r="214" spans="2:63" s="495" customFormat="1" ht="17.899999999999999" customHeight="1" x14ac:dyDescent="0.35">
      <c r="B214" s="1677"/>
      <c r="C214" s="1657" t="s">
        <v>257</v>
      </c>
      <c r="D214" s="1658"/>
      <c r="E214" s="1658"/>
      <c r="F214" s="1658"/>
      <c r="G214" s="1658"/>
      <c r="H214" s="1658"/>
      <c r="I214" s="1651"/>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8"/>
      <c r="AZ214" s="58"/>
      <c r="BA214" s="58"/>
      <c r="BB214" s="58"/>
      <c r="BC214" s="58"/>
      <c r="BD214" s="58"/>
      <c r="BE214" s="58"/>
      <c r="BF214" s="58"/>
      <c r="BG214" s="58"/>
      <c r="BH214" s="58"/>
      <c r="BI214" s="58"/>
      <c r="BJ214" s="58"/>
      <c r="BK214" s="58"/>
    </row>
    <row r="215" spans="2:63" s="495" customFormat="1" ht="17.899999999999999" customHeight="1" x14ac:dyDescent="0.35">
      <c r="B215" s="1677"/>
      <c r="C215" s="777" t="s">
        <v>108</v>
      </c>
      <c r="D215" s="720" t="s">
        <v>113</v>
      </c>
      <c r="E215" s="1429" t="s">
        <v>1471</v>
      </c>
      <c r="F215" s="779"/>
      <c r="G215" s="779"/>
      <c r="H215" s="779"/>
      <c r="I215" s="779"/>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8"/>
      <c r="AZ215" s="58"/>
      <c r="BA215" s="58"/>
      <c r="BB215" s="58"/>
      <c r="BC215" s="58"/>
      <c r="BD215" s="58"/>
      <c r="BE215" s="58"/>
      <c r="BF215" s="58"/>
      <c r="BG215" s="58"/>
      <c r="BH215" s="58"/>
      <c r="BI215" s="58"/>
      <c r="BJ215" s="58"/>
      <c r="BK215" s="58"/>
    </row>
    <row r="216" spans="2:63" s="495" customFormat="1" ht="20.399999999999999" customHeight="1" x14ac:dyDescent="0.35">
      <c r="B216" s="1677"/>
      <c r="C216" s="1647" t="s">
        <v>258</v>
      </c>
      <c r="D216" s="1649" t="s">
        <v>259</v>
      </c>
      <c r="E216" s="1438" t="s">
        <v>94</v>
      </c>
      <c r="F216" s="779"/>
      <c r="G216" s="779"/>
      <c r="H216" s="779"/>
      <c r="I216" s="779"/>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c r="AZ216" s="58"/>
      <c r="BA216" s="58"/>
      <c r="BB216" s="58"/>
      <c r="BC216" s="58"/>
      <c r="BD216" s="58"/>
      <c r="BE216" s="58"/>
      <c r="BF216" s="58"/>
      <c r="BG216" s="58"/>
      <c r="BH216" s="58"/>
      <c r="BI216" s="58"/>
      <c r="BJ216" s="58"/>
      <c r="BK216" s="58"/>
    </row>
    <row r="217" spans="2:63" s="495" customFormat="1" ht="20.399999999999999" customHeight="1" x14ac:dyDescent="0.35">
      <c r="B217" s="1677"/>
      <c r="C217" s="1648"/>
      <c r="D217" s="1650"/>
      <c r="E217" s="1422" t="s">
        <v>106</v>
      </c>
      <c r="F217" s="802"/>
      <c r="G217" s="802"/>
      <c r="H217" s="802"/>
      <c r="I217" s="802"/>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8"/>
      <c r="BI217" s="58"/>
      <c r="BJ217" s="58"/>
      <c r="BK217" s="58"/>
    </row>
    <row r="218" spans="2:63" s="803" customFormat="1" ht="14.25" customHeight="1" x14ac:dyDescent="0.35">
      <c r="B218" s="1677"/>
      <c r="C218" s="1652" t="s">
        <v>260</v>
      </c>
      <c r="D218" s="1652"/>
      <c r="E218" s="1652"/>
      <c r="F218" s="1652"/>
      <c r="G218" s="1652"/>
      <c r="H218" s="1652"/>
      <c r="I218" s="1652"/>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8"/>
      <c r="AZ218" s="58"/>
      <c r="BA218" s="58"/>
      <c r="BB218" s="58"/>
      <c r="BC218" s="58"/>
      <c r="BD218" s="58"/>
      <c r="BE218" s="58"/>
      <c r="BF218" s="58"/>
      <c r="BG218" s="58"/>
      <c r="BH218" s="58"/>
      <c r="BI218" s="58"/>
      <c r="BJ218" s="58"/>
      <c r="BK218" s="58"/>
    </row>
    <row r="219" spans="2:63" s="803" customFormat="1" ht="15" x14ac:dyDescent="0.35">
      <c r="B219" s="1677"/>
      <c r="C219" s="777" t="s">
        <v>108</v>
      </c>
      <c r="D219" s="720" t="s">
        <v>113</v>
      </c>
      <c r="E219" s="1423" t="s">
        <v>1471</v>
      </c>
      <c r="F219" s="764"/>
      <c r="G219" s="764"/>
      <c r="H219" s="764"/>
      <c r="I219" s="764"/>
      <c r="J219" s="58"/>
      <c r="K219" s="58"/>
      <c r="L219" s="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8"/>
      <c r="AZ219" s="58"/>
      <c r="BA219" s="58"/>
      <c r="BB219" s="58"/>
      <c r="BC219" s="58"/>
      <c r="BD219" s="58"/>
      <c r="BE219" s="58"/>
      <c r="BF219" s="58"/>
      <c r="BG219" s="58"/>
      <c r="BH219" s="58"/>
      <c r="BI219" s="58"/>
      <c r="BJ219" s="58"/>
      <c r="BK219" s="58"/>
    </row>
    <row r="220" spans="2:63" s="803" customFormat="1" ht="27" x14ac:dyDescent="0.35">
      <c r="B220" s="1677"/>
      <c r="C220" s="1679" t="s">
        <v>261</v>
      </c>
      <c r="D220" s="720" t="s">
        <v>262</v>
      </c>
      <c r="E220" s="1421" t="s">
        <v>252</v>
      </c>
      <c r="F220" s="764"/>
      <c r="G220" s="764"/>
      <c r="H220" s="764"/>
      <c r="I220" s="764"/>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8"/>
      <c r="AZ220" s="58"/>
      <c r="BA220" s="58"/>
      <c r="BB220" s="58"/>
      <c r="BC220" s="58"/>
      <c r="BD220" s="58"/>
      <c r="BE220" s="58"/>
      <c r="BF220" s="58"/>
      <c r="BG220" s="58"/>
      <c r="BH220" s="58"/>
      <c r="BI220" s="58"/>
      <c r="BJ220" s="58"/>
      <c r="BK220" s="58"/>
    </row>
    <row r="221" spans="2:63" ht="27" x14ac:dyDescent="0.35">
      <c r="B221" s="1678"/>
      <c r="C221" s="1679"/>
      <c r="D221" s="720" t="s">
        <v>263</v>
      </c>
      <c r="E221" s="1421" t="s">
        <v>252</v>
      </c>
      <c r="F221" s="764"/>
      <c r="G221" s="764"/>
      <c r="H221" s="764"/>
      <c r="I221" s="764"/>
    </row>
    <row r="222" spans="2:63" ht="15" customHeight="1" x14ac:dyDescent="0.35">
      <c r="B222" s="1676" t="s">
        <v>44</v>
      </c>
      <c r="C222" s="1652" t="s">
        <v>264</v>
      </c>
      <c r="D222" s="1652"/>
      <c r="E222" s="1652"/>
      <c r="F222" s="1652"/>
      <c r="G222" s="1652"/>
      <c r="H222" s="1652"/>
      <c r="I222" s="1652"/>
    </row>
    <row r="223" spans="2:63" ht="20.399999999999999" customHeight="1" x14ac:dyDescent="0.35">
      <c r="B223" s="1677"/>
      <c r="C223" s="1647" t="s">
        <v>108</v>
      </c>
      <c r="D223" s="1649" t="s">
        <v>113</v>
      </c>
      <c r="E223" s="1439" t="s">
        <v>1471</v>
      </c>
      <c r="F223"/>
      <c r="G223"/>
      <c r="H223"/>
      <c r="I223"/>
    </row>
    <row r="224" spans="2:63" ht="20.399999999999999" customHeight="1" x14ac:dyDescent="0.35">
      <c r="B224" s="1677"/>
      <c r="C224" s="1648"/>
      <c r="D224" s="1650"/>
      <c r="E224" s="1426" t="s">
        <v>265</v>
      </c>
      <c r="F224" s="804"/>
      <c r="G224" s="804"/>
      <c r="H224" s="804"/>
      <c r="I224" s="804"/>
    </row>
    <row r="225" spans="1:10" ht="15" customHeight="1" x14ac:dyDescent="0.35">
      <c r="B225" s="1677"/>
      <c r="C225" s="1679" t="s">
        <v>266</v>
      </c>
      <c r="D225" s="720" t="s">
        <v>267</v>
      </c>
      <c r="E225" s="1419" t="s">
        <v>268</v>
      </c>
      <c r="F225" s="763"/>
      <c r="G225" s="763"/>
      <c r="H225" s="763"/>
      <c r="I225" s="763"/>
    </row>
    <row r="226" spans="1:10" ht="15" customHeight="1" x14ac:dyDescent="0.35">
      <c r="B226" s="1677"/>
      <c r="C226" s="1647"/>
      <c r="D226" s="794" t="s">
        <v>269</v>
      </c>
      <c r="E226" s="1419" t="s">
        <v>268</v>
      </c>
      <c r="F226" s="763"/>
      <c r="G226" s="763"/>
      <c r="H226" s="763"/>
      <c r="I226" s="763"/>
    </row>
    <row r="227" spans="1:10" ht="13.5" customHeight="1" x14ac:dyDescent="0.35">
      <c r="B227" s="1677"/>
      <c r="C227" s="1652" t="s">
        <v>270</v>
      </c>
      <c r="D227" s="1652"/>
      <c r="E227" s="1652"/>
      <c r="F227" s="1652"/>
      <c r="G227" s="1652"/>
      <c r="H227" s="1652"/>
      <c r="I227" s="1652"/>
    </row>
    <row r="228" spans="1:10" ht="18.75" customHeight="1" x14ac:dyDescent="0.3">
      <c r="B228" s="1677"/>
      <c r="C228" s="1647" t="s">
        <v>108</v>
      </c>
      <c r="D228" s="1649" t="s">
        <v>113</v>
      </c>
      <c r="E228" s="1439" t="s">
        <v>1471</v>
      </c>
      <c r="F228" s="804"/>
      <c r="G228" s="804"/>
      <c r="H228" s="804"/>
      <c r="I228" s="804"/>
    </row>
    <row r="229" spans="1:10" ht="18.75" customHeight="1" x14ac:dyDescent="0.35">
      <c r="B229" s="1677"/>
      <c r="C229" s="1648"/>
      <c r="D229" s="1650"/>
      <c r="E229" s="1426" t="s">
        <v>265</v>
      </c>
      <c r="F229" s="804"/>
      <c r="G229" s="804"/>
      <c r="H229" s="804"/>
      <c r="I229" s="804"/>
    </row>
    <row r="230" spans="1:10" ht="18.649999999999999" customHeight="1" x14ac:dyDescent="0.35">
      <c r="B230" s="1677"/>
      <c r="C230" s="1679" t="s">
        <v>271</v>
      </c>
      <c r="D230" s="633" t="s">
        <v>272</v>
      </c>
      <c r="E230" s="1419" t="s">
        <v>268</v>
      </c>
      <c r="F230" s="763"/>
      <c r="G230" s="763"/>
      <c r="H230" s="763"/>
      <c r="I230" s="763"/>
    </row>
    <row r="231" spans="1:10" ht="18.649999999999999" customHeight="1" x14ac:dyDescent="0.35">
      <c r="B231" s="1677"/>
      <c r="C231" s="1679"/>
      <c r="D231" s="633" t="s">
        <v>273</v>
      </c>
      <c r="E231" s="1419" t="s">
        <v>268</v>
      </c>
      <c r="F231" s="763"/>
      <c r="G231" s="763"/>
      <c r="H231" s="763"/>
      <c r="I231" s="763"/>
    </row>
    <row r="232" spans="1:10" ht="18.649999999999999" customHeight="1" x14ac:dyDescent="0.35">
      <c r="B232" s="1677"/>
      <c r="C232" s="1679"/>
      <c r="D232" s="633" t="s">
        <v>274</v>
      </c>
      <c r="E232" s="1419" t="s">
        <v>268</v>
      </c>
      <c r="F232" s="763"/>
      <c r="G232" s="763"/>
      <c r="H232" s="763"/>
      <c r="I232" s="763"/>
    </row>
    <row r="233" spans="1:10" ht="13.5" customHeight="1" x14ac:dyDescent="0.35">
      <c r="B233" s="1677"/>
      <c r="C233" s="1652" t="s">
        <v>275</v>
      </c>
      <c r="D233" s="1652"/>
      <c r="E233" s="1652"/>
      <c r="F233" s="1652"/>
      <c r="G233" s="1652"/>
      <c r="H233" s="1652"/>
      <c r="I233" s="1652"/>
    </row>
    <row r="234" spans="1:10" ht="15" x14ac:dyDescent="0.35">
      <c r="B234" s="1677"/>
      <c r="C234" s="777" t="s">
        <v>108</v>
      </c>
      <c r="D234" s="720" t="s">
        <v>113</v>
      </c>
      <c r="E234" s="1423" t="s">
        <v>1471</v>
      </c>
      <c r="F234" s="779"/>
      <c r="G234" s="779"/>
      <c r="H234" s="779"/>
      <c r="I234" s="779"/>
    </row>
    <row r="235" spans="1:10" ht="40.5" x14ac:dyDescent="0.35">
      <c r="B235" s="1678"/>
      <c r="C235" s="778" t="s">
        <v>276</v>
      </c>
      <c r="D235" s="633" t="s">
        <v>277</v>
      </c>
      <c r="E235" s="1419" t="s">
        <v>94</v>
      </c>
      <c r="F235" s="763" t="s">
        <v>184</v>
      </c>
      <c r="G235" s="763" t="s">
        <v>139</v>
      </c>
      <c r="H235" s="763" t="s">
        <v>278</v>
      </c>
      <c r="I235" s="763"/>
    </row>
    <row r="236" spans="1:10" ht="17.149999999999999" customHeight="1" x14ac:dyDescent="0.35">
      <c r="B236" s="805"/>
      <c r="D236" s="448"/>
      <c r="E236" s="806"/>
      <c r="F236" s="448"/>
      <c r="G236" s="448"/>
      <c r="H236" s="448"/>
      <c r="I236" s="448"/>
    </row>
    <row r="237" spans="1:10" s="803" customFormat="1" x14ac:dyDescent="0.35">
      <c r="B237" s="807"/>
      <c r="C237" s="1705" t="s">
        <v>279</v>
      </c>
      <c r="D237" s="1705"/>
      <c r="E237" s="1705"/>
      <c r="F237" s="1705"/>
      <c r="G237" s="1705"/>
      <c r="H237" s="1705"/>
      <c r="I237" s="1706"/>
      <c r="J237" s="58"/>
    </row>
    <row r="238" spans="1:10" s="803" customFormat="1" ht="28.4" customHeight="1" x14ac:dyDescent="0.35">
      <c r="B238" s="807"/>
      <c r="C238" s="1707"/>
      <c r="D238" s="1707"/>
      <c r="E238" s="1707"/>
      <c r="F238" s="1707"/>
      <c r="G238" s="1707"/>
      <c r="H238" s="1707"/>
      <c r="I238" s="1708"/>
      <c r="J238" s="58"/>
    </row>
    <row r="239" spans="1:10" s="495" customFormat="1" ht="13.5" hidden="1" customHeight="1" x14ac:dyDescent="0.35">
      <c r="A239" s="58"/>
      <c r="B239" s="1726"/>
      <c r="C239" s="1652" t="s">
        <v>280</v>
      </c>
      <c r="D239" s="1652"/>
      <c r="E239" s="1652"/>
      <c r="F239" s="1652"/>
      <c r="G239" s="1652"/>
      <c r="H239" s="1652"/>
      <c r="I239" s="1652"/>
    </row>
    <row r="240" spans="1:10" s="495" customFormat="1" ht="15" hidden="1" x14ac:dyDescent="0.35">
      <c r="A240" s="58"/>
      <c r="B240" s="1726"/>
      <c r="C240" s="777" t="s">
        <v>108</v>
      </c>
      <c r="D240" s="720" t="s">
        <v>113</v>
      </c>
      <c r="E240" s="779" t="s">
        <v>120</v>
      </c>
      <c r="F240" s="779"/>
      <c r="G240" s="779"/>
      <c r="H240" s="779"/>
      <c r="I240" s="779"/>
    </row>
    <row r="241" spans="1:9" s="495" customFormat="1" ht="27" hidden="1" customHeight="1" x14ac:dyDescent="0.35">
      <c r="A241" s="58"/>
      <c r="B241" s="1726"/>
      <c r="C241" s="1679" t="s">
        <v>281</v>
      </c>
      <c r="D241" s="720" t="s">
        <v>282</v>
      </c>
      <c r="E241" s="779"/>
      <c r="F241" s="779" t="s">
        <v>166</v>
      </c>
      <c r="G241" s="763" t="s">
        <v>139</v>
      </c>
      <c r="H241" s="779"/>
      <c r="I241" s="779"/>
    </row>
    <row r="242" spans="1:9" s="495" customFormat="1" ht="27" hidden="1" customHeight="1" x14ac:dyDescent="0.35">
      <c r="A242" s="58"/>
      <c r="B242" s="1726"/>
      <c r="C242" s="1679"/>
      <c r="D242" s="720" t="s">
        <v>283</v>
      </c>
      <c r="E242" s="779"/>
      <c r="F242" s="779" t="s">
        <v>166</v>
      </c>
      <c r="G242" s="763" t="s">
        <v>139</v>
      </c>
      <c r="H242" s="779"/>
      <c r="I242" s="779"/>
    </row>
    <row r="243" spans="1:9" x14ac:dyDescent="0.35">
      <c r="B243" s="808"/>
      <c r="C243" s="1652" t="s">
        <v>284</v>
      </c>
      <c r="D243" s="1652"/>
      <c r="E243" s="1652"/>
      <c r="F243" s="1652"/>
      <c r="G243" s="1652"/>
      <c r="H243" s="1652"/>
      <c r="I243" s="1652"/>
    </row>
    <row r="244" spans="1:9" x14ac:dyDescent="0.35">
      <c r="B244" s="808"/>
      <c r="C244" s="777" t="s">
        <v>108</v>
      </c>
      <c r="D244" s="720" t="s">
        <v>113</v>
      </c>
      <c r="E244" s="1419" t="s">
        <v>1470</v>
      </c>
      <c r="F244" s="763"/>
      <c r="G244" s="763"/>
      <c r="H244" s="763"/>
      <c r="I244" s="763"/>
    </row>
    <row r="245" spans="1:9" x14ac:dyDescent="0.35">
      <c r="B245" s="808"/>
      <c r="C245" s="1643" t="s">
        <v>285</v>
      </c>
      <c r="D245" s="1666" t="s">
        <v>286</v>
      </c>
      <c r="E245" s="1419" t="s">
        <v>1476</v>
      </c>
      <c r="F245" s="1735"/>
      <c r="G245" s="1735"/>
      <c r="H245" s="1735"/>
      <c r="I245" s="1735"/>
    </row>
    <row r="246" spans="1:9" x14ac:dyDescent="0.35">
      <c r="B246" s="808"/>
      <c r="C246" s="1740"/>
      <c r="D246" s="1667"/>
      <c r="E246" s="1421" t="s">
        <v>287</v>
      </c>
      <c r="F246" s="1736"/>
      <c r="G246" s="1736"/>
      <c r="H246" s="1736"/>
      <c r="I246" s="1736"/>
    </row>
    <row r="247" spans="1:9" ht="21.65" customHeight="1" x14ac:dyDescent="0.35">
      <c r="B247" s="808"/>
      <c r="C247" s="1740"/>
      <c r="D247" s="720" t="s">
        <v>288</v>
      </c>
      <c r="E247" s="809" t="s">
        <v>289</v>
      </c>
      <c r="F247" s="809"/>
      <c r="G247" s="809"/>
      <c r="H247" s="809"/>
      <c r="I247" s="809"/>
    </row>
    <row r="248" spans="1:9" ht="30" customHeight="1" x14ac:dyDescent="0.35">
      <c r="B248" s="808"/>
      <c r="C248" s="1740"/>
      <c r="D248" s="720" t="s">
        <v>290</v>
      </c>
      <c r="E248" s="1440"/>
      <c r="F248" s="779"/>
      <c r="G248" s="763" t="s">
        <v>199</v>
      </c>
      <c r="H248" s="779"/>
      <c r="I248" s="779"/>
    </row>
    <row r="249" spans="1:9" ht="30" customHeight="1" x14ac:dyDescent="0.35">
      <c r="B249" s="808"/>
      <c r="C249" s="1644"/>
      <c r="D249" s="720" t="s">
        <v>291</v>
      </c>
      <c r="E249" s="1440"/>
      <c r="F249" s="779"/>
      <c r="G249" s="763" t="s">
        <v>199</v>
      </c>
      <c r="H249" s="779"/>
      <c r="I249" s="779"/>
    </row>
  </sheetData>
  <sheetProtection algorithmName="SHA-512" hashValue="l+abyOMT6DMugFdEwnL5ZjzziTmoyck9P0Mj/2rcQHxclwg3FyXBEwuD7Lsk7RVtjfxb9t8lXyT1nWKNWXXIpA==" saltValue="iVrHj9KElfWMeu0onFji9w==" spinCount="100000" sheet="1" objects="1" scenarios="1"/>
  <dataConsolidate/>
  <mergeCells count="253">
    <mergeCell ref="F164:F165"/>
    <mergeCell ref="G164:G165"/>
    <mergeCell ref="H164:H165"/>
    <mergeCell ref="I164:I165"/>
    <mergeCell ref="I154:I155"/>
    <mergeCell ref="F160:F161"/>
    <mergeCell ref="G160:G161"/>
    <mergeCell ref="H160:H161"/>
    <mergeCell ref="I160:I161"/>
    <mergeCell ref="F162:F163"/>
    <mergeCell ref="G162:G163"/>
    <mergeCell ref="H162:H163"/>
    <mergeCell ref="I162:I163"/>
    <mergeCell ref="G212:G213"/>
    <mergeCell ref="H212:H213"/>
    <mergeCell ref="I212:I213"/>
    <mergeCell ref="F38:F39"/>
    <mergeCell ref="G38:G39"/>
    <mergeCell ref="H38:H39"/>
    <mergeCell ref="F42:F43"/>
    <mergeCell ref="G42:G43"/>
    <mergeCell ref="H42:H43"/>
    <mergeCell ref="F44:F46"/>
    <mergeCell ref="G44:G46"/>
    <mergeCell ref="H44:H46"/>
    <mergeCell ref="F47:F49"/>
    <mergeCell ref="G47:G49"/>
    <mergeCell ref="H47:H49"/>
    <mergeCell ref="F51:F52"/>
    <mergeCell ref="G51:G52"/>
    <mergeCell ref="H51:H52"/>
    <mergeCell ref="F53:F55"/>
    <mergeCell ref="G53:G55"/>
    <mergeCell ref="H53:H55"/>
    <mergeCell ref="F56:F57"/>
    <mergeCell ref="G56:G57"/>
    <mergeCell ref="H56:H57"/>
    <mergeCell ref="D156:D158"/>
    <mergeCell ref="F156:F158"/>
    <mergeCell ref="G156:G158"/>
    <mergeCell ref="D101:D102"/>
    <mergeCell ref="F101:F102"/>
    <mergeCell ref="G101:G102"/>
    <mergeCell ref="H101:H102"/>
    <mergeCell ref="I101:I102"/>
    <mergeCell ref="D114:D115"/>
    <mergeCell ref="F114:F115"/>
    <mergeCell ref="G114:G115"/>
    <mergeCell ref="H114:H115"/>
    <mergeCell ref="I114:I115"/>
    <mergeCell ref="F148:F149"/>
    <mergeCell ref="G148:G149"/>
    <mergeCell ref="H148:H149"/>
    <mergeCell ref="I148:I149"/>
    <mergeCell ref="F150:F152"/>
    <mergeCell ref="G150:G152"/>
    <mergeCell ref="H150:H152"/>
    <mergeCell ref="I150:I152"/>
    <mergeCell ref="F154:F155"/>
    <mergeCell ref="G154:G155"/>
    <mergeCell ref="H154:H155"/>
    <mergeCell ref="H72:H74"/>
    <mergeCell ref="G79:G80"/>
    <mergeCell ref="H79:H80"/>
    <mergeCell ref="C245:C249"/>
    <mergeCell ref="D245:D246"/>
    <mergeCell ref="F245:F246"/>
    <mergeCell ref="H245:H246"/>
    <mergeCell ref="I245:I246"/>
    <mergeCell ref="G245:G246"/>
    <mergeCell ref="D119:D120"/>
    <mergeCell ref="F119:F120"/>
    <mergeCell ref="G119:G120"/>
    <mergeCell ref="H119:H120"/>
    <mergeCell ref="I119:I120"/>
    <mergeCell ref="D138:D139"/>
    <mergeCell ref="F138:F139"/>
    <mergeCell ref="G138:G139"/>
    <mergeCell ref="H138:H139"/>
    <mergeCell ref="I138:I139"/>
    <mergeCell ref="D145:D147"/>
    <mergeCell ref="F145:F147"/>
    <mergeCell ref="G145:G147"/>
    <mergeCell ref="H145:H147"/>
    <mergeCell ref="I145:I147"/>
    <mergeCell ref="F31:F32"/>
    <mergeCell ref="G31:G32"/>
    <mergeCell ref="H31:H32"/>
    <mergeCell ref="D68:D69"/>
    <mergeCell ref="I79:I80"/>
    <mergeCell ref="I72:I74"/>
    <mergeCell ref="I68:I69"/>
    <mergeCell ref="D83:D84"/>
    <mergeCell ref="C83:C84"/>
    <mergeCell ref="F83:F84"/>
    <mergeCell ref="G83:G84"/>
    <mergeCell ref="H83:H84"/>
    <mergeCell ref="I83:I84"/>
    <mergeCell ref="C68:C69"/>
    <mergeCell ref="F68:F69"/>
    <mergeCell ref="G68:G69"/>
    <mergeCell ref="H68:H69"/>
    <mergeCell ref="D79:D80"/>
    <mergeCell ref="D72:D74"/>
    <mergeCell ref="C72:C74"/>
    <mergeCell ref="C79:C80"/>
    <mergeCell ref="F79:F80"/>
    <mergeCell ref="F72:F74"/>
    <mergeCell ref="G72:G74"/>
    <mergeCell ref="B239:B242"/>
    <mergeCell ref="B124:B133"/>
    <mergeCell ref="B91:B97"/>
    <mergeCell ref="C239:I239"/>
    <mergeCell ref="B59:B60"/>
    <mergeCell ref="D216:D217"/>
    <mergeCell ref="C216:C217"/>
    <mergeCell ref="D150:D152"/>
    <mergeCell ref="D154:D155"/>
    <mergeCell ref="D160:D161"/>
    <mergeCell ref="D169:D170"/>
    <mergeCell ref="B206:B221"/>
    <mergeCell ref="D202:D203"/>
    <mergeCell ref="D204:D205"/>
    <mergeCell ref="C202:C205"/>
    <mergeCell ref="F204:F205"/>
    <mergeCell ref="G204:G205"/>
    <mergeCell ref="H204:H205"/>
    <mergeCell ref="I204:I205"/>
    <mergeCell ref="C210:I210"/>
    <mergeCell ref="C71:I71"/>
    <mergeCell ref="C63:C66"/>
    <mergeCell ref="C75:C77"/>
    <mergeCell ref="B61:B85"/>
    <mergeCell ref="M7:R13"/>
    <mergeCell ref="L60:O60"/>
    <mergeCell ref="L51:P56"/>
    <mergeCell ref="C88:C90"/>
    <mergeCell ref="I11:I12"/>
    <mergeCell ref="C61:I61"/>
    <mergeCell ref="C13:I13"/>
    <mergeCell ref="E11:E12"/>
    <mergeCell ref="F11:H11"/>
    <mergeCell ref="C11:C12"/>
    <mergeCell ref="D11:D12"/>
    <mergeCell ref="F14:I18"/>
    <mergeCell ref="F59:I60"/>
    <mergeCell ref="C59:C60"/>
    <mergeCell ref="D29:D30"/>
    <mergeCell ref="C86:I86"/>
    <mergeCell ref="G40:G41"/>
    <mergeCell ref="D42:D43"/>
    <mergeCell ref="D38:D39"/>
    <mergeCell ref="D44:D46"/>
    <mergeCell ref="D51:D52"/>
    <mergeCell ref="D53:D55"/>
    <mergeCell ref="H40:H41"/>
    <mergeCell ref="G29:G30"/>
    <mergeCell ref="C243:I243"/>
    <mergeCell ref="C93:C97"/>
    <mergeCell ref="C143:I143"/>
    <mergeCell ref="F175:F176"/>
    <mergeCell ref="C180:D180"/>
    <mergeCell ref="C124:I124"/>
    <mergeCell ref="C241:C242"/>
    <mergeCell ref="C225:C226"/>
    <mergeCell ref="C222:I222"/>
    <mergeCell ref="C166:I166"/>
    <mergeCell ref="C189:I189"/>
    <mergeCell ref="C218:I218"/>
    <mergeCell ref="C237:I238"/>
    <mergeCell ref="C172:I172"/>
    <mergeCell ref="C174:C176"/>
    <mergeCell ref="C118:C123"/>
    <mergeCell ref="D196:D197"/>
    <mergeCell ref="C196:C199"/>
    <mergeCell ref="F198:F199"/>
    <mergeCell ref="G198:G199"/>
    <mergeCell ref="H198:H199"/>
    <mergeCell ref="C140:I140"/>
    <mergeCell ref="D191:D193"/>
    <mergeCell ref="D223:D224"/>
    <mergeCell ref="B2:I2"/>
    <mergeCell ref="C78:I78"/>
    <mergeCell ref="C108:C115"/>
    <mergeCell ref="C136:C139"/>
    <mergeCell ref="C134:I134"/>
    <mergeCell ref="C233:I233"/>
    <mergeCell ref="C168:C171"/>
    <mergeCell ref="C208:C209"/>
    <mergeCell ref="C230:C232"/>
    <mergeCell ref="D4:E4"/>
    <mergeCell ref="D5:E5"/>
    <mergeCell ref="B4:C4"/>
    <mergeCell ref="B5:C5"/>
    <mergeCell ref="B11:B12"/>
    <mergeCell ref="B98:B105"/>
    <mergeCell ref="B14:B56"/>
    <mergeCell ref="B86:B90"/>
    <mergeCell ref="G175:G176"/>
    <mergeCell ref="D175:D176"/>
    <mergeCell ref="C145:C165"/>
    <mergeCell ref="C220:C221"/>
    <mergeCell ref="C227:I227"/>
    <mergeCell ref="C200:I200"/>
    <mergeCell ref="B222:B235"/>
    <mergeCell ref="D198:D199"/>
    <mergeCell ref="D212:D213"/>
    <mergeCell ref="B106:B123"/>
    <mergeCell ref="B134:B193"/>
    <mergeCell ref="B194:B205"/>
    <mergeCell ref="C100:C105"/>
    <mergeCell ref="C98:I98"/>
    <mergeCell ref="C91:I91"/>
    <mergeCell ref="F29:F30"/>
    <mergeCell ref="H29:H30"/>
    <mergeCell ref="F40:F41"/>
    <mergeCell ref="D40:D41"/>
    <mergeCell ref="C82:I82"/>
    <mergeCell ref="C14:C57"/>
    <mergeCell ref="I19:I57"/>
    <mergeCell ref="D56:D57"/>
    <mergeCell ref="D47:D49"/>
    <mergeCell ref="C67:I67"/>
    <mergeCell ref="H128:H133"/>
    <mergeCell ref="D22:D23"/>
    <mergeCell ref="F22:F23"/>
    <mergeCell ref="G22:G23"/>
    <mergeCell ref="H22:H23"/>
    <mergeCell ref="D31:D32"/>
    <mergeCell ref="C212:C213"/>
    <mergeCell ref="F212:F213"/>
    <mergeCell ref="C223:C224"/>
    <mergeCell ref="C228:C229"/>
    <mergeCell ref="D228:D229"/>
    <mergeCell ref="C206:I206"/>
    <mergeCell ref="H175:H176"/>
    <mergeCell ref="C106:I106"/>
    <mergeCell ref="C116:I116"/>
    <mergeCell ref="C194:I194"/>
    <mergeCell ref="I175:I176"/>
    <mergeCell ref="C126:C133"/>
    <mergeCell ref="C214:I214"/>
    <mergeCell ref="I198:I199"/>
    <mergeCell ref="D148:D149"/>
    <mergeCell ref="C182:C183"/>
    <mergeCell ref="C191:C193"/>
    <mergeCell ref="D182:D183"/>
    <mergeCell ref="D186:D188"/>
    <mergeCell ref="C186:C188"/>
    <mergeCell ref="H156:H158"/>
    <mergeCell ref="I156:I158"/>
    <mergeCell ref="D162:D163"/>
    <mergeCell ref="D164:D165"/>
  </mergeCells>
  <phoneticPr fontId="3" type="noConversion"/>
  <dataValidations count="1">
    <dataValidation type="list" allowBlank="1" showInputMessage="1" showErrorMessage="1" sqref="G248:G249 G107:G114 G173:G175 G103:G105 G219:G224 G40 G178:G179 G181:G183 G185:G188 G92:G97 G241:G242 G226:G235 G214:G217 G24:G29 G70 G85:G90 G156 G19:G22 G31 G62:G68 G72 G75:G79 G81:G83 G117:G119 G99:G101 G121:G138 G140:G145 G56 G190:G212 G33:G38 G42 G44 G47 G50:G51 G53 G148 G150 G153:G154 G159:G160 G162 G164 G166:G171" xr:uid="{3E06413D-A277-4B91-8837-958EEE26038F}">
      <formula1>"Not applicable,Legal prohibitions,Confidentiality constraints,Information unavailable/incomplete"</formula1>
    </dataValidation>
  </dataValidations>
  <hyperlinks>
    <hyperlink ref="E30" r:id="rId1" xr:uid="{41815C1A-FF53-49C9-A3FC-EB853956B5FE}"/>
    <hyperlink ref="E41" r:id="rId2" location="Policies" xr:uid="{95F6AE82-70E3-4EC6-B81D-B4D594BFC2BC}"/>
    <hyperlink ref="E246" r:id="rId3" display="JM Global tax policy" xr:uid="{4D730960-2A50-4AFA-BF58-942571C70002}"/>
    <hyperlink ref="E73" r:id="rId4" display="Johnson Matthey Anti-Bribery and Corruption Policy" xr:uid="{21DA36BF-CFD7-4B1C-BDC5-55B4E36AC3DD}"/>
    <hyperlink ref="E43" r:id="rId5" location="Policies" xr:uid="{E2D247AF-04D9-4081-9DAF-63CA85CD1CAF}"/>
    <hyperlink ref="E39" r:id="rId6" display="JM Website - About Us" xr:uid="{D1D537EE-65E0-4F1F-AE54-CC15F2301E8B}"/>
    <hyperlink ref="E45" r:id="rId7" xr:uid="{E69999B9-97C2-4070-A43F-8185BCAD943F}"/>
    <hyperlink ref="E46" r:id="rId8" xr:uid="{8BAA618E-D3E6-458E-9722-3B496E2C2D35}"/>
    <hyperlink ref="E48" r:id="rId9" xr:uid="{F86FFD22-9541-4406-B367-DD5D3B1389F9}"/>
    <hyperlink ref="E49" r:id="rId10" display="JM Website - Code of Ethics" xr:uid="{DB511BD0-1819-4382-81D0-F0989D1A68FB}"/>
    <hyperlink ref="E55" r:id="rId11" display="JM Website - Collaboration" xr:uid="{334AC7B4-C5DB-4CB9-86B8-A4E20D160DCC}"/>
    <hyperlink ref="E52" r:id="rId12" xr:uid="{2897C5F6-1293-4412-B084-D9B80E109464}"/>
    <hyperlink ref="E126" r:id="rId13" xr:uid="{7EE22E90-417D-42AF-AA44-3DF34D070EA5}"/>
    <hyperlink ref="E127" r:id="rId14" xr:uid="{DD8D4E3C-F89B-44C3-A9C3-9E88345FD5FA}"/>
    <hyperlink ref="E146" r:id="rId15" xr:uid="{E2AFDD92-A097-4E5A-BB84-D9AED36D8885}"/>
    <hyperlink ref="E149" r:id="rId16" xr:uid="{61167912-AE74-4115-82D3-78F41BB06270}"/>
    <hyperlink ref="E151" r:id="rId17" xr:uid="{B6312954-1119-42EE-BF9C-07B2D740CD53}"/>
    <hyperlink ref="E152" r:id="rId18" display="Johnson Matthey Corporate Website - Reward and Benefits" xr:uid="{C2914F83-3A17-46AA-928F-FB659BC9E352}"/>
    <hyperlink ref="E161" r:id="rId19" xr:uid="{CD61D508-5C0F-4480-A6B3-FAC66929FEBB}"/>
    <hyperlink ref="E170" r:id="rId20" xr:uid="{62B4FC11-06BC-4C79-A8AF-3261EEC175B9}"/>
    <hyperlink ref="E176" r:id="rId21" display="Johnson Matthey Gender Pay Gap Report 2024" xr:uid="{164E7003-9CF2-44E4-A664-E9B26FA71726}"/>
    <hyperlink ref="E188" r:id="rId22" xr:uid="{797C1F6F-9295-4831-9739-DC03AF9484A1}"/>
    <hyperlink ref="E193" r:id="rId23" xr:uid="{6751BCD6-B05D-4D79-8BA7-FB3DC8E45B06}"/>
    <hyperlink ref="E208" r:id="rId24" xr:uid="{BC2DB359-8FFC-4939-BC86-F06A793EED62}"/>
    <hyperlink ref="E220" r:id="rId25" xr:uid="{E57033A8-9176-4305-BE66-F447714015DB}"/>
    <hyperlink ref="E221" r:id="rId26" xr:uid="{FC98566E-458A-47F4-A2A7-F88035E83BCF}"/>
    <hyperlink ref="E229" r:id="rId27" display="Product Stewardship on Matthey.com" xr:uid="{A89B2A38-43F0-4BCD-8247-762F74C2F843}"/>
    <hyperlink ref="E247" r:id="rId28" xr:uid="{F3F6C390-F28F-4773-AC79-329E5FC1440F}"/>
    <hyperlink ref="E57" r:id="rId29" xr:uid="{109E28CF-461F-40E8-9D80-634763E44361}"/>
    <hyperlink ref="E54" r:id="rId30" xr:uid="{098BCFB2-4D35-4A74-AB35-637729A9C1A6}"/>
    <hyperlink ref="E51" r:id="rId31" xr:uid="{047DF396-4615-49A6-BDD3-43F4270247EA}"/>
    <hyperlink ref="E137" r:id="rId32" display="Johnson Matthey Corporate Website - Rewards and Benefits" xr:uid="{6B8F276E-22A4-43B7-A228-6975EA14581D}"/>
    <hyperlink ref="E169" r:id="rId33" xr:uid="{028524B7-6D98-4BE1-BB51-6E1E2C8F0EF8}"/>
    <hyperlink ref="E183" r:id="rId34" xr:uid="{89092E65-C258-45AC-877E-E0372C8E1AC2}"/>
    <hyperlink ref="E187" r:id="rId35" xr:uid="{4AF17B9A-CB9A-4A31-AEEA-2FDEC1F89A04}"/>
    <hyperlink ref="E192" r:id="rId36" xr:uid="{1931AE13-92A3-4D9C-AF6D-B56E7ABF8E37}"/>
    <hyperlink ref="E217" r:id="rId37" xr:uid="{EA2939E0-CCE7-453E-AF69-E6ABC61DB8CA}"/>
    <hyperlink ref="E224" r:id="rId38" xr:uid="{3BD6EBE8-300C-4A5C-AC7A-38BC8F6F4631}"/>
    <hyperlink ref="E197" r:id="rId39" xr:uid="{8D5D5919-763A-4690-8846-535CEFEAB44C}"/>
    <hyperlink ref="E199" r:id="rId40" xr:uid="{90458165-D44E-4342-93F1-D2892B998B35}"/>
    <hyperlink ref="E203" r:id="rId41" xr:uid="{959F210C-96D6-45FD-901D-324974FC915D}"/>
    <hyperlink ref="E205" r:id="rId42" xr:uid="{2E423CC7-1667-420B-8ECD-CF7B4229FB50}"/>
    <hyperlink ref="E157" r:id="rId43" xr:uid="{332C320F-DAA3-484F-AF3D-C252FAB57564}"/>
    <hyperlink ref="E23" r:id="rId44" xr:uid="{09428DF9-6BAC-4F59-B50E-3E26291E884D}"/>
    <hyperlink ref="E32" r:id="rId45" xr:uid="{721AB2F0-C52F-4815-81A9-A4B4F18CB95F}"/>
    <hyperlink ref="E69" r:id="rId46" xr:uid="{3F4BF832-40DF-4422-966D-67284CB7122F}"/>
    <hyperlink ref="E74" r:id="rId47" display="JM Website - Code of Ethics" xr:uid="{30116980-5602-4D4B-8AA7-B1980347A9E0}"/>
    <hyperlink ref="E80" r:id="rId48" xr:uid="{67C3B2E8-F83D-4D3E-B22B-1E7B5D6C6300}"/>
    <hyperlink ref="E84" r:id="rId49" xr:uid="{FF9AC553-BA8B-4D16-BCBE-F9039DA2F940}"/>
    <hyperlink ref="E120" r:id="rId50" xr:uid="{BA7D3184-A6EF-4692-A2D3-140E341FBC33}"/>
    <hyperlink ref="E102" r:id="rId51" xr:uid="{171517AC-42FC-4CC4-8133-01A704C4DBC9}"/>
    <hyperlink ref="E115" r:id="rId52" xr:uid="{DA2584C3-338C-4C4D-A8EC-5CCD076F5AB1}"/>
    <hyperlink ref="E139" r:id="rId53" xr:uid="{CF365202-1DE1-41D5-8D3C-9FB61FC72664}"/>
    <hyperlink ref="E147" r:id="rId54" xr:uid="{AA05666B-9DD2-473E-942D-12CB78AD7DC0}"/>
    <hyperlink ref="E158" r:id="rId55" display="Johnson Matthey Corporate Website - Reward and Benefits" xr:uid="{A408D0A4-AF4D-4AC3-95B0-D667CCB38463}"/>
    <hyperlink ref="E213" r:id="rId56" xr:uid="{1AB90618-1F31-4019-BAB4-630ACC27850D}"/>
  </hyperlinks>
  <pageMargins left="0.23622047244094491" right="0.23622047244094491" top="0.74803149606299213" bottom="0.74803149606299213" header="0.31496062992125984" footer="0.31496062992125984"/>
  <pageSetup paperSize="9" scale="31" fitToHeight="3" orientation="portrait" r:id="rId57"/>
  <rowBreaks count="2" manualBreakCount="2">
    <brk id="85" min="1" max="8" man="1"/>
    <brk id="133" min="1" max="8" man="1"/>
  </rowBreaks>
  <drawing r:id="rId5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0327-0661-4142-9CE8-702AC7608113}">
  <sheetPr codeName="Sheet13">
    <pageSetUpPr fitToPage="1"/>
  </sheetPr>
  <dimension ref="B2:K21"/>
  <sheetViews>
    <sheetView zoomScale="90" zoomScaleNormal="90" workbookViewId="0"/>
  </sheetViews>
  <sheetFormatPr defaultColWidth="8.54296875" defaultRowHeight="13.5" x14ac:dyDescent="0.35"/>
  <cols>
    <col min="1" max="1" width="2.54296875" style="448" customWidth="1"/>
    <col min="2" max="2" width="30.453125" style="448" customWidth="1"/>
    <col min="3" max="3" width="119.453125" style="448" customWidth="1"/>
    <col min="4" max="4" width="27.453125" style="448" customWidth="1"/>
    <col min="5" max="5" width="18.54296875" style="448" customWidth="1"/>
    <col min="6" max="6" width="24.54296875" style="448" customWidth="1"/>
    <col min="7" max="16384" width="8.54296875" style="448"/>
  </cols>
  <sheetData>
    <row r="2" spans="2:5" ht="24.5" x14ac:dyDescent="0.35">
      <c r="B2" s="1749" t="s">
        <v>19</v>
      </c>
      <c r="C2" s="1749"/>
      <c r="D2" s="1749"/>
    </row>
    <row r="3" spans="2:5" x14ac:dyDescent="0.35">
      <c r="B3" s="562"/>
      <c r="C3" s="562"/>
      <c r="D3" s="562"/>
    </row>
    <row r="4" spans="2:5" s="549" customFormat="1" ht="101.15" customHeight="1" x14ac:dyDescent="0.35">
      <c r="B4" s="1750" t="s">
        <v>363</v>
      </c>
      <c r="C4" s="1750"/>
      <c r="D4" s="1750"/>
      <c r="E4" s="1750"/>
    </row>
    <row r="5" spans="2:5" x14ac:dyDescent="0.35">
      <c r="B5" s="490"/>
      <c r="C5" s="490"/>
      <c r="D5" s="490"/>
    </row>
    <row r="6" spans="2:5" x14ac:dyDescent="0.35">
      <c r="B6" s="491" t="s">
        <v>51</v>
      </c>
      <c r="C6" s="490"/>
      <c r="D6" s="490"/>
    </row>
    <row r="7" spans="2:5" x14ac:dyDescent="0.35">
      <c r="B7" s="5" t="s">
        <v>52</v>
      </c>
      <c r="C7" s="490"/>
      <c r="D7" s="490"/>
    </row>
    <row r="8" spans="2:5" x14ac:dyDescent="0.35">
      <c r="B8" s="5" t="s">
        <v>53</v>
      </c>
      <c r="C8" s="490"/>
      <c r="D8" s="490"/>
    </row>
    <row r="9" spans="2:5" x14ac:dyDescent="0.35">
      <c r="B9" s="449"/>
      <c r="C9" s="490"/>
      <c r="D9" s="490"/>
    </row>
    <row r="10" spans="2:5" ht="19.399999999999999" customHeight="1" x14ac:dyDescent="0.35">
      <c r="B10" s="1193" t="s">
        <v>364</v>
      </c>
      <c r="C10" s="1194" t="s">
        <v>365</v>
      </c>
      <c r="D10" s="1195" t="s">
        <v>296</v>
      </c>
      <c r="E10" s="1195" t="s">
        <v>366</v>
      </c>
    </row>
    <row r="11" spans="2:5" ht="64.400000000000006" customHeight="1" x14ac:dyDescent="0.35">
      <c r="B11" s="1746" t="s">
        <v>367</v>
      </c>
      <c r="C11" s="547" t="s">
        <v>368</v>
      </c>
      <c r="D11" s="666" t="s">
        <v>1515</v>
      </c>
      <c r="E11" s="627" t="s">
        <v>369</v>
      </c>
    </row>
    <row r="12" spans="2:5" ht="64.400000000000006" customHeight="1" x14ac:dyDescent="0.35">
      <c r="B12" s="1748"/>
      <c r="C12" s="548" t="s">
        <v>370</v>
      </c>
      <c r="D12" s="666" t="s">
        <v>1516</v>
      </c>
      <c r="E12" s="628" t="s">
        <v>369</v>
      </c>
    </row>
    <row r="13" spans="2:5" ht="43.4" customHeight="1" x14ac:dyDescent="0.35">
      <c r="B13" s="1746" t="s">
        <v>371</v>
      </c>
      <c r="C13" s="547" t="s">
        <v>372</v>
      </c>
      <c r="D13" s="666" t="s">
        <v>1517</v>
      </c>
      <c r="E13" s="627" t="s">
        <v>373</v>
      </c>
    </row>
    <row r="14" spans="2:5" ht="43.4" customHeight="1" x14ac:dyDescent="0.35">
      <c r="B14" s="1747"/>
      <c r="C14" s="546" t="s">
        <v>374</v>
      </c>
      <c r="D14" s="666" t="s">
        <v>1518</v>
      </c>
      <c r="E14" s="629" t="s">
        <v>375</v>
      </c>
    </row>
    <row r="15" spans="2:5" ht="43.4" customHeight="1" x14ac:dyDescent="0.35">
      <c r="B15" s="1748"/>
      <c r="C15" s="548" t="s">
        <v>376</v>
      </c>
      <c r="D15" s="666" t="s">
        <v>1518</v>
      </c>
      <c r="E15" s="628" t="s">
        <v>377</v>
      </c>
    </row>
    <row r="16" spans="2:5" ht="33" customHeight="1" x14ac:dyDescent="0.35">
      <c r="B16" s="1746" t="s">
        <v>378</v>
      </c>
      <c r="C16" s="547" t="s">
        <v>379</v>
      </c>
      <c r="D16" s="666" t="s">
        <v>1519</v>
      </c>
      <c r="E16" s="627" t="s">
        <v>380</v>
      </c>
    </row>
    <row r="17" spans="2:11" ht="25.4" customHeight="1" x14ac:dyDescent="0.35">
      <c r="B17" s="1747"/>
      <c r="C17" s="546" t="s">
        <v>381</v>
      </c>
      <c r="D17" s="666" t="s">
        <v>1519</v>
      </c>
      <c r="E17" s="629" t="s">
        <v>380</v>
      </c>
      <c r="K17" s="501"/>
    </row>
    <row r="18" spans="2:11" ht="40.5" customHeight="1" x14ac:dyDescent="0.35">
      <c r="B18" s="1748"/>
      <c r="C18" s="548" t="s">
        <v>382</v>
      </c>
      <c r="D18" s="666" t="s">
        <v>1519</v>
      </c>
      <c r="E18" s="628" t="s">
        <v>383</v>
      </c>
    </row>
    <row r="19" spans="2:11" ht="43.5" customHeight="1" x14ac:dyDescent="0.35">
      <c r="B19" s="1746" t="s">
        <v>384</v>
      </c>
      <c r="C19" s="547" t="s">
        <v>385</v>
      </c>
      <c r="D19" s="666" t="s">
        <v>1520</v>
      </c>
      <c r="E19" s="627" t="s">
        <v>386</v>
      </c>
    </row>
    <row r="20" spans="2:11" ht="43.5" customHeight="1" x14ac:dyDescent="0.35">
      <c r="B20" s="1747"/>
      <c r="C20" s="546" t="s">
        <v>387</v>
      </c>
      <c r="D20" s="666" t="s">
        <v>1521</v>
      </c>
      <c r="E20" s="629" t="s">
        <v>386</v>
      </c>
    </row>
    <row r="21" spans="2:11" ht="43.5" customHeight="1" x14ac:dyDescent="0.35">
      <c r="B21" s="1748"/>
      <c r="C21" s="548" t="s">
        <v>388</v>
      </c>
      <c r="D21" s="666" t="s">
        <v>1520</v>
      </c>
      <c r="E21" s="628" t="s">
        <v>389</v>
      </c>
    </row>
  </sheetData>
  <sheetProtection algorithmName="SHA-512" hashValue="R+Ec7EZ4i9bCA1XWtHV324kyTV7KFl2V38Fevf0EqBO9IJJmvsgC2kUxKBhOzGF0Xmns41ngKKoLG3Bb+u/SOA==" saltValue="oFU6fI2GzUPdbZ4fsNjwsQ==" spinCount="100000" sheet="1" objects="1" scenarios="1"/>
  <mergeCells count="6">
    <mergeCell ref="B13:B15"/>
    <mergeCell ref="B11:B12"/>
    <mergeCell ref="B16:B18"/>
    <mergeCell ref="B19:B21"/>
    <mergeCell ref="B2:D2"/>
    <mergeCell ref="B4:E4"/>
  </mergeCells>
  <phoneticPr fontId="3" type="noConversion"/>
  <pageMargins left="0.70866141732283472" right="0.70866141732283472" top="0.74803149606299213" bottom="0.74803149606299213" header="0.31496062992125984" footer="0.31496062992125984"/>
  <pageSetup paperSize="9" scale="6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FD982-80FE-4EEB-B723-5514EEE85F71}">
  <sheetPr codeName="Sheet12">
    <pageSetUpPr fitToPage="1"/>
  </sheetPr>
  <dimension ref="B2:K39"/>
  <sheetViews>
    <sheetView zoomScale="90" zoomScaleNormal="90" workbookViewId="0"/>
  </sheetViews>
  <sheetFormatPr defaultColWidth="8.54296875" defaultRowHeight="13.5" x14ac:dyDescent="0.35"/>
  <cols>
    <col min="1" max="1" width="3.54296875" style="58" customWidth="1"/>
    <col min="2" max="2" width="44.453125" style="58" customWidth="1"/>
    <col min="3" max="3" width="68.453125" style="58" customWidth="1"/>
    <col min="4" max="4" width="15.453125" style="58" bestFit="1" customWidth="1"/>
    <col min="5" max="5" width="32.453125" style="58" bestFit="1" customWidth="1"/>
    <col min="6" max="6" width="61.453125" style="58" customWidth="1"/>
    <col min="7" max="16384" width="8.54296875" style="58"/>
  </cols>
  <sheetData>
    <row r="2" spans="2:6" ht="24.5" x14ac:dyDescent="0.35">
      <c r="B2" s="1749" t="s">
        <v>18</v>
      </c>
      <c r="C2" s="1749"/>
      <c r="D2" s="1749"/>
    </row>
    <row r="3" spans="2:6" x14ac:dyDescent="0.35">
      <c r="B3" s="561"/>
      <c r="C3" s="561"/>
      <c r="D3" s="561"/>
    </row>
    <row r="4" spans="2:6" ht="15" x14ac:dyDescent="0.35">
      <c r="B4" s="810" t="s">
        <v>292</v>
      </c>
      <c r="C4" s="561"/>
      <c r="D4" s="561"/>
    </row>
    <row r="5" spans="2:6" x14ac:dyDescent="0.35">
      <c r="B5" s="561"/>
      <c r="C5" s="561"/>
      <c r="D5" s="561"/>
    </row>
    <row r="6" spans="2:6" x14ac:dyDescent="0.35">
      <c r="B6" s="725" t="s">
        <v>51</v>
      </c>
      <c r="C6" s="8"/>
      <c r="D6" s="8"/>
    </row>
    <row r="7" spans="2:6" x14ac:dyDescent="0.35">
      <c r="B7" s="5" t="s">
        <v>52</v>
      </c>
      <c r="C7" s="8"/>
      <c r="D7" s="8"/>
    </row>
    <row r="8" spans="2:6" x14ac:dyDescent="0.35">
      <c r="B8" s="5" t="s">
        <v>53</v>
      </c>
      <c r="C8" s="8"/>
      <c r="D8" s="8"/>
    </row>
    <row r="9" spans="2:6" x14ac:dyDescent="0.35">
      <c r="B9" s="5"/>
      <c r="C9" s="8"/>
      <c r="D9" s="8"/>
    </row>
    <row r="10" spans="2:6" x14ac:dyDescent="0.35">
      <c r="B10" s="570" t="s">
        <v>293</v>
      </c>
      <c r="C10" s="1267" t="s">
        <v>294</v>
      </c>
      <c r="D10" s="1267" t="s">
        <v>295</v>
      </c>
      <c r="E10" s="1268" t="s">
        <v>296</v>
      </c>
      <c r="F10" s="705" t="s">
        <v>297</v>
      </c>
    </row>
    <row r="11" spans="2:6" ht="54" x14ac:dyDescent="0.35">
      <c r="B11" s="1761" t="s">
        <v>298</v>
      </c>
      <c r="C11" s="720" t="s">
        <v>299</v>
      </c>
      <c r="D11" s="811" t="s">
        <v>300</v>
      </c>
      <c r="E11" s="812" t="s">
        <v>169</v>
      </c>
      <c r="F11" s="767" t="s">
        <v>301</v>
      </c>
    </row>
    <row r="12" spans="2:6" ht="14.9" customHeight="1" x14ac:dyDescent="0.35">
      <c r="B12" s="1761"/>
      <c r="C12" s="1703" t="s">
        <v>302</v>
      </c>
      <c r="D12" s="1762" t="s">
        <v>303</v>
      </c>
      <c r="E12" s="812" t="s">
        <v>1510</v>
      </c>
      <c r="F12" s="1666"/>
    </row>
    <row r="13" spans="2:6" ht="27" x14ac:dyDescent="0.35">
      <c r="B13" s="1761"/>
      <c r="C13" s="1703"/>
      <c r="D13" s="1762"/>
      <c r="E13" s="1448" t="s">
        <v>304</v>
      </c>
      <c r="F13" s="1667"/>
    </row>
    <row r="14" spans="2:6" ht="81" x14ac:dyDescent="0.35">
      <c r="B14" s="814" t="s">
        <v>305</v>
      </c>
      <c r="C14" s="767" t="s">
        <v>306</v>
      </c>
      <c r="D14" s="764" t="s">
        <v>307</v>
      </c>
      <c r="E14" s="785" t="s">
        <v>169</v>
      </c>
      <c r="F14" s="633" t="s">
        <v>308</v>
      </c>
    </row>
    <row r="15" spans="2:6" ht="28" x14ac:dyDescent="0.35">
      <c r="B15" s="815" t="s">
        <v>309</v>
      </c>
      <c r="C15" s="767" t="s">
        <v>310</v>
      </c>
      <c r="D15" s="811" t="s">
        <v>311</v>
      </c>
      <c r="E15" s="708" t="s">
        <v>1511</v>
      </c>
      <c r="F15" s="813"/>
    </row>
    <row r="16" spans="2:6" ht="27" x14ac:dyDescent="0.35">
      <c r="B16" s="1760" t="s">
        <v>312</v>
      </c>
      <c r="C16" s="767" t="s">
        <v>313</v>
      </c>
      <c r="D16" s="811" t="s">
        <v>314</v>
      </c>
      <c r="E16" s="708" t="s">
        <v>1483</v>
      </c>
      <c r="F16" s="813"/>
    </row>
    <row r="17" spans="2:11" ht="27" x14ac:dyDescent="0.35">
      <c r="B17" s="1760"/>
      <c r="C17" s="767" t="s">
        <v>315</v>
      </c>
      <c r="D17" s="811" t="s">
        <v>316</v>
      </c>
      <c r="E17" s="708" t="s">
        <v>1483</v>
      </c>
      <c r="F17" s="813"/>
    </row>
    <row r="18" spans="2:11" ht="27" x14ac:dyDescent="0.35">
      <c r="B18" s="1760"/>
      <c r="C18" s="720" t="s">
        <v>317</v>
      </c>
      <c r="D18" s="811" t="s">
        <v>318</v>
      </c>
      <c r="E18" s="708" t="s">
        <v>1512</v>
      </c>
      <c r="F18" s="813"/>
      <c r="K18" s="500"/>
    </row>
    <row r="19" spans="2:11" ht="27" x14ac:dyDescent="0.35">
      <c r="B19" s="815" t="s">
        <v>319</v>
      </c>
      <c r="C19" s="720" t="s">
        <v>320</v>
      </c>
      <c r="D19" s="811" t="s">
        <v>321</v>
      </c>
      <c r="E19" s="708" t="s">
        <v>1483</v>
      </c>
      <c r="F19" s="813"/>
    </row>
    <row r="20" spans="2:11" ht="16.25" customHeight="1" x14ac:dyDescent="0.35">
      <c r="B20" s="1754" t="s">
        <v>322</v>
      </c>
      <c r="C20" s="1668" t="s">
        <v>323</v>
      </c>
      <c r="D20" s="1766" t="s">
        <v>324</v>
      </c>
      <c r="E20" s="708" t="s">
        <v>1552</v>
      </c>
      <c r="F20" s="1751"/>
    </row>
    <row r="21" spans="2:11" ht="30" customHeight="1" x14ac:dyDescent="0.35">
      <c r="B21" s="1755"/>
      <c r="C21" s="1765"/>
      <c r="D21" s="1767"/>
      <c r="E21" s="766" t="s">
        <v>252</v>
      </c>
      <c r="F21" s="1752"/>
    </row>
    <row r="22" spans="2:11" ht="44.4" customHeight="1" x14ac:dyDescent="0.35">
      <c r="B22" s="1756"/>
      <c r="C22" s="1669"/>
      <c r="D22" s="1768"/>
      <c r="E22" s="1449" t="s">
        <v>101</v>
      </c>
      <c r="F22" s="1753"/>
    </row>
    <row r="23" spans="2:11" ht="27" x14ac:dyDescent="0.35">
      <c r="B23" s="1760" t="s">
        <v>325</v>
      </c>
      <c r="C23" s="720" t="s">
        <v>326</v>
      </c>
      <c r="D23" s="811" t="s">
        <v>327</v>
      </c>
      <c r="E23" s="708" t="s">
        <v>1513</v>
      </c>
      <c r="F23" s="813"/>
    </row>
    <row r="24" spans="2:11" ht="28.25" customHeight="1" x14ac:dyDescent="0.35">
      <c r="B24" s="1760"/>
      <c r="C24" s="1649" t="s">
        <v>328</v>
      </c>
      <c r="D24" s="1763" t="s">
        <v>329</v>
      </c>
      <c r="E24" s="708" t="s">
        <v>1496</v>
      </c>
      <c r="F24" s="1757"/>
    </row>
    <row r="25" spans="2:11" ht="31.75" customHeight="1" x14ac:dyDescent="0.35">
      <c r="B25" s="1760"/>
      <c r="C25" s="1650"/>
      <c r="D25" s="1764"/>
      <c r="E25" s="789" t="s">
        <v>209</v>
      </c>
      <c r="F25" s="1758"/>
    </row>
    <row r="26" spans="2:11" ht="73.5" customHeight="1" x14ac:dyDescent="0.35">
      <c r="B26" s="817" t="s">
        <v>330</v>
      </c>
      <c r="C26" s="767" t="s">
        <v>331</v>
      </c>
      <c r="D26" s="764" t="s">
        <v>332</v>
      </c>
      <c r="E26" s="818" t="s">
        <v>333</v>
      </c>
      <c r="F26" s="633" t="s">
        <v>1527</v>
      </c>
    </row>
    <row r="27" spans="2:11" ht="106.4" customHeight="1" x14ac:dyDescent="0.35">
      <c r="B27" s="1760" t="s">
        <v>334</v>
      </c>
      <c r="C27" s="720" t="s">
        <v>335</v>
      </c>
      <c r="D27" s="811" t="s">
        <v>336</v>
      </c>
      <c r="E27" s="818" t="s">
        <v>333</v>
      </c>
      <c r="F27" s="503" t="s">
        <v>337</v>
      </c>
    </row>
    <row r="28" spans="2:11" ht="162" x14ac:dyDescent="0.35">
      <c r="B28" s="1760"/>
      <c r="C28" s="720" t="s">
        <v>338</v>
      </c>
      <c r="D28" s="811" t="s">
        <v>339</v>
      </c>
      <c r="E28" s="818" t="s">
        <v>333</v>
      </c>
      <c r="F28" s="503" t="s">
        <v>340</v>
      </c>
    </row>
    <row r="29" spans="2:11" ht="94.5" x14ac:dyDescent="0.35">
      <c r="B29" s="817" t="s">
        <v>341</v>
      </c>
      <c r="C29" s="720" t="s">
        <v>342</v>
      </c>
      <c r="D29" s="811" t="s">
        <v>343</v>
      </c>
      <c r="E29" s="763" t="s">
        <v>344</v>
      </c>
      <c r="F29" s="710" t="s">
        <v>345</v>
      </c>
    </row>
    <row r="30" spans="2:11" ht="46.25" customHeight="1" x14ac:dyDescent="0.35">
      <c r="B30" s="817" t="s">
        <v>346</v>
      </c>
      <c r="C30" s="720" t="s">
        <v>347</v>
      </c>
      <c r="D30" s="811" t="s">
        <v>348</v>
      </c>
      <c r="E30" s="1449" t="s">
        <v>91</v>
      </c>
      <c r="F30" s="813"/>
    </row>
    <row r="31" spans="2:11" ht="28" x14ac:dyDescent="0.35">
      <c r="B31" s="1760" t="s">
        <v>349</v>
      </c>
      <c r="C31" s="720" t="s">
        <v>350</v>
      </c>
      <c r="D31" s="811" t="s">
        <v>351</v>
      </c>
      <c r="E31" s="708" t="s">
        <v>1514</v>
      </c>
      <c r="F31" s="813"/>
    </row>
    <row r="32" spans="2:11" ht="16.25" customHeight="1" x14ac:dyDescent="0.35">
      <c r="B32" s="1760"/>
      <c r="C32" s="720" t="s">
        <v>352</v>
      </c>
      <c r="D32" s="811" t="s">
        <v>353</v>
      </c>
      <c r="E32" s="763" t="s">
        <v>354</v>
      </c>
      <c r="F32" s="813"/>
    </row>
    <row r="33" spans="2:6" ht="16.25" customHeight="1" x14ac:dyDescent="0.35">
      <c r="B33" s="817" t="s">
        <v>355</v>
      </c>
      <c r="C33" s="720" t="s">
        <v>356</v>
      </c>
      <c r="D33" s="811" t="s">
        <v>357</v>
      </c>
      <c r="E33" s="763" t="s">
        <v>169</v>
      </c>
      <c r="F33" s="813"/>
    </row>
    <row r="34" spans="2:6" x14ac:dyDescent="0.35">
      <c r="B34" s="90"/>
      <c r="C34" s="90"/>
      <c r="D34" s="90"/>
      <c r="E34" s="90"/>
    </row>
    <row r="35" spans="2:6" x14ac:dyDescent="0.35">
      <c r="B35" s="1759" t="s">
        <v>358</v>
      </c>
      <c r="C35" s="1759"/>
      <c r="D35" s="1759"/>
      <c r="E35" s="1759"/>
    </row>
    <row r="36" spans="2:6" x14ac:dyDescent="0.35">
      <c r="B36" s="1759" t="s">
        <v>359</v>
      </c>
      <c r="C36" s="1759"/>
      <c r="D36" s="1759"/>
      <c r="E36" s="1759"/>
      <c r="F36" s="1759"/>
    </row>
    <row r="37" spans="2:6" x14ac:dyDescent="0.35">
      <c r="B37" s="1759" t="s">
        <v>360</v>
      </c>
      <c r="C37" s="1759"/>
      <c r="D37" s="1759"/>
      <c r="E37" s="1759"/>
    </row>
    <row r="38" spans="2:6" x14ac:dyDescent="0.35">
      <c r="B38" s="1759" t="s">
        <v>361</v>
      </c>
      <c r="C38" s="1759"/>
      <c r="D38" s="1759"/>
      <c r="E38" s="1759"/>
    </row>
    <row r="39" spans="2:6" x14ac:dyDescent="0.35">
      <c r="B39" s="1759" t="s">
        <v>362</v>
      </c>
      <c r="C39" s="1759"/>
      <c r="D39" s="1759"/>
      <c r="E39" s="1759"/>
      <c r="F39" s="1759"/>
    </row>
  </sheetData>
  <sheetProtection algorithmName="SHA-512" hashValue="7hUnswJfvcPYPpjGEKjumv0483S9A0R7NLlqgpd/F3yYtlFeb79FcxDCLP1PgDX1Na1E5vg9bFkp2+Y2LqFLPw==" saltValue="lp2L7dtZY15+JTvJmb+wIQ==" spinCount="100000" sheet="1" objects="1" scenarios="1"/>
  <mergeCells count="21">
    <mergeCell ref="B2:D2"/>
    <mergeCell ref="B11:B13"/>
    <mergeCell ref="B16:B18"/>
    <mergeCell ref="B23:B25"/>
    <mergeCell ref="B27:B28"/>
    <mergeCell ref="C12:C13"/>
    <mergeCell ref="D12:D13"/>
    <mergeCell ref="C24:C25"/>
    <mergeCell ref="D24:D25"/>
    <mergeCell ref="C20:C22"/>
    <mergeCell ref="D20:D22"/>
    <mergeCell ref="F20:F22"/>
    <mergeCell ref="F12:F13"/>
    <mergeCell ref="B20:B22"/>
    <mergeCell ref="F24:F25"/>
    <mergeCell ref="B39:F39"/>
    <mergeCell ref="B31:B32"/>
    <mergeCell ref="B35:E35"/>
    <mergeCell ref="B37:E37"/>
    <mergeCell ref="B38:E38"/>
    <mergeCell ref="B36:F36"/>
  </mergeCells>
  <hyperlinks>
    <hyperlink ref="E13" r:id="rId1" xr:uid="{574E88B1-C392-478A-9EFD-98D4E4221499}"/>
    <hyperlink ref="E21" r:id="rId2" xr:uid="{F088FDBB-DA9E-4ACC-A462-F26321C16B99}"/>
    <hyperlink ref="E25" r:id="rId3" xr:uid="{7B56F580-6709-40CF-9490-827AE87E8B00}"/>
    <hyperlink ref="E22" r:id="rId4" xr:uid="{290FDB13-5B4A-4E3E-B65E-CABB50A1FEA8}"/>
    <hyperlink ref="E30" r:id="rId5" location="Policies" xr:uid="{FD00B81E-1A21-43B2-8C0C-2CA3D4D11D01}"/>
  </hyperlinks>
  <pageMargins left="0.70866141732283472" right="0.70866141732283472" top="0.74803149606299213" bottom="0.74803149606299213" header="0.31496062992125984" footer="0.31496062992125984"/>
  <pageSetup paperSize="9" scale="39" orientation="portrait" r:id="rId6"/>
  <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2:M29"/>
  <sheetViews>
    <sheetView zoomScale="90" zoomScaleNormal="90" workbookViewId="0"/>
  </sheetViews>
  <sheetFormatPr defaultColWidth="8.54296875" defaultRowHeight="13.5" x14ac:dyDescent="0.35"/>
  <cols>
    <col min="1" max="1" width="3.54296875" style="448" customWidth="1"/>
    <col min="2" max="2" width="16.54296875" style="448" customWidth="1"/>
    <col min="3" max="3" width="47.453125" style="448" customWidth="1"/>
    <col min="4" max="4" width="56.54296875" style="448" customWidth="1"/>
    <col min="5" max="5" width="65" style="723" hidden="1" customWidth="1"/>
    <col min="6" max="6" width="65" style="724" hidden="1" customWidth="1"/>
    <col min="7" max="7" width="35.54296875" style="448" customWidth="1"/>
    <col min="8" max="8" width="52.453125" style="448" customWidth="1"/>
    <col min="9" max="9" width="50.453125" style="448" customWidth="1"/>
    <col min="10" max="10" width="9.54296875" style="448" bestFit="1" customWidth="1"/>
    <col min="11" max="12" width="8.54296875" style="448"/>
    <col min="13" max="13" width="10.54296875" style="448" bestFit="1" customWidth="1"/>
    <col min="14" max="16384" width="8.54296875" style="448"/>
  </cols>
  <sheetData>
    <row r="2" spans="2:9" ht="24.5" x14ac:dyDescent="0.35">
      <c r="B2" s="1749" t="s">
        <v>390</v>
      </c>
      <c r="C2" s="1749"/>
      <c r="D2" s="1749"/>
      <c r="E2" s="1749"/>
      <c r="F2" s="1749"/>
    </row>
    <row r="4" spans="2:9" x14ac:dyDescent="0.35">
      <c r="B4" s="725" t="s">
        <v>51</v>
      </c>
    </row>
    <row r="5" spans="2:9" x14ac:dyDescent="0.35">
      <c r="B5" s="5" t="s">
        <v>52</v>
      </c>
      <c r="C5" s="501"/>
    </row>
    <row r="6" spans="2:9" x14ac:dyDescent="0.35">
      <c r="B6" s="5" t="s">
        <v>53</v>
      </c>
      <c r="C6" s="501"/>
    </row>
    <row r="8" spans="2:9" s="498" customFormat="1" ht="17.899999999999999" customHeight="1" x14ac:dyDescent="0.35">
      <c r="B8" s="704" t="s">
        <v>391</v>
      </c>
      <c r="C8" s="704" t="s">
        <v>392</v>
      </c>
      <c r="D8" s="704" t="s">
        <v>393</v>
      </c>
      <c r="E8" s="704" t="s">
        <v>391</v>
      </c>
      <c r="F8" s="704" t="s">
        <v>391</v>
      </c>
      <c r="G8" s="705" t="s">
        <v>296</v>
      </c>
      <c r="H8" s="705" t="s">
        <v>297</v>
      </c>
    </row>
    <row r="9" spans="2:9" ht="27" x14ac:dyDescent="0.35">
      <c r="B9" s="1769" t="s">
        <v>158</v>
      </c>
      <c r="C9" s="1774" t="s">
        <v>394</v>
      </c>
      <c r="D9" s="502" t="s">
        <v>395</v>
      </c>
      <c r="E9" s="706"/>
      <c r="F9" s="1770" t="s">
        <v>396</v>
      </c>
      <c r="G9" s="708" t="s">
        <v>1522</v>
      </c>
      <c r="H9" s="1227" t="str">
        <f>TEXT(ROUNDDOWN(Environment!D11,0),"#,###")&amp;" tonnes CO₂e"</f>
        <v>217,951 tonnes CO₂e</v>
      </c>
    </row>
    <row r="10" spans="2:9" ht="27" x14ac:dyDescent="0.35">
      <c r="B10" s="1769"/>
      <c r="C10" s="1774"/>
      <c r="D10" s="502" t="s">
        <v>397</v>
      </c>
      <c r="E10" s="706"/>
      <c r="F10" s="1770"/>
      <c r="G10" s="708" t="s">
        <v>1522</v>
      </c>
      <c r="H10" s="1227" t="str">
        <f>TEXT(ROUNDDOWN(Environment!D12,0),"#,###")&amp;" tonnes CO₂e"</f>
        <v>18,908 tonnes CO₂e</v>
      </c>
      <c r="I10" s="726"/>
    </row>
    <row r="11" spans="2:9" ht="27" x14ac:dyDescent="0.35">
      <c r="B11" s="1769"/>
      <c r="C11" s="1774"/>
      <c r="D11" s="502" t="s">
        <v>398</v>
      </c>
      <c r="E11" s="706"/>
      <c r="F11" s="1770"/>
      <c r="G11" s="708" t="s">
        <v>1522</v>
      </c>
      <c r="H11" s="1227" t="str">
        <f>TEXT(ROUND(Environment!D36,0),"#,###")&amp;" tonnes CO₂e"</f>
        <v>3,219,886 tonnes CO₂e</v>
      </c>
    </row>
    <row r="12" spans="2:9" ht="31.4" customHeight="1" x14ac:dyDescent="0.35">
      <c r="B12" s="1769"/>
      <c r="C12" s="1774"/>
      <c r="D12" s="502" t="s">
        <v>399</v>
      </c>
      <c r="E12" s="706"/>
      <c r="F12" s="1770"/>
      <c r="G12" s="708" t="s">
        <v>1523</v>
      </c>
      <c r="H12" s="1227" t="str">
        <f>TEXT(ROUND(Environment!D43,0),"#,###")&amp;" tonnes CO₂e"</f>
        <v>3,456,745 tonnes CO₂e</v>
      </c>
      <c r="I12" s="727"/>
    </row>
    <row r="13" spans="2:9" ht="54" hidden="1" customHeight="1" x14ac:dyDescent="0.35">
      <c r="B13" s="1769"/>
      <c r="C13" s="706" t="s">
        <v>400</v>
      </c>
      <c r="D13" s="706" t="s">
        <v>400</v>
      </c>
      <c r="E13" s="706"/>
      <c r="F13" s="707" t="s">
        <v>401</v>
      </c>
      <c r="G13" s="709"/>
      <c r="H13" s="1050" t="e">
        <f>TEXT(ROUNDUP(#REF!,0),"#,###")&amp;" tonnes CO₂e"</f>
        <v>#REF!</v>
      </c>
    </row>
    <row r="14" spans="2:9" ht="31.4" customHeight="1" x14ac:dyDescent="0.35">
      <c r="B14" s="1769"/>
      <c r="C14" s="710" t="s">
        <v>402</v>
      </c>
      <c r="D14" s="502" t="s">
        <v>403</v>
      </c>
      <c r="E14" s="706"/>
      <c r="F14" s="707" t="s">
        <v>404</v>
      </c>
      <c r="G14" s="708" t="s">
        <v>169</v>
      </c>
      <c r="H14" s="1227" t="str">
        <f>TEXT(Environment!D45,"0.0")&amp;" tonnes CO₂e/£ million revenue"</f>
        <v>263.5 tonnes CO₂e/£ million revenue</v>
      </c>
      <c r="I14" s="728"/>
    </row>
    <row r="15" spans="2:9" ht="31.4" customHeight="1" x14ac:dyDescent="0.35">
      <c r="B15" s="1769"/>
      <c r="C15" s="711" t="s">
        <v>405</v>
      </c>
      <c r="D15" s="711" t="s">
        <v>406</v>
      </c>
      <c r="E15" s="712" t="s">
        <v>407</v>
      </c>
      <c r="F15" s="713" t="s">
        <v>408</v>
      </c>
      <c r="G15" s="708" t="s">
        <v>1524</v>
      </c>
      <c r="H15" s="1418" t="s">
        <v>1546</v>
      </c>
      <c r="I15" s="1272"/>
    </row>
    <row r="16" spans="2:9" ht="34.5" customHeight="1" x14ac:dyDescent="0.35">
      <c r="B16" s="1769"/>
      <c r="C16" s="710" t="s">
        <v>409</v>
      </c>
      <c r="D16" s="710" t="s">
        <v>410</v>
      </c>
      <c r="E16" s="714" t="s">
        <v>411</v>
      </c>
      <c r="F16" s="707" t="s">
        <v>412</v>
      </c>
      <c r="G16" s="708" t="s">
        <v>169</v>
      </c>
      <c r="H16" s="1216" t="s">
        <v>1526</v>
      </c>
      <c r="I16" s="729"/>
    </row>
    <row r="17" spans="2:13" ht="30" customHeight="1" x14ac:dyDescent="0.35">
      <c r="B17" s="1769"/>
      <c r="C17" s="710" t="s">
        <v>413</v>
      </c>
      <c r="D17" s="710" t="s">
        <v>414</v>
      </c>
      <c r="E17" s="715" t="s">
        <v>415</v>
      </c>
      <c r="F17" s="716" t="s">
        <v>416</v>
      </c>
      <c r="G17" s="708" t="s">
        <v>169</v>
      </c>
      <c r="H17" s="1227" t="s">
        <v>417</v>
      </c>
    </row>
    <row r="18" spans="2:13" ht="61.4" customHeight="1" x14ac:dyDescent="0.35">
      <c r="B18" s="717" t="s">
        <v>39</v>
      </c>
      <c r="C18" s="710" t="s">
        <v>418</v>
      </c>
      <c r="D18" s="710" t="s">
        <v>419</v>
      </c>
      <c r="E18" s="718" t="s">
        <v>420</v>
      </c>
      <c r="F18" s="707" t="s">
        <v>421</v>
      </c>
      <c r="G18" s="719" t="s">
        <v>422</v>
      </c>
      <c r="H18" s="1216" t="s">
        <v>423</v>
      </c>
    </row>
    <row r="19" spans="2:13" ht="81" x14ac:dyDescent="0.35">
      <c r="B19" s="717" t="s">
        <v>38</v>
      </c>
      <c r="C19" s="720" t="s">
        <v>424</v>
      </c>
      <c r="D19" s="710" t="s">
        <v>425</v>
      </c>
      <c r="E19" s="718" t="s">
        <v>426</v>
      </c>
      <c r="F19" s="707" t="s">
        <v>427</v>
      </c>
      <c r="G19" s="708" t="s">
        <v>169</v>
      </c>
      <c r="H19" s="1216" t="s">
        <v>428</v>
      </c>
      <c r="L19" s="730"/>
    </row>
    <row r="20" spans="2:13" ht="38.15" customHeight="1" x14ac:dyDescent="0.35">
      <c r="B20" s="717" t="s">
        <v>170</v>
      </c>
      <c r="C20" s="710" t="s">
        <v>429</v>
      </c>
      <c r="D20" s="710" t="s">
        <v>430</v>
      </c>
      <c r="E20" s="718" t="s">
        <v>431</v>
      </c>
      <c r="F20" s="707" t="s">
        <v>432</v>
      </c>
      <c r="G20" s="708" t="s">
        <v>169</v>
      </c>
      <c r="H20" s="1216" t="str">
        <f>TEXT(ROUNDDOWN(Environment!D120,0),"#,###")&amp;" tonnes"</f>
        <v>40,557 tonnes</v>
      </c>
    </row>
    <row r="21" spans="2:13" ht="57" customHeight="1" x14ac:dyDescent="0.35">
      <c r="B21" s="1771" t="s">
        <v>433</v>
      </c>
      <c r="C21" s="710" t="s">
        <v>434</v>
      </c>
      <c r="D21" s="710" t="s">
        <v>434</v>
      </c>
      <c r="E21" s="721"/>
      <c r="F21" s="707" t="s">
        <v>435</v>
      </c>
      <c r="G21" s="722"/>
      <c r="H21" s="1216" t="s">
        <v>436</v>
      </c>
    </row>
    <row r="22" spans="2:13" ht="37.4" customHeight="1" x14ac:dyDescent="0.35">
      <c r="B22" s="1771"/>
      <c r="C22" s="1772" t="s">
        <v>437</v>
      </c>
      <c r="D22" s="1772" t="s">
        <v>438</v>
      </c>
      <c r="E22" s="721"/>
      <c r="F22" s="707" t="s">
        <v>439</v>
      </c>
      <c r="G22" s="1775" t="s">
        <v>440</v>
      </c>
      <c r="H22" s="1773" t="s">
        <v>441</v>
      </c>
      <c r="M22" s="731"/>
    </row>
    <row r="23" spans="2:13" ht="34.5" customHeight="1" x14ac:dyDescent="0.35">
      <c r="B23" s="1771"/>
      <c r="C23" s="1772"/>
      <c r="D23" s="1772"/>
      <c r="E23" s="721"/>
      <c r="F23" s="707"/>
      <c r="G23" s="1775"/>
      <c r="H23" s="1773"/>
      <c r="M23" s="731"/>
    </row>
    <row r="24" spans="2:13" ht="25.5" customHeight="1" x14ac:dyDescent="0.35">
      <c r="B24" s="1771"/>
      <c r="C24" s="1772" t="s">
        <v>442</v>
      </c>
      <c r="D24" s="1772" t="s">
        <v>443</v>
      </c>
      <c r="E24" s="721"/>
      <c r="F24" s="707" t="s">
        <v>444</v>
      </c>
      <c r="G24" s="1776" t="s">
        <v>445</v>
      </c>
      <c r="H24" s="1773" t="s">
        <v>446</v>
      </c>
    </row>
    <row r="25" spans="2:13" ht="25.5" customHeight="1" x14ac:dyDescent="0.35">
      <c r="B25" s="1771"/>
      <c r="C25" s="1772"/>
      <c r="D25" s="1772"/>
      <c r="E25" s="721"/>
      <c r="F25" s="707"/>
      <c r="G25" s="1777"/>
      <c r="H25" s="1773"/>
    </row>
    <row r="26" spans="2:13" ht="37.5" customHeight="1" x14ac:dyDescent="0.35">
      <c r="B26" s="1771"/>
      <c r="C26" s="710" t="s">
        <v>447</v>
      </c>
      <c r="D26" s="710" t="s">
        <v>448</v>
      </c>
      <c r="E26" s="721"/>
      <c r="F26" s="707" t="s">
        <v>449</v>
      </c>
      <c r="G26" s="708" t="s">
        <v>1525</v>
      </c>
      <c r="H26" s="1216" t="s">
        <v>450</v>
      </c>
    </row>
    <row r="27" spans="2:13" ht="46.5" customHeight="1" x14ac:dyDescent="0.35">
      <c r="B27" s="1771"/>
      <c r="C27" s="710" t="s">
        <v>451</v>
      </c>
      <c r="D27" s="710" t="s">
        <v>452</v>
      </c>
      <c r="E27" s="721"/>
      <c r="F27" s="707" t="s">
        <v>453</v>
      </c>
      <c r="G27" s="722"/>
      <c r="H27" s="1216" t="s">
        <v>454</v>
      </c>
    </row>
    <row r="28" spans="2:13" x14ac:dyDescent="0.35">
      <c r="E28" s="732"/>
      <c r="H28" s="733"/>
    </row>
    <row r="29" spans="2:13" x14ac:dyDescent="0.35">
      <c r="E29" s="732"/>
    </row>
  </sheetData>
  <sheetProtection algorithmName="SHA-512" hashValue="r9R8ZkF9TcV8ztmsk7WhilxOneaGASMGgRicYMULwXKMJTCVo95S8l38LErNoLyiwzR+GobAnthAzuKTnzgVmQ==" saltValue="T40oc7lY0wgOPVxBV/YR4Q==" spinCount="100000" sheet="1" objects="1" scenarios="1"/>
  <mergeCells count="13">
    <mergeCell ref="H24:H25"/>
    <mergeCell ref="C22:C23"/>
    <mergeCell ref="D22:D23"/>
    <mergeCell ref="H22:H23"/>
    <mergeCell ref="C9:C12"/>
    <mergeCell ref="G22:G23"/>
    <mergeCell ref="G24:G25"/>
    <mergeCell ref="B9:B17"/>
    <mergeCell ref="F9:F12"/>
    <mergeCell ref="B21:B27"/>
    <mergeCell ref="B2:F2"/>
    <mergeCell ref="C24:C25"/>
    <mergeCell ref="D24:D25"/>
  </mergeCells>
  <hyperlinks>
    <hyperlink ref="G24" r:id="rId1" display="Johnson Matthey Gender Pay Gap Report 2024" xr:uid="{56E27788-FCB8-4905-9EE0-9BB306062DAD}"/>
    <hyperlink ref="G22" r:id="rId2" xr:uid="{EC01C020-7808-4B6D-AB2F-7636701D8CA0}"/>
    <hyperlink ref="G18" r:id="rId3" display="https://matthey.com/contact-us?assetCategoryIds=&amp;sort=ddm__keyword__232321__Country" xr:uid="{90784D5D-E25B-480A-B107-1751B6F184AB}"/>
    <hyperlink ref="G24:G25" r:id="rId4" display="Johnson Matthey Gender Pay Gap Report 2025" xr:uid="{27C56B0F-A2DB-4E2A-9277-87DBA9ADC407}"/>
  </hyperlinks>
  <pageMargins left="0.70866141732283472" right="0.70866141732283472" top="0.74803149606299213" bottom="0.74803149606299213" header="0.31496062992125984" footer="0.31496062992125984"/>
  <pageSetup paperSize="9" scale="61" orientation="landscape" r:id="rId5"/>
  <drawing r:id="rId6"/>
  <legacyDrawing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A238B-A4B7-4785-97C8-68FD2F1B1373}">
  <sheetPr codeName="Sheet14">
    <pageSetUpPr fitToPage="1"/>
  </sheetPr>
  <dimension ref="B2:Z38"/>
  <sheetViews>
    <sheetView zoomScale="90" zoomScaleNormal="90" workbookViewId="0"/>
  </sheetViews>
  <sheetFormatPr defaultColWidth="8.54296875" defaultRowHeight="13.5" x14ac:dyDescent="0.35"/>
  <cols>
    <col min="1" max="1" width="3.54296875" style="58" customWidth="1"/>
    <col min="2" max="2" width="69.453125" style="58" customWidth="1"/>
    <col min="3" max="3" width="30.54296875" style="58" customWidth="1"/>
    <col min="4" max="4" width="22.1796875" style="58" bestFit="1" customWidth="1"/>
    <col min="5" max="5" width="17.81640625" style="58" bestFit="1" customWidth="1"/>
    <col min="6" max="6" width="15.54296875" style="58" customWidth="1"/>
    <col min="7" max="7" width="16.453125" style="58" customWidth="1"/>
    <col min="8" max="8" width="18.1796875" style="58" bestFit="1" customWidth="1"/>
    <col min="9" max="9" width="17.81640625" style="58" bestFit="1" customWidth="1"/>
    <col min="10" max="10" width="14.54296875" style="58" customWidth="1"/>
    <col min="11" max="11" width="12.453125" style="58" customWidth="1"/>
    <col min="12" max="12" width="12.54296875" style="58" customWidth="1"/>
    <col min="13" max="13" width="15" style="58" bestFit="1" customWidth="1"/>
    <col min="14" max="14" width="12.453125" style="58" customWidth="1"/>
    <col min="15" max="15" width="13.453125" style="58" customWidth="1"/>
    <col min="16" max="16" width="15" style="58" bestFit="1" customWidth="1"/>
    <col min="17" max="17" width="14.453125" style="58" customWidth="1"/>
    <col min="18" max="18" width="12.54296875" style="58" customWidth="1"/>
    <col min="19" max="19" width="14.54296875" style="58" customWidth="1"/>
    <col min="20" max="21" width="13.453125" style="58" customWidth="1"/>
    <col min="22" max="22" width="14.453125" style="58" customWidth="1"/>
    <col min="23" max="23" width="12.453125" style="58" customWidth="1"/>
    <col min="24" max="24" width="12.54296875" style="58" bestFit="1" customWidth="1"/>
    <col min="25" max="25" width="10.453125" style="58" customWidth="1"/>
    <col min="26" max="16384" width="8.54296875" style="58"/>
  </cols>
  <sheetData>
    <row r="2" spans="2:26" ht="24.5" x14ac:dyDescent="0.35">
      <c r="B2" s="1049" t="s">
        <v>1529</v>
      </c>
      <c r="C2" s="616"/>
      <c r="D2" s="616"/>
    </row>
    <row r="3" spans="2:26" x14ac:dyDescent="0.35">
      <c r="B3" s="561"/>
      <c r="C3" s="561"/>
      <c r="D3" s="561"/>
    </row>
    <row r="4" spans="2:26" ht="3" customHeight="1" x14ac:dyDescent="0.35">
      <c r="B4" s="1794" t="s">
        <v>1528</v>
      </c>
      <c r="C4" s="1794"/>
      <c r="D4" s="1794"/>
      <c r="E4" s="1794"/>
      <c r="F4" s="1794"/>
      <c r="G4" s="1794"/>
      <c r="H4" s="1794"/>
      <c r="I4" s="1794"/>
      <c r="J4" s="1794"/>
      <c r="K4" s="1794"/>
      <c r="L4" s="1794"/>
      <c r="M4" s="1794"/>
      <c r="N4" s="1794"/>
      <c r="O4" s="1794"/>
      <c r="P4" s="1794"/>
      <c r="Q4" s="1794"/>
      <c r="R4" s="1794"/>
    </row>
    <row r="5" spans="2:26" ht="13.5" customHeight="1" x14ac:dyDescent="0.35">
      <c r="B5" s="1794"/>
      <c r="C5" s="1794"/>
      <c r="D5" s="1794"/>
      <c r="E5" s="1794"/>
      <c r="F5" s="1794"/>
      <c r="G5" s="1794"/>
      <c r="H5" s="1794"/>
      <c r="I5" s="1794"/>
      <c r="J5" s="1794"/>
      <c r="K5" s="1794"/>
      <c r="L5" s="1794"/>
      <c r="M5" s="1794"/>
      <c r="N5" s="1794"/>
      <c r="O5" s="1794"/>
      <c r="P5" s="1794"/>
      <c r="Q5" s="1794"/>
      <c r="R5" s="1794"/>
    </row>
    <row r="6" spans="2:26" ht="59.9" customHeight="1" x14ac:dyDescent="0.35">
      <c r="B6" s="1794"/>
      <c r="C6" s="1794"/>
      <c r="D6" s="1794"/>
      <c r="E6" s="1794"/>
      <c r="F6" s="1794"/>
      <c r="G6" s="1794"/>
      <c r="H6" s="1794"/>
      <c r="I6" s="1794"/>
      <c r="J6" s="1794"/>
      <c r="K6" s="1794"/>
      <c r="L6" s="1794"/>
      <c r="M6" s="1794"/>
      <c r="N6" s="1794"/>
      <c r="O6" s="1794"/>
      <c r="P6" s="1794"/>
      <c r="Q6" s="1794"/>
      <c r="R6" s="1794"/>
    </row>
    <row r="7" spans="2:26" ht="15" x14ac:dyDescent="0.35">
      <c r="B7" s="695" t="s">
        <v>455</v>
      </c>
      <c r="C7" s="8"/>
      <c r="D7" s="8"/>
    </row>
    <row r="8" spans="2:26" ht="15" x14ac:dyDescent="0.35">
      <c r="B8" s="696" t="s">
        <v>456</v>
      </c>
      <c r="C8" s="8"/>
      <c r="D8" s="8"/>
    </row>
    <row r="9" spans="2:26" x14ac:dyDescent="0.35">
      <c r="B9" s="5"/>
      <c r="C9" s="8"/>
      <c r="D9" s="8"/>
    </row>
    <row r="10" spans="2:26" s="498" customFormat="1" ht="21" customHeight="1" x14ac:dyDescent="0.35">
      <c r="B10" s="1624" t="s">
        <v>457</v>
      </c>
      <c r="C10" s="1625" t="s">
        <v>458</v>
      </c>
      <c r="D10" s="1786" t="s">
        <v>459</v>
      </c>
      <c r="E10" s="1787"/>
      <c r="F10" s="1788"/>
      <c r="G10" s="1778" t="s">
        <v>460</v>
      </c>
      <c r="H10" s="1779"/>
      <c r="I10" s="1780"/>
      <c r="J10" s="1778" t="s">
        <v>461</v>
      </c>
      <c r="K10" s="1779"/>
      <c r="L10" s="1780"/>
      <c r="M10" s="1778" t="s">
        <v>462</v>
      </c>
      <c r="N10" s="1779"/>
      <c r="O10" s="1780"/>
      <c r="P10" s="1778" t="s">
        <v>463</v>
      </c>
      <c r="Q10" s="1779"/>
      <c r="R10" s="1780"/>
      <c r="S10" s="1778" t="s">
        <v>464</v>
      </c>
      <c r="T10" s="1779"/>
      <c r="U10" s="1780"/>
      <c r="V10" s="1778" t="s">
        <v>465</v>
      </c>
      <c r="W10" s="1779"/>
      <c r="X10" s="1779"/>
      <c r="Y10" s="1781" t="s">
        <v>466</v>
      </c>
    </row>
    <row r="11" spans="2:26" s="498" customFormat="1" ht="15" x14ac:dyDescent="0.35">
      <c r="B11" s="1624"/>
      <c r="C11" s="1625"/>
      <c r="D11" s="682" t="s">
        <v>467</v>
      </c>
      <c r="E11" s="682" t="s">
        <v>468</v>
      </c>
      <c r="F11" s="682" t="s">
        <v>469</v>
      </c>
      <c r="G11" s="682" t="s">
        <v>467</v>
      </c>
      <c r="H11" s="682" t="s">
        <v>468</v>
      </c>
      <c r="I11" s="682" t="s">
        <v>469</v>
      </c>
      <c r="J11" s="682" t="s">
        <v>467</v>
      </c>
      <c r="K11" s="682" t="s">
        <v>468</v>
      </c>
      <c r="L11" s="682" t="s">
        <v>469</v>
      </c>
      <c r="M11" s="682" t="s">
        <v>467</v>
      </c>
      <c r="N11" s="682" t="s">
        <v>468</v>
      </c>
      <c r="O11" s="682" t="s">
        <v>469</v>
      </c>
      <c r="P11" s="682" t="s">
        <v>467</v>
      </c>
      <c r="Q11" s="682" t="s">
        <v>468</v>
      </c>
      <c r="R11" s="682" t="s">
        <v>469</v>
      </c>
      <c r="S11" s="682" t="s">
        <v>467</v>
      </c>
      <c r="T11" s="682" t="s">
        <v>468</v>
      </c>
      <c r="U11" s="682" t="s">
        <v>469</v>
      </c>
      <c r="V11" s="682" t="s">
        <v>467</v>
      </c>
      <c r="W11" s="682" t="s">
        <v>468</v>
      </c>
      <c r="X11" s="683" t="s">
        <v>469</v>
      </c>
      <c r="Y11" s="1781"/>
    </row>
    <row r="12" spans="2:26" s="498" customFormat="1" ht="17" x14ac:dyDescent="0.35">
      <c r="B12" s="527" t="s">
        <v>395</v>
      </c>
      <c r="C12" s="555" t="s">
        <v>470</v>
      </c>
      <c r="D12" s="565">
        <f>Environment!D11</f>
        <v>217951</v>
      </c>
      <c r="E12" s="565">
        <v>105863</v>
      </c>
      <c r="F12" s="565">
        <f>D12-E12</f>
        <v>112088</v>
      </c>
      <c r="G12" s="528">
        <f>H12+I12</f>
        <v>225329.5</v>
      </c>
      <c r="H12" s="528">
        <v>115184.5</v>
      </c>
      <c r="I12" s="528">
        <v>110145</v>
      </c>
      <c r="J12" s="528">
        <f>K12+L12</f>
        <v>215647.08</v>
      </c>
      <c r="K12" s="528">
        <v>103157.2</v>
      </c>
      <c r="L12" s="528">
        <v>112489.87999999999</v>
      </c>
      <c r="M12" s="528">
        <f>N12+O12</f>
        <v>215165.84</v>
      </c>
      <c r="N12" s="528">
        <v>102084.39</v>
      </c>
      <c r="O12" s="528">
        <v>113081.45</v>
      </c>
      <c r="P12" s="528">
        <f>Q12+R12</f>
        <v>226340.99</v>
      </c>
      <c r="Q12" s="528">
        <v>104922.09</v>
      </c>
      <c r="R12" s="528">
        <v>121418.9</v>
      </c>
      <c r="S12" s="528">
        <f>T12+U12</f>
        <v>229149.57</v>
      </c>
      <c r="T12" s="528">
        <v>114568.14</v>
      </c>
      <c r="U12" s="528">
        <v>114581.43000000001</v>
      </c>
      <c r="V12" s="528">
        <f>W12+X12</f>
        <v>227933</v>
      </c>
      <c r="W12" s="528">
        <v>110387.47</v>
      </c>
      <c r="X12" s="659">
        <v>117545.53</v>
      </c>
      <c r="Y12" s="684">
        <f>(G12-D12)/G12</f>
        <v>3.2745379544178638E-2</v>
      </c>
      <c r="Z12" s="685"/>
    </row>
    <row r="13" spans="2:26" s="498" customFormat="1" ht="17" x14ac:dyDescent="0.35">
      <c r="B13" s="527" t="s">
        <v>397</v>
      </c>
      <c r="C13" s="555" t="s">
        <v>470</v>
      </c>
      <c r="D13" s="565">
        <f>Environment!D12</f>
        <v>18908</v>
      </c>
      <c r="E13" s="565">
        <v>1122</v>
      </c>
      <c r="F13" s="565">
        <f t="shared" ref="F13:F16" si="0">D13-E13</f>
        <v>17786</v>
      </c>
      <c r="G13" s="528">
        <f>H13+I13</f>
        <v>21203.81</v>
      </c>
      <c r="H13" s="528">
        <v>1076.4100000000001</v>
      </c>
      <c r="I13" s="528">
        <v>20127.400000000001</v>
      </c>
      <c r="J13" s="528">
        <f>K13+L13</f>
        <v>66265.350000000006</v>
      </c>
      <c r="K13" s="528">
        <v>635</v>
      </c>
      <c r="L13" s="528">
        <v>65630.350000000006</v>
      </c>
      <c r="M13" s="528">
        <f>N13+O13</f>
        <v>128767.54</v>
      </c>
      <c r="N13" s="528">
        <v>1023.59</v>
      </c>
      <c r="O13" s="528">
        <v>127743.95</v>
      </c>
      <c r="P13" s="528">
        <f>Q13+R13</f>
        <v>167772</v>
      </c>
      <c r="Q13" s="528">
        <v>1265.23</v>
      </c>
      <c r="R13" s="528">
        <v>166506.76999999999</v>
      </c>
      <c r="S13" s="528">
        <f>T13+U13</f>
        <v>165830.01</v>
      </c>
      <c r="T13" s="528">
        <v>3968.71</v>
      </c>
      <c r="U13" s="528">
        <v>161861.30000000002</v>
      </c>
      <c r="V13" s="528">
        <f>W13+X13</f>
        <v>176107.33</v>
      </c>
      <c r="W13" s="528">
        <v>3761.42</v>
      </c>
      <c r="X13" s="659">
        <v>172345.90999999997</v>
      </c>
      <c r="Y13" s="684">
        <f t="shared" ref="Y13:Y17" si="1">(G13-D13)/G13</f>
        <v>0.10827346594786509</v>
      </c>
      <c r="Z13" s="685"/>
    </row>
    <row r="14" spans="2:26" s="498" customFormat="1" ht="17" x14ac:dyDescent="0.35">
      <c r="B14" s="527" t="s">
        <v>471</v>
      </c>
      <c r="C14" s="555" t="s">
        <v>470</v>
      </c>
      <c r="D14" s="565">
        <f>Environment!D13</f>
        <v>151442</v>
      </c>
      <c r="E14" s="565">
        <v>15083</v>
      </c>
      <c r="F14" s="565">
        <f t="shared" si="0"/>
        <v>136359</v>
      </c>
      <c r="G14" s="528">
        <f>H14+I14</f>
        <v>178481</v>
      </c>
      <c r="H14" s="528">
        <v>18083</v>
      </c>
      <c r="I14" s="528">
        <v>160398</v>
      </c>
      <c r="J14" s="528">
        <f>K14+L14</f>
        <v>195176.27</v>
      </c>
      <c r="K14" s="528">
        <v>21689.24</v>
      </c>
      <c r="L14" s="528">
        <v>173487.03</v>
      </c>
      <c r="M14" s="528">
        <f>N14+O14</f>
        <v>202347.79</v>
      </c>
      <c r="N14" s="528">
        <v>21710.13</v>
      </c>
      <c r="O14" s="528">
        <v>180637.66</v>
      </c>
      <c r="P14" s="528">
        <f>Q14+R14</f>
        <v>223642.5</v>
      </c>
      <c r="Q14" s="528">
        <v>24704.94</v>
      </c>
      <c r="R14" s="528">
        <v>198937.56</v>
      </c>
      <c r="S14" s="528">
        <f>T14+U14</f>
        <v>205942.86</v>
      </c>
      <c r="T14" s="528">
        <v>29486.92</v>
      </c>
      <c r="U14" s="528">
        <v>176455.94</v>
      </c>
      <c r="V14" s="528">
        <f>W14+X14</f>
        <v>227469.08</v>
      </c>
      <c r="W14" s="528">
        <v>34440.620000000003</v>
      </c>
      <c r="X14" s="659">
        <v>193028.46</v>
      </c>
      <c r="Y14" s="684">
        <f t="shared" si="1"/>
        <v>0.15149511712731328</v>
      </c>
      <c r="Z14" s="685"/>
    </row>
    <row r="15" spans="2:26" s="498" customFormat="1" ht="17" x14ac:dyDescent="0.35">
      <c r="B15" s="529" t="s">
        <v>472</v>
      </c>
      <c r="C15" s="556" t="s">
        <v>473</v>
      </c>
      <c r="D15" s="565">
        <f>Environment!D14</f>
        <v>236859</v>
      </c>
      <c r="E15" s="565">
        <v>106985</v>
      </c>
      <c r="F15" s="565">
        <f t="shared" si="0"/>
        <v>129874</v>
      </c>
      <c r="G15" s="528">
        <f>H15+I15</f>
        <v>246532.91</v>
      </c>
      <c r="H15" s="528">
        <f>H12+H13</f>
        <v>116260.91</v>
      </c>
      <c r="I15" s="528">
        <v>130272</v>
      </c>
      <c r="J15" s="528">
        <f>K15+L15</f>
        <v>281912.43</v>
      </c>
      <c r="K15" s="528">
        <v>103792.19</v>
      </c>
      <c r="L15" s="528">
        <v>178120.24</v>
      </c>
      <c r="M15" s="528">
        <f>N15+O15</f>
        <v>343933.38</v>
      </c>
      <c r="N15" s="528">
        <v>103107.98</v>
      </c>
      <c r="O15" s="528">
        <v>240825.40000000002</v>
      </c>
      <c r="P15" s="528">
        <f>Q15+R15</f>
        <v>394113</v>
      </c>
      <c r="Q15" s="528">
        <v>106187.32</v>
      </c>
      <c r="R15" s="528">
        <v>287925.68</v>
      </c>
      <c r="S15" s="528">
        <f>T15+U15</f>
        <v>394979.57999999996</v>
      </c>
      <c r="T15" s="528">
        <v>118536.85</v>
      </c>
      <c r="U15" s="528">
        <v>276442.73</v>
      </c>
      <c r="V15" s="528">
        <f>W15+X15</f>
        <v>404040.33</v>
      </c>
      <c r="W15" s="528">
        <v>114148.89</v>
      </c>
      <c r="X15" s="659">
        <v>289891.44</v>
      </c>
      <c r="Y15" s="684">
        <f t="shared" si="1"/>
        <v>3.9239832118154135E-2</v>
      </c>
      <c r="Z15" s="685"/>
    </row>
    <row r="16" spans="2:26" s="498" customFormat="1" ht="17" x14ac:dyDescent="0.35">
      <c r="B16" s="527" t="s">
        <v>474</v>
      </c>
      <c r="C16" s="555" t="s">
        <v>470</v>
      </c>
      <c r="D16" s="565">
        <f>Environment!D15</f>
        <v>369393</v>
      </c>
      <c r="E16" s="565">
        <v>120946</v>
      </c>
      <c r="F16" s="565">
        <f t="shared" si="0"/>
        <v>248447</v>
      </c>
      <c r="G16" s="528">
        <f>H16+I16</f>
        <v>403811</v>
      </c>
      <c r="H16" s="528">
        <v>133268</v>
      </c>
      <c r="I16" s="528">
        <v>270543</v>
      </c>
      <c r="J16" s="528">
        <f>K16+L16</f>
        <v>410823.35</v>
      </c>
      <c r="K16" s="528">
        <v>124846.44</v>
      </c>
      <c r="L16" s="528">
        <v>285976.90999999997</v>
      </c>
      <c r="M16" s="528">
        <f>N16+O16</f>
        <v>417513.63</v>
      </c>
      <c r="N16" s="528">
        <v>123794.52</v>
      </c>
      <c r="O16" s="528">
        <v>293719.11</v>
      </c>
      <c r="P16" s="528">
        <f>Q16+R16</f>
        <v>449983.5</v>
      </c>
      <c r="Q16" s="528">
        <v>129627.03</v>
      </c>
      <c r="R16" s="528">
        <v>320356.46999999997</v>
      </c>
      <c r="S16" s="528">
        <f>T16+U16</f>
        <v>435092.42</v>
      </c>
      <c r="T16" s="528">
        <v>144055.06</v>
      </c>
      <c r="U16" s="528">
        <v>291037.36</v>
      </c>
      <c r="V16" s="528">
        <f>W16+X16</f>
        <v>455402.07999999996</v>
      </c>
      <c r="W16" s="528">
        <v>144828.07999999999</v>
      </c>
      <c r="X16" s="659">
        <v>310574</v>
      </c>
      <c r="Y16" s="684">
        <f t="shared" si="1"/>
        <v>8.5232943134288072E-2</v>
      </c>
      <c r="Z16" s="685"/>
    </row>
    <row r="17" spans="2:26" s="498" customFormat="1" ht="16.5" customHeight="1" x14ac:dyDescent="0.35">
      <c r="B17" s="529" t="s">
        <v>475</v>
      </c>
      <c r="C17" s="556" t="s">
        <v>476</v>
      </c>
      <c r="D17" s="1167">
        <f>Environment!D16</f>
        <v>2.5003589148105143</v>
      </c>
      <c r="E17" s="1167">
        <f>E15/12660</f>
        <v>8.4506319115323851</v>
      </c>
      <c r="F17" s="1167">
        <f>F15/82071</f>
        <v>1.5824590902998623</v>
      </c>
      <c r="G17" s="619">
        <v>2.518831582819077</v>
      </c>
      <c r="H17" s="662">
        <v>9.8000000000000007</v>
      </c>
      <c r="I17" s="662">
        <v>1.5</v>
      </c>
      <c r="J17" s="619">
        <v>2.685033716212355</v>
      </c>
      <c r="K17" s="662">
        <v>7.1808627369586278</v>
      </c>
      <c r="L17" s="662">
        <v>1.9673099182681686</v>
      </c>
      <c r="M17" s="662">
        <v>3.3209101442558371</v>
      </c>
      <c r="N17" s="662">
        <v>6.9292997311827955</v>
      </c>
      <c r="O17" s="662">
        <v>2.7154838418690663</v>
      </c>
      <c r="P17" s="662">
        <v>3.7216986477298484</v>
      </c>
      <c r="Q17" s="662">
        <v>5.7451344478710169</v>
      </c>
      <c r="R17" s="662">
        <v>3.293854232208024</v>
      </c>
      <c r="S17" s="662">
        <v>3.8646195843606908</v>
      </c>
      <c r="T17" s="662">
        <v>6.1073136173939924</v>
      </c>
      <c r="U17" s="662">
        <v>3.3388819373150551</v>
      </c>
      <c r="V17" s="662">
        <v>3.7166804341826882</v>
      </c>
      <c r="W17" s="662">
        <v>4.7015482515754359</v>
      </c>
      <c r="X17" s="663">
        <v>3.4334715921877037</v>
      </c>
      <c r="Y17" s="684">
        <f t="shared" si="1"/>
        <v>7.3338241963315847E-3</v>
      </c>
      <c r="Z17" s="685"/>
    </row>
    <row r="18" spans="2:26" s="498" customFormat="1" ht="15" x14ac:dyDescent="0.35">
      <c r="E18" s="685"/>
      <c r="H18" s="685"/>
      <c r="W18" s="685"/>
    </row>
    <row r="19" spans="2:26" s="498" customFormat="1" ht="15" x14ac:dyDescent="0.35">
      <c r="E19" s="687"/>
      <c r="F19" s="687"/>
      <c r="H19" s="687"/>
      <c r="I19" s="687"/>
      <c r="K19" s="687"/>
      <c r="L19" s="687"/>
      <c r="N19" s="687"/>
      <c r="O19" s="687"/>
      <c r="Q19" s="687"/>
      <c r="R19" s="687"/>
      <c r="T19" s="687"/>
      <c r="U19" s="687"/>
      <c r="V19" s="685"/>
      <c r="W19" s="685"/>
    </row>
    <row r="20" spans="2:26" s="498" customFormat="1" ht="15" x14ac:dyDescent="0.35">
      <c r="B20" s="1626" t="s">
        <v>477</v>
      </c>
      <c r="C20" s="1627" t="s">
        <v>458</v>
      </c>
      <c r="D20" s="1789" t="s">
        <v>459</v>
      </c>
      <c r="E20" s="1790"/>
      <c r="F20" s="1791"/>
      <c r="G20" s="1778" t="s">
        <v>460</v>
      </c>
      <c r="H20" s="1779"/>
      <c r="I20" s="1780"/>
      <c r="J20" s="1778" t="s">
        <v>461</v>
      </c>
      <c r="K20" s="1779"/>
      <c r="L20" s="1780"/>
      <c r="M20" s="1778" t="s">
        <v>462</v>
      </c>
      <c r="N20" s="1779"/>
      <c r="O20" s="1780"/>
      <c r="P20" s="1778" t="s">
        <v>463</v>
      </c>
      <c r="Q20" s="1779"/>
      <c r="R20" s="1780"/>
      <c r="S20" s="1778" t="s">
        <v>464</v>
      </c>
      <c r="T20" s="1779"/>
      <c r="U20" s="1780"/>
      <c r="V20" s="1778" t="s">
        <v>465</v>
      </c>
      <c r="W20" s="1779"/>
      <c r="X20" s="1779"/>
      <c r="Y20" s="1781" t="s">
        <v>466</v>
      </c>
      <c r="Z20" s="685"/>
    </row>
    <row r="21" spans="2:26" s="498" customFormat="1" ht="13.5" customHeight="1" x14ac:dyDescent="0.35">
      <c r="B21" s="1795"/>
      <c r="C21" s="1783"/>
      <c r="D21" s="682" t="s">
        <v>467</v>
      </c>
      <c r="E21" s="682" t="s">
        <v>468</v>
      </c>
      <c r="F21" s="682" t="s">
        <v>469</v>
      </c>
      <c r="G21" s="1223" t="s">
        <v>467</v>
      </c>
      <c r="H21" s="1223" t="s">
        <v>468</v>
      </c>
      <c r="I21" s="1223" t="s">
        <v>469</v>
      </c>
      <c r="J21" s="1223" t="s">
        <v>467</v>
      </c>
      <c r="K21" s="1223" t="s">
        <v>468</v>
      </c>
      <c r="L21" s="1223" t="s">
        <v>469</v>
      </c>
      <c r="M21" s="1223" t="s">
        <v>467</v>
      </c>
      <c r="N21" s="1223" t="s">
        <v>468</v>
      </c>
      <c r="O21" s="1223" t="s">
        <v>469</v>
      </c>
      <c r="P21" s="1223" t="s">
        <v>467</v>
      </c>
      <c r="Q21" s="1223" t="s">
        <v>468</v>
      </c>
      <c r="R21" s="1223" t="s">
        <v>469</v>
      </c>
      <c r="S21" s="1223" t="s">
        <v>467</v>
      </c>
      <c r="T21" s="1223" t="s">
        <v>468</v>
      </c>
      <c r="U21" s="1223" t="s">
        <v>469</v>
      </c>
      <c r="V21" s="1223" t="s">
        <v>467</v>
      </c>
      <c r="W21" s="1223" t="s">
        <v>468</v>
      </c>
      <c r="X21" s="1224" t="s">
        <v>469</v>
      </c>
      <c r="Y21" s="1781"/>
      <c r="Z21" s="685"/>
    </row>
    <row r="22" spans="2:26" s="498" customFormat="1" ht="15" x14ac:dyDescent="0.35">
      <c r="B22" s="524" t="s">
        <v>478</v>
      </c>
      <c r="C22" s="557" t="s">
        <v>479</v>
      </c>
      <c r="D22" s="565">
        <v>1086212</v>
      </c>
      <c r="E22" s="565">
        <v>309289</v>
      </c>
      <c r="F22" s="565">
        <f>D22-E22</f>
        <v>776923</v>
      </c>
      <c r="G22" s="1225">
        <f>I22+H22</f>
        <v>1126107.6223499998</v>
      </c>
      <c r="H22" s="1225">
        <v>329650.70068000001</v>
      </c>
      <c r="I22" s="1225">
        <v>796456.92166999984</v>
      </c>
      <c r="J22" s="1225">
        <v>1206508</v>
      </c>
      <c r="K22" s="1225">
        <v>348744</v>
      </c>
      <c r="L22" s="1225">
        <f>J22-K22</f>
        <v>857764</v>
      </c>
      <c r="M22" s="1225">
        <v>1203247</v>
      </c>
      <c r="N22" s="1225">
        <v>337747.64269000001</v>
      </c>
      <c r="O22" s="1225">
        <v>865498.97879999992</v>
      </c>
      <c r="P22" s="1225">
        <v>1270929</v>
      </c>
      <c r="Q22" s="1225">
        <v>371400.67975000001</v>
      </c>
      <c r="R22" s="1225">
        <v>899528.35901000001</v>
      </c>
      <c r="S22" s="1225">
        <v>1199807</v>
      </c>
      <c r="T22" s="1225">
        <v>387584.09269000002</v>
      </c>
      <c r="U22" s="1225">
        <v>812223.04309999989</v>
      </c>
      <c r="V22" s="1225">
        <v>1231348</v>
      </c>
      <c r="W22" s="1225">
        <v>375504.88628999999</v>
      </c>
      <c r="X22" s="1225">
        <v>855843.34701999999</v>
      </c>
      <c r="Y22" s="686">
        <f>(G22-D22)/G22</f>
        <v>3.5427894775052052E-2</v>
      </c>
      <c r="Z22" s="688"/>
    </row>
    <row r="23" spans="2:26" s="498" customFormat="1" ht="15" x14ac:dyDescent="0.35">
      <c r="B23" s="524" t="s">
        <v>480</v>
      </c>
      <c r="C23" s="558" t="s">
        <v>481</v>
      </c>
      <c r="D23" s="532">
        <f>Environment!D55</f>
        <v>11.466399239945106</v>
      </c>
      <c r="E23" s="646">
        <f>E22/12660</f>
        <v>24.430410742496051</v>
      </c>
      <c r="F23" s="1222">
        <f>F22/82071</f>
        <v>9.4664741504307255</v>
      </c>
      <c r="G23" s="1226">
        <v>11.505455882953942</v>
      </c>
      <c r="H23" s="1226">
        <v>27.8</v>
      </c>
      <c r="I23" s="1226">
        <v>9.3000000000000007</v>
      </c>
      <c r="J23" s="1226">
        <v>11.491209021467894</v>
      </c>
      <c r="K23" s="1226">
        <v>24.1</v>
      </c>
      <c r="L23" s="1226">
        <v>9.9</v>
      </c>
      <c r="M23" s="1226">
        <v>11.61816619353842</v>
      </c>
      <c r="N23" s="1226">
        <v>22.698094266801075</v>
      </c>
      <c r="O23" s="1226">
        <v>9.7591387456870304</v>
      </c>
      <c r="P23" s="1226">
        <v>12.001671451235174</v>
      </c>
      <c r="Q23" s="1226">
        <v>20.094177338635504</v>
      </c>
      <c r="R23" s="1226">
        <v>10.290555855650762</v>
      </c>
      <c r="S23" s="1226">
        <v>11.739335055379437</v>
      </c>
      <c r="T23" s="1226">
        <v>19.969297371837808</v>
      </c>
      <c r="U23" s="1226">
        <v>9.8100494365601776</v>
      </c>
      <c r="V23" s="1226">
        <v>11.326906448348819</v>
      </c>
      <c r="W23" s="1226">
        <v>15.466241867045595</v>
      </c>
      <c r="X23" s="1226">
        <v>10.136600857741824</v>
      </c>
      <c r="Y23" s="686">
        <f>(G23-D23)/G23</f>
        <v>3.39461933591878E-3</v>
      </c>
      <c r="Z23" s="688"/>
    </row>
    <row r="24" spans="2:26" s="498" customFormat="1" ht="15" x14ac:dyDescent="0.35">
      <c r="D24" s="689"/>
      <c r="E24" s="690"/>
      <c r="F24" s="690"/>
      <c r="G24" s="689"/>
      <c r="H24" s="690"/>
      <c r="I24" s="624"/>
      <c r="J24" s="691"/>
      <c r="K24" s="691"/>
      <c r="L24" s="691"/>
      <c r="M24" s="691"/>
      <c r="N24" s="691"/>
      <c r="O24" s="691"/>
      <c r="P24" s="691"/>
      <c r="Q24" s="691"/>
      <c r="R24" s="691"/>
      <c r="S24" s="691"/>
      <c r="T24" s="691"/>
      <c r="U24" s="691"/>
      <c r="V24" s="691"/>
    </row>
    <row r="25" spans="2:26" s="498" customFormat="1" ht="15" x14ac:dyDescent="0.35">
      <c r="E25" s="687"/>
      <c r="F25" s="687"/>
      <c r="H25" s="687"/>
      <c r="I25" s="692"/>
      <c r="J25" s="689"/>
      <c r="K25" s="687"/>
      <c r="L25" s="687"/>
      <c r="N25" s="687"/>
      <c r="O25" s="687"/>
      <c r="Q25" s="687"/>
      <c r="R25" s="687"/>
      <c r="T25" s="687"/>
      <c r="U25" s="687"/>
    </row>
    <row r="26" spans="2:26" s="498" customFormat="1" ht="15" x14ac:dyDescent="0.35">
      <c r="B26" s="1782" t="s">
        <v>482</v>
      </c>
      <c r="C26" s="1627" t="s">
        <v>458</v>
      </c>
      <c r="D26" s="1792" t="s">
        <v>459</v>
      </c>
      <c r="E26" s="1784" t="s">
        <v>460</v>
      </c>
      <c r="F26" s="1784" t="s">
        <v>461</v>
      </c>
      <c r="G26" s="1784" t="s">
        <v>462</v>
      </c>
      <c r="H26" s="1784" t="s">
        <v>463</v>
      </c>
      <c r="I26" s="1784" t="s">
        <v>464</v>
      </c>
    </row>
    <row r="27" spans="2:26" s="498" customFormat="1" ht="15" x14ac:dyDescent="0.35">
      <c r="B27" s="1782"/>
      <c r="C27" s="1783"/>
      <c r="D27" s="1793"/>
      <c r="E27" s="1785"/>
      <c r="F27" s="1785"/>
      <c r="G27" s="1785"/>
      <c r="H27" s="1785"/>
      <c r="I27" s="1785"/>
      <c r="J27" s="693"/>
      <c r="K27" s="693"/>
      <c r="L27" s="693"/>
      <c r="M27" s="693"/>
      <c r="N27" s="693"/>
      <c r="O27" s="693"/>
      <c r="P27" s="693"/>
      <c r="Q27" s="693"/>
      <c r="R27" s="693"/>
      <c r="S27" s="693"/>
    </row>
    <row r="28" spans="2:26" s="498" customFormat="1" ht="15" x14ac:dyDescent="0.35">
      <c r="B28" s="694" t="str">
        <f t="shared" ref="B28:C29" si="2">B22</f>
        <v>Total energy consumption</v>
      </c>
      <c r="C28" s="694" t="str">
        <f t="shared" si="2"/>
        <v>MWh</v>
      </c>
      <c r="D28" s="565">
        <v>1086212</v>
      </c>
      <c r="E28" s="528">
        <f>G22</f>
        <v>1126107.6223499998</v>
      </c>
      <c r="F28" s="528">
        <f>J22</f>
        <v>1206508</v>
      </c>
      <c r="G28" s="528">
        <f>M22</f>
        <v>1203247</v>
      </c>
      <c r="H28" s="528">
        <f>P22</f>
        <v>1270929</v>
      </c>
      <c r="I28" s="528">
        <f>S22</f>
        <v>1199807</v>
      </c>
    </row>
    <row r="29" spans="2:26" s="498" customFormat="1" ht="16.5" customHeight="1" x14ac:dyDescent="0.35">
      <c r="B29" s="694" t="str">
        <f t="shared" si="2"/>
        <v>Total energy efficiency</v>
      </c>
      <c r="C29" s="694" t="str">
        <f t="shared" si="2"/>
        <v>MWh/tonne</v>
      </c>
      <c r="D29" s="1167">
        <v>11.5</v>
      </c>
      <c r="E29" s="619">
        <f>G23</f>
        <v>11.505455882953942</v>
      </c>
      <c r="F29" s="619">
        <f>J23</f>
        <v>11.491209021467894</v>
      </c>
      <c r="G29" s="619">
        <f>M23</f>
        <v>11.61816619353842</v>
      </c>
      <c r="H29" s="619">
        <f>P23</f>
        <v>12.001671451235174</v>
      </c>
      <c r="I29" s="619">
        <f>S23</f>
        <v>11.739335055379437</v>
      </c>
    </row>
    <row r="30" spans="2:26" s="498" customFormat="1" ht="17" x14ac:dyDescent="0.35">
      <c r="B30" s="694" t="str">
        <f>B15</f>
        <v>Total Scope 1 and 2 GHG emission (market-based)</v>
      </c>
      <c r="C30" s="555" t="s">
        <v>470</v>
      </c>
      <c r="D30" s="565">
        <v>236859</v>
      </c>
      <c r="E30" s="528">
        <f>G15</f>
        <v>246532.91</v>
      </c>
      <c r="F30" s="528">
        <f>J15</f>
        <v>281912.43</v>
      </c>
      <c r="G30" s="528">
        <f>M15</f>
        <v>343933.38</v>
      </c>
      <c r="H30" s="528">
        <f>P15</f>
        <v>394113</v>
      </c>
      <c r="I30" s="528">
        <f>S15</f>
        <v>394979.57999999996</v>
      </c>
    </row>
    <row r="31" spans="2:26" s="498" customFormat="1" ht="17" x14ac:dyDescent="0.35">
      <c r="B31" s="694" t="str">
        <f>B17</f>
        <v>Total Scope 1 and 2 carbon intensity (market-based)</v>
      </c>
      <c r="C31" s="555" t="s">
        <v>483</v>
      </c>
      <c r="D31" s="1167">
        <v>2.5</v>
      </c>
      <c r="E31" s="619">
        <f>G17</f>
        <v>2.518831582819077</v>
      </c>
      <c r="F31" s="619">
        <f>J17</f>
        <v>2.685033716212355</v>
      </c>
      <c r="G31" s="619">
        <f>M17</f>
        <v>3.3209101442558371</v>
      </c>
      <c r="H31" s="619">
        <f>P17</f>
        <v>3.7216986477298484</v>
      </c>
      <c r="I31" s="619">
        <f>S17</f>
        <v>3.8646195843606908</v>
      </c>
    </row>
    <row r="32" spans="2:26" s="498" customFormat="1" ht="17" x14ac:dyDescent="0.35">
      <c r="B32" s="694" t="str">
        <f>Environment!B36</f>
        <v>Total Scope 3 (all categories) GHG emissions</v>
      </c>
      <c r="C32" s="555" t="s">
        <v>470</v>
      </c>
      <c r="D32" s="565">
        <f>Environment!D36</f>
        <v>3219886</v>
      </c>
      <c r="E32" s="528">
        <f>Environment!E36</f>
        <v>3452423.440317458</v>
      </c>
      <c r="F32" s="528">
        <f>Environment!F36</f>
        <v>3757150</v>
      </c>
      <c r="G32" s="528">
        <f>Environment!G36</f>
        <v>3585402</v>
      </c>
      <c r="H32" s="528">
        <f>Environment!H36</f>
        <v>3399374</v>
      </c>
      <c r="I32" s="528">
        <f>Environment!I36</f>
        <v>3414769</v>
      </c>
    </row>
    <row r="33" spans="5:7" ht="20.9" customHeight="1" x14ac:dyDescent="0.35">
      <c r="G33" s="653"/>
    </row>
    <row r="36" spans="5:7" x14ac:dyDescent="0.35">
      <c r="E36" s="660"/>
      <c r="F36" s="661"/>
      <c r="G36" s="661"/>
    </row>
    <row r="37" spans="5:7" x14ac:dyDescent="0.35">
      <c r="E37" s="661"/>
      <c r="G37" s="661"/>
    </row>
    <row r="38" spans="5:7" x14ac:dyDescent="0.35">
      <c r="F38" s="661"/>
      <c r="G38" s="661"/>
    </row>
  </sheetData>
  <sheetProtection algorithmName="SHA-512" hashValue="148AySL4osHLCnP8MlA0z+y8hLYdqWTM31/rPIo3xLObh+p59E9c0gXDntr9SxLWdcToNJTZT6B3ogTaQLL61Q==" saltValue="t4eq8CdN6F2QyTsnc6882w==" spinCount="100000" sheet="1" objects="1" scenarios="1"/>
  <mergeCells count="29">
    <mergeCell ref="B4:R6"/>
    <mergeCell ref="V10:X10"/>
    <mergeCell ref="B20:B21"/>
    <mergeCell ref="C20:C21"/>
    <mergeCell ref="J20:L20"/>
    <mergeCell ref="M20:O20"/>
    <mergeCell ref="P20:R20"/>
    <mergeCell ref="S20:U20"/>
    <mergeCell ref="V20:X20"/>
    <mergeCell ref="B10:B11"/>
    <mergeCell ref="C10:C11"/>
    <mergeCell ref="J10:L10"/>
    <mergeCell ref="M10:O10"/>
    <mergeCell ref="P10:R10"/>
    <mergeCell ref="S10:U10"/>
    <mergeCell ref="G10:I10"/>
    <mergeCell ref="G20:I20"/>
    <mergeCell ref="Y10:Y11"/>
    <mergeCell ref="Y20:Y21"/>
    <mergeCell ref="B26:B27"/>
    <mergeCell ref="C26:C27"/>
    <mergeCell ref="E26:E27"/>
    <mergeCell ref="F26:F27"/>
    <mergeCell ref="G26:G27"/>
    <mergeCell ref="H26:H27"/>
    <mergeCell ref="I26:I27"/>
    <mergeCell ref="D10:F10"/>
    <mergeCell ref="D20:F20"/>
    <mergeCell ref="D26:D27"/>
  </mergeCells>
  <phoneticPr fontId="3" type="noConversion"/>
  <pageMargins left="0.70866141732283472" right="0.70866141732283472" top="0.74803149606299213" bottom="0.74803149606299213" header="0.31496062992125984" footer="0.31496062992125984"/>
  <pageSetup paperSize="9" scale="31"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c02e3d1-7121-4527-9689-80dabbf51ad0">
      <Terms xmlns="http://schemas.microsoft.com/office/infopath/2007/PartnerControls"/>
    </lcf76f155ced4ddcb4097134ff3c332f>
    <TaxCatchAll xmlns="993f24a7-f8a6-475d-a64d-8de30f0452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F8A13DD7691C4E8D6A03A981C49CDE" ma:contentTypeVersion="11" ma:contentTypeDescription="Create a new document." ma:contentTypeScope="" ma:versionID="3fed7b4ce55cd5015d572a197c8363ac">
  <xsd:schema xmlns:xsd="http://www.w3.org/2001/XMLSchema" xmlns:xs="http://www.w3.org/2001/XMLSchema" xmlns:p="http://schemas.microsoft.com/office/2006/metadata/properties" xmlns:ns2="7c02e3d1-7121-4527-9689-80dabbf51ad0" xmlns:ns3="993f24a7-f8a6-475d-a64d-8de30f045207" targetNamespace="http://schemas.microsoft.com/office/2006/metadata/properties" ma:root="true" ma:fieldsID="dd158b00c115aa45756b816071c8e224" ns2:_="" ns3:_="">
    <xsd:import namespace="7c02e3d1-7121-4527-9689-80dabbf51ad0"/>
    <xsd:import namespace="993f24a7-f8a6-475d-a64d-8de30f0452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2e3d1-7121-4527-9689-80dabbf51a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9f579ce-fdda-4824-a47d-a5db31f0c88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3f24a7-f8a6-475d-a64d-8de30f04520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2d970f-b004-4a19-a0d3-6ca33c6b7040}" ma:internalName="TaxCatchAll" ma:showField="CatchAllData" ma:web="993f24a7-f8a6-475d-a64d-8de30f0452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E1BA9B-8476-4E9B-98B4-E64B30113A62}">
  <ds:schemaRefs>
    <ds:schemaRef ds:uri="http://purl.org/dc/dcmitype/"/>
    <ds:schemaRef ds:uri="7c02e3d1-7121-4527-9689-80dabbf51ad0"/>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elements/1.1/"/>
    <ds:schemaRef ds:uri="http://schemas.openxmlformats.org/package/2006/metadata/core-properties"/>
    <ds:schemaRef ds:uri="993f24a7-f8a6-475d-a64d-8de30f045207"/>
  </ds:schemaRefs>
</ds:datastoreItem>
</file>

<file path=customXml/itemProps2.xml><?xml version="1.0" encoding="utf-8"?>
<ds:datastoreItem xmlns:ds="http://schemas.openxmlformats.org/officeDocument/2006/customXml" ds:itemID="{47EAA61E-8633-454A-9578-38005D3BD72C}">
  <ds:schemaRefs>
    <ds:schemaRef ds:uri="http://schemas.microsoft.com/sharepoint/v3/contenttype/forms"/>
  </ds:schemaRefs>
</ds:datastoreItem>
</file>

<file path=customXml/itemProps3.xml><?xml version="1.0" encoding="utf-8"?>
<ds:datastoreItem xmlns:ds="http://schemas.openxmlformats.org/officeDocument/2006/customXml" ds:itemID="{220757BE-5C8A-4443-A991-7E7E3B61AD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2e3d1-7121-4527-9689-80dabbf51ad0"/>
    <ds:schemaRef ds:uri="993f24a7-f8a6-475d-a64d-8de30f045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20</vt:i4>
      </vt:variant>
    </vt:vector>
  </HeadingPairs>
  <TitlesOfParts>
    <vt:vector size="43" baseType="lpstr">
      <vt:lpstr>Cover</vt:lpstr>
      <vt:lpstr>Home</vt:lpstr>
      <vt:lpstr>Contents</vt:lpstr>
      <vt:lpstr>Material Topics</vt:lpstr>
      <vt:lpstr>GRI Content index in accordance</vt:lpstr>
      <vt:lpstr>TCFD Compliance Table</vt:lpstr>
      <vt:lpstr>SASB Index</vt:lpstr>
      <vt:lpstr>PAI statement</vt:lpstr>
      <vt:lpstr>UK SECR</vt:lpstr>
      <vt:lpstr>UN SDGs</vt:lpstr>
      <vt:lpstr>ERM CVS assured metrics</vt:lpstr>
      <vt:lpstr>2030 targets</vt:lpstr>
      <vt:lpstr>Environment</vt:lpstr>
      <vt:lpstr>Environment (pre-divest Data)</vt:lpstr>
      <vt:lpstr>Health and Safety</vt:lpstr>
      <vt:lpstr>Ethics and Compliance</vt:lpstr>
      <vt:lpstr>People</vt:lpstr>
      <vt:lpstr>Community Investment</vt:lpstr>
      <vt:lpstr>Product Stewardship</vt:lpstr>
      <vt:lpstr>Responsible Sourcing</vt:lpstr>
      <vt:lpstr>Basis of Reporting</vt:lpstr>
      <vt:lpstr>Environment (original)</vt:lpstr>
      <vt:lpstr>People (Internal)</vt:lpstr>
      <vt:lpstr>'2030 targets'!Print_Area</vt:lpstr>
      <vt:lpstr>'Basis of Reporting'!Print_Area</vt:lpstr>
      <vt:lpstr>'Community Investment'!Print_Area</vt:lpstr>
      <vt:lpstr>Contents!Print_Area</vt:lpstr>
      <vt:lpstr>Cover!Print_Area</vt:lpstr>
      <vt:lpstr>Environment!Print_Area</vt:lpstr>
      <vt:lpstr>'ERM CVS assured metrics'!Print_Area</vt:lpstr>
      <vt:lpstr>'Ethics and Compliance'!Print_Area</vt:lpstr>
      <vt:lpstr>'GRI Content index in accordance'!Print_Area</vt:lpstr>
      <vt:lpstr>'Health and Safety'!Print_Area</vt:lpstr>
      <vt:lpstr>Home!Print_Area</vt:lpstr>
      <vt:lpstr>'Material Topics'!Print_Area</vt:lpstr>
      <vt:lpstr>'PAI statement'!Print_Area</vt:lpstr>
      <vt:lpstr>People!Print_Area</vt:lpstr>
      <vt:lpstr>'Product Stewardship'!Print_Area</vt:lpstr>
      <vt:lpstr>'Responsible Sourcing'!Print_Area</vt:lpstr>
      <vt:lpstr>'SASB Index'!Print_Area</vt:lpstr>
      <vt:lpstr>'TCFD Compliance Table'!Print_Area</vt:lpstr>
      <vt:lpstr>'UK SECR'!Print_Area</vt:lpstr>
      <vt:lpstr>'UN SDGs'!Print_Area</vt:lpstr>
    </vt:vector>
  </TitlesOfParts>
  <Manager/>
  <Company>BNP Paribas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Xin Ng Fat</dc:creator>
  <cp:keywords/>
  <dc:description/>
  <cp:lastModifiedBy>Xin Ngfat</cp:lastModifiedBy>
  <cp:revision/>
  <cp:lastPrinted>2026-06-05T16:40:15Z</cp:lastPrinted>
  <dcterms:created xsi:type="dcterms:W3CDTF">2022-08-26T08:41:21Z</dcterms:created>
  <dcterms:modified xsi:type="dcterms:W3CDTF">2026-06-05T16:41:40Z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2022-08-30T17:25:58Z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ed44937c-fb3e-4020-aa7b-34a0e87db4fb</vt:lpwstr>
  </property>
  <property fmtid="{D5CDD505-2E9C-101B-9397-08002B2CF9AE}" pid="8" name="MSIP_Label_8ffbc0b8-e97b-47d1-beac-cb0955d66f3b_ContentBits">
    <vt:lpwstr>2</vt:lpwstr>
  </property>
  <property fmtid="{D5CDD505-2E9C-101B-9397-08002B2CF9AE}" pid="9" name="MSIP_Label_4e511531-3b62-4ad0-a3e4-a04202c385ac_Enabled">
    <vt:lpwstr>true</vt:lpwstr>
  </property>
  <property fmtid="{D5CDD505-2E9C-101B-9397-08002B2CF9AE}" pid="10" name="MSIP_Label_4e511531-3b62-4ad0-a3e4-a04202c385ac_SetDate">
    <vt:lpwstr>2023-03-10T09:51:16Z</vt:lpwstr>
  </property>
  <property fmtid="{D5CDD505-2E9C-101B-9397-08002B2CF9AE}" pid="11" name="MSIP_Label_4e511531-3b62-4ad0-a3e4-a04202c385ac_Method">
    <vt:lpwstr>Standard</vt:lpwstr>
  </property>
  <property fmtid="{D5CDD505-2E9C-101B-9397-08002B2CF9AE}" pid="12" name="MSIP_Label_4e511531-3b62-4ad0-a3e4-a04202c385ac_Name">
    <vt:lpwstr>4e511531-3b62-4ad0-a3e4-a04202c385ac</vt:lpwstr>
  </property>
  <property fmtid="{D5CDD505-2E9C-101B-9397-08002B2CF9AE}" pid="13" name="MSIP_Label_4e511531-3b62-4ad0-a3e4-a04202c385ac_SiteId">
    <vt:lpwstr>cc7f83dd-bc5a-4682-9b3e-062a900202a2</vt:lpwstr>
  </property>
  <property fmtid="{D5CDD505-2E9C-101B-9397-08002B2CF9AE}" pid="14" name="MSIP_Label_4e511531-3b62-4ad0-a3e4-a04202c385ac_ActionId">
    <vt:lpwstr>ce526ce4-865d-46b9-a3ad-20f5fb347403</vt:lpwstr>
  </property>
  <property fmtid="{D5CDD505-2E9C-101B-9397-08002B2CF9AE}" pid="15" name="MSIP_Label_4e511531-3b62-4ad0-a3e4-a04202c385ac_ContentBits">
    <vt:lpwstr>0</vt:lpwstr>
  </property>
  <property fmtid="{D5CDD505-2E9C-101B-9397-08002B2CF9AE}" pid="16" name="ContentTypeId">
    <vt:lpwstr>0x0101004CF8A13DD7691C4E8D6A03A981C49CDE</vt:lpwstr>
  </property>
  <property fmtid="{D5CDD505-2E9C-101B-9397-08002B2CF9AE}" pid="17" name="MediaServiceImageTags">
    <vt:lpwstr/>
  </property>
</Properties>
</file>